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hreadedComments/threadedComment3.xml" ContentType="application/vnd.ms-excel.threadedcomments+xml"/>
  <Override PartName="/xl/comments7.xml" ContentType="application/vnd.openxmlformats-officedocument.spreadsheetml.comments+xml"/>
  <Override PartName="/xl/threadedComments/threadedComment4.xml" ContentType="application/vnd.ms-excel.threadedcomments+xml"/>
  <Override PartName="/xl/comments8.xml" ContentType="application/vnd.openxmlformats-officedocument.spreadsheetml.comments+xml"/>
  <Override PartName="/xl/threadedComments/threadedComment5.xml" ContentType="application/vnd.ms-excel.threadedcomments+xml"/>
  <Override PartName="/xl/comments9.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cccandpcc.sharepoint.com/sites/CCCFinanceTeam/Shared Documents/CCC Finance Team – Work/Schools/SSCT/2026-27/"/>
    </mc:Choice>
  </mc:AlternateContent>
  <xr:revisionPtr revIDLastSave="1" documentId="8_{4BB6AD0F-B100-42F3-BE37-5EBEE82C4539}" xr6:coauthVersionLast="47" xr6:coauthVersionMax="47" xr10:uidLastSave="{398A560F-FBE4-45FF-857A-4D6AD923D224}"/>
  <bookViews>
    <workbookView xWindow="28680" yWindow="-45" windowWidth="38640" windowHeight="15720" tabRatio="863" firstSheet="3" activeTab="6" xr2:uid="{00000000-000D-0000-FFFF-FFFF00000000}"/>
  </bookViews>
  <sheets>
    <sheet name="Sheet1" sheetId="21" state="hidden" r:id="rId1"/>
    <sheet name="Letter PLEASE READ" sheetId="7" state="veryHidden" r:id="rId2"/>
    <sheet name="PRINT SCREEN CFR" sheetId="15" state="veryHidden" r:id="rId3"/>
    <sheet name="EXAMPLE COPY" sheetId="24" r:id="rId4"/>
    <sheet name="Instructions" sheetId="23" r:id="rId5"/>
    <sheet name="a) School Summary" sheetId="2" r:id="rId6"/>
    <sheet name="b) Template" sheetId="1" r:id="rId7"/>
    <sheet name="c) IUB reporting March 2024" sheetId="13" state="veryHidden" r:id="rId8"/>
    <sheet name="d) IUB reporting March 2025" sheetId="14" state="veryHidden" r:id="rId9"/>
    <sheet name="SBS BvA Report (Table)" sheetId="22" r:id="rId10"/>
    <sheet name="&quot;Alerts&quot;" sheetId="8" r:id="rId11"/>
    <sheet name="Rev Income Spend B'mark Metrics" sheetId="25" r:id="rId12"/>
    <sheet name="ICFP Data Entry" sheetId="26" r:id="rId13"/>
    <sheet name="SSCT" sheetId="3" r:id="rId14"/>
    <sheet name="Data - CFR 202526" sheetId="16" state="veryHidden" r:id="rId15"/>
    <sheet name="Data - 2026-27Approved Budget" sheetId="17" state="veryHidden" r:id="rId16"/>
    <sheet name="Data - Revenue Balances Mar 26" sheetId="12" state="veryHidden" r:id="rId17"/>
    <sheet name="Data - Capital Balances Mar 24" sheetId="19" state="veryHidden" r:id="rId18"/>
    <sheet name="Data - IUB March 2024" sheetId="18" state="veryHidden" r:id="rId19"/>
    <sheet name="Data - IUB Thresholds Mar 25" sheetId="20" state="veryHidden" r:id="rId20"/>
  </sheets>
  <definedNames>
    <definedName name="_xlnm._FilterDatabase" localSheetId="14" hidden="1">'Data - CFR 202526'!$A$3:$CO$127</definedName>
    <definedName name="OLE_LINK1" localSheetId="1">'Letter PLEASE READ'!$B$1</definedName>
    <definedName name="_xlnm.Print_Area" localSheetId="10">'"Alerts"'!$A$5:$L$45</definedName>
    <definedName name="_xlnm.Print_Area" localSheetId="5">'a) School Summary'!$A$1:$I$76</definedName>
    <definedName name="_xlnm.Print_Area" localSheetId="6">'b) Template'!$A$1:$O$139</definedName>
    <definedName name="_xlnm.Print_Area" localSheetId="7">'c) IUB reporting March 2024'!$A$1:$J$39</definedName>
    <definedName name="_xlnm.Print_Area" localSheetId="8">'d) IUB reporting March 2025'!$A$1:$J$40</definedName>
    <definedName name="_xlnm.Print_Area" localSheetId="3">'EXAMPLE COPY'!$A$1:$O$139</definedName>
    <definedName name="_xlnm.Print_Area" localSheetId="11">'Rev Income Spend B''mark Metrics'!$A$1:$W$36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3" i="1" l="1"/>
  <c r="K132" i="1"/>
  <c r="K131" i="1"/>
  <c r="K130" i="1"/>
  <c r="K126" i="1"/>
  <c r="K125" i="1"/>
  <c r="K124" i="1"/>
  <c r="K94" i="1"/>
  <c r="K93" i="1"/>
  <c r="K89" i="1"/>
  <c r="K88" i="1"/>
  <c r="K61" i="1"/>
  <c r="K62" i="1"/>
  <c r="K63" i="1"/>
  <c r="K64" i="1"/>
  <c r="K65" i="1"/>
  <c r="K66" i="1"/>
  <c r="K67" i="1"/>
  <c r="K68" i="1"/>
  <c r="K69" i="1"/>
  <c r="K70" i="1"/>
  <c r="K60" i="1"/>
  <c r="K59" i="1"/>
  <c r="K58" i="1"/>
  <c r="K41" i="1"/>
  <c r="K42" i="1"/>
  <c r="K43" i="1"/>
  <c r="K44" i="1"/>
  <c r="K45" i="1"/>
  <c r="K46" i="1"/>
  <c r="K47" i="1"/>
  <c r="K48" i="1"/>
  <c r="K49" i="1"/>
  <c r="K50" i="1"/>
  <c r="K51" i="1"/>
  <c r="K52" i="1"/>
  <c r="K53" i="1"/>
  <c r="K54" i="1"/>
  <c r="K55" i="1"/>
  <c r="K56" i="1"/>
  <c r="K57" i="1"/>
  <c r="K40" i="1"/>
  <c r="K17" i="1"/>
  <c r="K18" i="1"/>
  <c r="K19" i="1"/>
  <c r="K20" i="1"/>
  <c r="K21" i="1"/>
  <c r="K22" i="1"/>
  <c r="K23" i="1"/>
  <c r="K24" i="1"/>
  <c r="K25" i="1"/>
  <c r="K26" i="1"/>
  <c r="K27" i="1"/>
  <c r="K28" i="1"/>
  <c r="K29" i="1"/>
  <c r="K30" i="1"/>
  <c r="K31" i="1"/>
  <c r="K32" i="1"/>
  <c r="K33" i="1"/>
  <c r="K34" i="1"/>
  <c r="K16" i="1"/>
  <c r="C13" i="26"/>
  <c r="D38" i="26"/>
  <c r="I38" i="26" s="1"/>
  <c r="D36" i="26"/>
  <c r="J36" i="26" s="1"/>
  <c r="I36" i="26" l="1"/>
  <c r="J38" i="26"/>
  <c r="C17" i="26" l="1"/>
  <c r="D40" i="26"/>
  <c r="I40" i="26" l="1"/>
  <c r="J40" i="26"/>
  <c r="D42" i="26"/>
  <c r="I14" i="25"/>
  <c r="I35" i="25"/>
  <c r="V35" i="25" s="1"/>
  <c r="G35" i="25"/>
  <c r="T35" i="25" s="1"/>
  <c r="E35" i="25"/>
  <c r="R35" i="25" s="1"/>
  <c r="C35" i="25"/>
  <c r="P35" i="25" s="1"/>
  <c r="I34" i="25"/>
  <c r="V34" i="25" s="1"/>
  <c r="G34" i="25"/>
  <c r="T34" i="25" s="1"/>
  <c r="E34" i="25"/>
  <c r="R34" i="25" s="1"/>
  <c r="C34" i="25"/>
  <c r="P34" i="25" s="1"/>
  <c r="V17" i="25"/>
  <c r="U17" i="25"/>
  <c r="T17" i="25"/>
  <c r="S17" i="25"/>
  <c r="R17" i="25"/>
  <c r="Q17" i="25"/>
  <c r="P17" i="25"/>
  <c r="O17" i="25"/>
  <c r="V16" i="25"/>
  <c r="U16" i="25"/>
  <c r="T16" i="25"/>
  <c r="S16" i="25"/>
  <c r="R16" i="25"/>
  <c r="Q16" i="25"/>
  <c r="P16" i="25"/>
  <c r="O16" i="25"/>
  <c r="M38" i="26" l="1"/>
  <c r="L38" i="26"/>
  <c r="J42" i="26"/>
  <c r="I42" i="26"/>
  <c r="Q34" i="25"/>
  <c r="Q35" i="25"/>
  <c r="O35" i="25"/>
  <c r="S34" i="25"/>
  <c r="S35" i="25"/>
  <c r="O34" i="25"/>
  <c r="U34" i="25"/>
  <c r="U35" i="25"/>
  <c r="I32" i="25" l="1"/>
  <c r="BK6" i="17" l="1"/>
  <c r="BN8" i="17"/>
  <c r="CD9" i="17"/>
  <c r="BK10" i="17"/>
  <c r="BN33" i="17"/>
  <c r="CD33" i="17"/>
  <c r="BY40" i="17"/>
  <c r="BN41" i="17"/>
  <c r="BK47" i="17"/>
  <c r="BN69" i="17"/>
  <c r="BN80" i="17"/>
  <c r="BN87" i="17"/>
  <c r="BN95" i="17"/>
  <c r="BN100" i="17"/>
  <c r="BY100" i="17"/>
  <c r="BK108" i="17"/>
  <c r="BN117" i="17"/>
  <c r="BN120" i="17"/>
  <c r="BN121" i="17"/>
  <c r="CH4" i="17"/>
  <c r="BN6" i="16"/>
  <c r="CI5" i="17"/>
  <c r="BK7" i="16"/>
  <c r="CI6" i="17"/>
  <c r="BN8" i="16"/>
  <c r="CI7" i="17"/>
  <c r="BK9" i="16"/>
  <c r="CI8" i="17"/>
  <c r="CI9" i="17"/>
  <c r="BK11" i="16"/>
  <c r="BN11" i="16"/>
  <c r="CH10" i="17"/>
  <c r="CI10" i="17"/>
  <c r="CH11" i="17"/>
  <c r="CI11" i="17"/>
  <c r="CI12" i="17"/>
  <c r="CI13" i="17"/>
  <c r="CH14" i="17"/>
  <c r="CJ15" i="16"/>
  <c r="CJ14" i="17" s="1"/>
  <c r="CI15" i="17"/>
  <c r="BN17" i="16"/>
  <c r="CI16" i="17"/>
  <c r="BK18" i="16"/>
  <c r="CH17" i="17"/>
  <c r="CI17" i="17"/>
  <c r="CH18" i="17"/>
  <c r="BN20" i="16"/>
  <c r="CI19" i="17"/>
  <c r="BK21" i="16"/>
  <c r="BN21" i="16"/>
  <c r="CH20" i="17"/>
  <c r="BK22" i="16"/>
  <c r="BY22" i="16"/>
  <c r="CI21" i="17"/>
  <c r="BN23" i="16"/>
  <c r="CH22" i="17"/>
  <c r="CI23" i="17"/>
  <c r="BN25" i="16"/>
  <c r="CI24" i="17"/>
  <c r="BK26" i="16"/>
  <c r="CH25" i="17"/>
  <c r="CI25" i="17"/>
  <c r="CH26" i="17"/>
  <c r="CI26" i="17"/>
  <c r="CI27" i="17"/>
  <c r="CH28" i="17"/>
  <c r="CI29" i="17"/>
  <c r="CI30" i="17"/>
  <c r="CI31" i="17"/>
  <c r="BN33" i="16"/>
  <c r="CI32" i="17"/>
  <c r="CH33" i="17"/>
  <c r="BN35" i="16"/>
  <c r="CH34" i="17"/>
  <c r="CI34" i="17"/>
  <c r="BN36" i="16"/>
  <c r="CH35" i="17"/>
  <c r="CI35" i="17"/>
  <c r="CI36" i="17"/>
  <c r="CI37" i="17"/>
  <c r="CI38" i="17"/>
  <c r="CI39" i="17"/>
  <c r="CI40" i="17"/>
  <c r="CH41" i="17"/>
  <c r="CI42" i="17"/>
  <c r="CH43" i="17"/>
  <c r="CI43" i="17"/>
  <c r="BY45" i="16"/>
  <c r="CH44" i="17"/>
  <c r="CI44" i="17"/>
  <c r="CH45" i="17"/>
  <c r="CI45" i="17"/>
  <c r="BK47" i="16"/>
  <c r="CH46" i="17"/>
  <c r="CI46" i="17"/>
  <c r="BK48" i="16"/>
  <c r="CI47" i="17"/>
  <c r="BN49" i="16"/>
  <c r="CI48" i="17"/>
  <c r="BN50" i="16"/>
  <c r="CH49" i="17"/>
  <c r="CI49" i="17"/>
  <c r="BN51" i="16"/>
  <c r="CI50" i="17"/>
  <c r="BK52" i="16"/>
  <c r="CI51" i="17"/>
  <c r="CH52" i="17"/>
  <c r="CI52" i="17"/>
  <c r="CI53" i="17"/>
  <c r="Y55" i="16"/>
  <c r="BE55" i="16"/>
  <c r="BK55" i="16"/>
  <c r="BN55" i="16"/>
  <c r="BY55" i="16"/>
  <c r="CD55" i="16"/>
  <c r="CI54" i="17"/>
  <c r="CI55" i="17"/>
  <c r="CH56" i="17"/>
  <c r="CI56" i="17"/>
  <c r="BN58" i="16"/>
  <c r="CI57" i="17"/>
  <c r="BK59" i="16"/>
  <c r="BN59" i="16"/>
  <c r="CI58" i="17"/>
  <c r="BK60" i="16"/>
  <c r="BN60" i="16"/>
  <c r="CI59" i="17"/>
  <c r="BY61" i="16"/>
  <c r="CH60" i="17"/>
  <c r="CI60" i="17"/>
  <c r="CH61" i="17"/>
  <c r="CI62" i="17"/>
  <c r="BN64" i="16"/>
  <c r="CI63" i="17"/>
  <c r="CI64" i="17"/>
  <c r="BY66" i="16"/>
  <c r="CH65" i="17"/>
  <c r="CI65" i="17"/>
  <c r="CH66" i="17"/>
  <c r="CI66" i="17"/>
  <c r="BY70" i="16"/>
  <c r="BY71" i="16"/>
  <c r="BN72" i="16"/>
  <c r="CH70" i="17"/>
  <c r="BK73" i="16"/>
  <c r="CH71" i="17"/>
  <c r="CI71" i="17"/>
  <c r="CI72" i="17"/>
  <c r="BN75" i="16"/>
  <c r="CI73" i="17"/>
  <c r="BK76" i="16"/>
  <c r="CH74" i="17"/>
  <c r="CI74" i="17"/>
  <c r="BK77" i="16"/>
  <c r="CI75" i="17"/>
  <c r="BK78" i="16"/>
  <c r="CH76" i="17"/>
  <c r="CI76" i="17"/>
  <c r="BY79" i="16"/>
  <c r="CI77" i="17"/>
  <c r="CH78" i="17"/>
  <c r="BY81" i="16"/>
  <c r="CH79" i="17"/>
  <c r="BK82" i="16"/>
  <c r="BY82" i="16"/>
  <c r="CI80" i="17"/>
  <c r="BN83" i="16"/>
  <c r="CI81" i="17"/>
  <c r="CH82" i="17"/>
  <c r="CI83" i="17"/>
  <c r="BK86" i="16"/>
  <c r="CH84" i="17"/>
  <c r="CI84" i="17"/>
  <c r="BN87" i="16"/>
  <c r="CI85" i="17"/>
  <c r="CH86" i="17"/>
  <c r="CH87" i="17"/>
  <c r="CI87" i="17"/>
  <c r="CI88" i="17"/>
  <c r="CI89" i="17"/>
  <c r="CH90" i="17"/>
  <c r="BN93" i="16"/>
  <c r="CI91" i="17"/>
  <c r="BK94" i="16"/>
  <c r="CH92" i="17"/>
  <c r="CI92" i="17"/>
  <c r="CI93" i="17"/>
  <c r="CH94" i="17"/>
  <c r="CI95" i="17"/>
  <c r="CI96" i="17"/>
  <c r="BK99" i="16"/>
  <c r="BN99" i="16"/>
  <c r="CH97" i="17"/>
  <c r="CI97" i="17"/>
  <c r="CH98" i="17"/>
  <c r="BK101" i="16"/>
  <c r="CI99" i="17"/>
  <c r="CH100" i="17"/>
  <c r="BN103" i="16"/>
  <c r="CH101" i="17"/>
  <c r="CH102" i="17"/>
  <c r="CH103" i="17"/>
  <c r="CI104" i="17"/>
  <c r="CH105" i="17"/>
  <c r="BK108" i="16"/>
  <c r="CH106" i="17"/>
  <c r="CI106" i="17"/>
  <c r="BK109" i="16"/>
  <c r="CI107" i="17"/>
  <c r="BN110" i="16"/>
  <c r="CI108" i="17"/>
  <c r="BN111" i="16"/>
  <c r="CH109" i="17"/>
  <c r="BK112" i="16"/>
  <c r="CH110" i="17"/>
  <c r="CI110" i="17"/>
  <c r="CH111" i="17"/>
  <c r="CI112" i="17"/>
  <c r="CI113" i="17"/>
  <c r="CH114" i="17"/>
  <c r="CI114" i="17"/>
  <c r="BK117" i="16"/>
  <c r="CI115" i="17"/>
  <c r="Y118" i="16"/>
  <c r="BE118" i="16"/>
  <c r="BK118" i="16"/>
  <c r="BO118" i="16" s="1"/>
  <c r="BQ118" i="16" s="1"/>
  <c r="BN118" i="16"/>
  <c r="BY118" i="16"/>
  <c r="CD118" i="16"/>
  <c r="CJ118" i="16"/>
  <c r="BN120" i="16"/>
  <c r="CH117" i="17"/>
  <c r="CI117" i="17"/>
  <c r="BK121" i="16"/>
  <c r="CH118" i="17"/>
  <c r="BY122" i="16"/>
  <c r="CI119" i="17"/>
  <c r="BN123" i="16"/>
  <c r="CI120" i="17"/>
  <c r="BK124" i="16"/>
  <c r="CH121" i="17"/>
  <c r="CI121" i="17"/>
  <c r="BY125" i="16"/>
  <c r="CI122" i="17"/>
  <c r="BN126" i="16"/>
  <c r="CI123" i="17"/>
  <c r="BK127" i="16"/>
  <c r="CH124" i="17"/>
  <c r="CI124" i="17"/>
  <c r="CJ127" i="16"/>
  <c r="CJ124" i="17" s="1"/>
  <c r="CD20" i="16" l="1"/>
  <c r="BK105" i="16"/>
  <c r="BY68" i="16"/>
  <c r="CJ67" i="16"/>
  <c r="CJ66" i="17" s="1"/>
  <c r="BO59" i="16"/>
  <c r="BQ59" i="16" s="1"/>
  <c r="BK116" i="16"/>
  <c r="BY39" i="16"/>
  <c r="BY37" i="16"/>
  <c r="BN31" i="16"/>
  <c r="CD14" i="16"/>
  <c r="BN5" i="16"/>
  <c r="CD44" i="16"/>
  <c r="CJ112" i="16"/>
  <c r="CJ110" i="17" s="1"/>
  <c r="CJ99" i="16"/>
  <c r="CJ97" i="17" s="1"/>
  <c r="CJ86" i="16"/>
  <c r="CJ84" i="17" s="1"/>
  <c r="CJ57" i="16"/>
  <c r="CJ56" i="17" s="1"/>
  <c r="CJ4" i="16"/>
  <c r="BN127" i="16"/>
  <c r="BK120" i="16"/>
  <c r="BO120" i="16" s="1"/>
  <c r="BQ120" i="16" s="1"/>
  <c r="BN115" i="16"/>
  <c r="BN102" i="16"/>
  <c r="BY93" i="16"/>
  <c r="BN89" i="16"/>
  <c r="BO89" i="16" s="1"/>
  <c r="BQ89" i="16" s="1"/>
  <c r="Y81" i="16"/>
  <c r="BN80" i="16"/>
  <c r="CJ68" i="16"/>
  <c r="CJ67" i="17" s="1"/>
  <c r="BY64" i="16"/>
  <c r="CJ50" i="16"/>
  <c r="CJ49" i="17" s="1"/>
  <c r="BN38" i="16"/>
  <c r="BK29" i="16"/>
  <c r="BK27" i="16"/>
  <c r="BO27" i="16" s="1"/>
  <c r="BQ27" i="16" s="1"/>
  <c r="BK16" i="16"/>
  <c r="BK12" i="16"/>
  <c r="BK78" i="17"/>
  <c r="BY110" i="16"/>
  <c r="BK110" i="16"/>
  <c r="BK102" i="16"/>
  <c r="BY95" i="16"/>
  <c r="BK93" i="16"/>
  <c r="BO93" i="16" s="1"/>
  <c r="BQ93" i="16" s="1"/>
  <c r="BK89" i="16"/>
  <c r="BN85" i="16"/>
  <c r="BK72" i="16"/>
  <c r="BK62" i="16"/>
  <c r="BY60" i="16"/>
  <c r="BO60" i="16"/>
  <c r="BQ60" i="16" s="1"/>
  <c r="CD56" i="16"/>
  <c r="BK38" i="16"/>
  <c r="BO38" i="16" s="1"/>
  <c r="BQ38" i="16" s="1"/>
  <c r="BK36" i="16"/>
  <c r="BN32" i="16"/>
  <c r="BN26" i="16"/>
  <c r="BN122" i="17"/>
  <c r="BY117" i="16"/>
  <c r="BY74" i="16"/>
  <c r="CD52" i="16"/>
  <c r="BY43" i="16"/>
  <c r="BN15" i="16"/>
  <c r="BE6" i="16"/>
  <c r="BY109" i="16"/>
  <c r="BN96" i="16"/>
  <c r="BN92" i="16"/>
  <c r="BN88" i="16"/>
  <c r="BY77" i="16"/>
  <c r="BK113" i="17"/>
  <c r="BN99" i="17"/>
  <c r="CD98" i="17"/>
  <c r="BK97" i="17"/>
  <c r="BN67" i="17"/>
  <c r="BN59" i="17"/>
  <c r="BK49" i="17"/>
  <c r="BK39" i="17"/>
  <c r="BY12" i="17"/>
  <c r="CE12" i="17" s="1"/>
  <c r="CG12" i="17" s="1"/>
  <c r="BY41" i="17"/>
  <c r="BK36" i="17"/>
  <c r="BK23" i="17"/>
  <c r="BN17" i="17"/>
  <c r="BN119" i="17"/>
  <c r="BK109" i="17"/>
  <c r="CD100" i="17"/>
  <c r="CE100" i="17" s="1"/>
  <c r="CG100" i="17" s="1"/>
  <c r="BN98" i="17"/>
  <c r="CD92" i="17"/>
  <c r="BN37" i="17"/>
  <c r="CD36" i="17"/>
  <c r="BN11" i="17"/>
  <c r="BN6" i="17"/>
  <c r="BK4" i="17"/>
  <c r="BK114" i="17"/>
  <c r="BO114" i="17" s="1"/>
  <c r="BQ114" i="17" s="1"/>
  <c r="BN92" i="17"/>
  <c r="BN84" i="17"/>
  <c r="BK74" i="17"/>
  <c r="BN73" i="17"/>
  <c r="BK84" i="17"/>
  <c r="BY32" i="17"/>
  <c r="BK32" i="17"/>
  <c r="BN18" i="17"/>
  <c r="BE72" i="17"/>
  <c r="BF72" i="17" s="1"/>
  <c r="BH72" i="17" s="1"/>
  <c r="BY111" i="17"/>
  <c r="BK111" i="17"/>
  <c r="CD84" i="17"/>
  <c r="CD76" i="17"/>
  <c r="BK72" i="17"/>
  <c r="BK67" i="17"/>
  <c r="BN61" i="17"/>
  <c r="BY56" i="17"/>
  <c r="BK46" i="17"/>
  <c r="CD17" i="17"/>
  <c r="BK121" i="17"/>
  <c r="BY116" i="17"/>
  <c r="CD115" i="17"/>
  <c r="BY71" i="17"/>
  <c r="BY48" i="17"/>
  <c r="BK48" i="17"/>
  <c r="BY36" i="17"/>
  <c r="CD94" i="17"/>
  <c r="BK45" i="17"/>
  <c r="BY35" i="17"/>
  <c r="BK118" i="17"/>
  <c r="BK115" i="17"/>
  <c r="BN112" i="17"/>
  <c r="BO112" i="17" s="1"/>
  <c r="BQ112" i="17" s="1"/>
  <c r="BK110" i="17"/>
  <c r="CD109" i="17"/>
  <c r="CD104" i="17"/>
  <c r="BY89" i="17"/>
  <c r="CD49" i="17"/>
  <c r="BN3" i="17"/>
  <c r="BN70" i="17"/>
  <c r="BK63" i="17"/>
  <c r="BN57" i="17"/>
  <c r="BY55" i="17"/>
  <c r="BN49" i="17"/>
  <c r="BK42" i="17"/>
  <c r="CD41" i="17"/>
  <c r="BK30" i="17"/>
  <c r="BK22" i="17"/>
  <c r="BK14" i="17"/>
  <c r="BY120" i="17"/>
  <c r="BN124" i="17"/>
  <c r="BN114" i="17"/>
  <c r="BN111" i="17"/>
  <c r="BK107" i="17"/>
  <c r="BY52" i="17"/>
  <c r="BK52" i="17"/>
  <c r="BN29" i="17"/>
  <c r="BK27" i="17"/>
  <c r="BY24" i="17"/>
  <c r="BN116" i="17"/>
  <c r="BY88" i="17"/>
  <c r="BK88" i="17"/>
  <c r="Y72" i="17"/>
  <c r="CD69" i="17"/>
  <c r="BK62" i="17"/>
  <c r="CD61" i="17"/>
  <c r="BY16" i="17"/>
  <c r="BE26" i="16"/>
  <c r="BE64" i="17"/>
  <c r="BK5" i="17"/>
  <c r="CD17" i="16"/>
  <c r="BY121" i="16"/>
  <c r="BY113" i="16"/>
  <c r="BY108" i="16"/>
  <c r="BK106" i="16"/>
  <c r="BN97" i="16"/>
  <c r="BN95" i="16"/>
  <c r="CJ94" i="16"/>
  <c r="CJ92" i="17" s="1"/>
  <c r="BY87" i="16"/>
  <c r="BN74" i="16"/>
  <c r="CJ71" i="16"/>
  <c r="BK71" i="16"/>
  <c r="BK67" i="16"/>
  <c r="Y59" i="16"/>
  <c r="BK58" i="16"/>
  <c r="BO58" i="16" s="1"/>
  <c r="BQ58" i="16" s="1"/>
  <c r="BN56" i="16"/>
  <c r="CJ53" i="16"/>
  <c r="CJ52" i="17" s="1"/>
  <c r="BN41" i="16"/>
  <c r="CJ36" i="16"/>
  <c r="CJ35" i="17" s="1"/>
  <c r="BN27" i="16"/>
  <c r="BN24" i="16"/>
  <c r="BN19" i="16"/>
  <c r="BN12" i="16"/>
  <c r="BN7" i="16"/>
  <c r="BK122" i="17"/>
  <c r="BO122" i="17" s="1"/>
  <c r="BQ122" i="17" s="1"/>
  <c r="BK120" i="17"/>
  <c r="BO120" i="17" s="1"/>
  <c r="BQ120" i="17" s="1"/>
  <c r="BK117" i="17"/>
  <c r="BO117" i="17" s="1"/>
  <c r="BQ117" i="17" s="1"/>
  <c r="BK112" i="17"/>
  <c r="BN109" i="17"/>
  <c r="BN104" i="17"/>
  <c r="BK102" i="17"/>
  <c r="CD99" i="17"/>
  <c r="BN94" i="17"/>
  <c r="BK92" i="17"/>
  <c r="CD91" i="17"/>
  <c r="BY87" i="17"/>
  <c r="BK87" i="17"/>
  <c r="BK77" i="17"/>
  <c r="BN76" i="17"/>
  <c r="BY64" i="17"/>
  <c r="Y55" i="17"/>
  <c r="BY54" i="17"/>
  <c r="BK54" i="17"/>
  <c r="CD53" i="17"/>
  <c r="BN53" i="17"/>
  <c r="CD52" i="17"/>
  <c r="BN51" i="17"/>
  <c r="BY49" i="17"/>
  <c r="CD46" i="17"/>
  <c r="BY45" i="17"/>
  <c r="BN44" i="17"/>
  <c r="BO44" i="17" s="1"/>
  <c r="BQ44" i="17" s="1"/>
  <c r="BK38" i="17"/>
  <c r="BN26" i="17"/>
  <c r="BN21" i="17"/>
  <c r="BY10" i="17"/>
  <c r="BY124" i="16"/>
  <c r="BN107" i="16"/>
  <c r="BY104" i="16"/>
  <c r="BY102" i="16"/>
  <c r="CD80" i="16"/>
  <c r="BN77" i="16"/>
  <c r="BO77" i="16" s="1"/>
  <c r="BQ77" i="16" s="1"/>
  <c r="Y73" i="16"/>
  <c r="BN70" i="16"/>
  <c r="BY48" i="16"/>
  <c r="BK34" i="16"/>
  <c r="BY29" i="16"/>
  <c r="BY27" i="16"/>
  <c r="BN22" i="16"/>
  <c r="BO22" i="16" s="1"/>
  <c r="BQ22" i="16" s="1"/>
  <c r="BY19" i="16"/>
  <c r="CJ12" i="16"/>
  <c r="CJ11" i="17" s="1"/>
  <c r="BY107" i="17"/>
  <c r="BY92" i="17"/>
  <c r="BO67" i="17"/>
  <c r="BQ67" i="17" s="1"/>
  <c r="BY38" i="17"/>
  <c r="CD37" i="17"/>
  <c r="BY19" i="17"/>
  <c r="BN14" i="17"/>
  <c r="CD11" i="17"/>
  <c r="BY124" i="17"/>
  <c r="BN123" i="17"/>
  <c r="BY106" i="17"/>
  <c r="BN106" i="17"/>
  <c r="BY99" i="17"/>
  <c r="BN91" i="17"/>
  <c r="BO84" i="17"/>
  <c r="CD83" i="17"/>
  <c r="BN81" i="17"/>
  <c r="BY79" i="17"/>
  <c r="BK79" i="17"/>
  <c r="BN71" i="17"/>
  <c r="BO71" i="17" s="1"/>
  <c r="BQ71" i="17" s="1"/>
  <c r="BY69" i="17"/>
  <c r="BK64" i="17"/>
  <c r="BN58" i="17"/>
  <c r="CD55" i="17"/>
  <c r="CE55" i="17" s="1"/>
  <c r="CD50" i="17"/>
  <c r="BN46" i="17"/>
  <c r="BO46" i="17" s="1"/>
  <c r="BQ46" i="17" s="1"/>
  <c r="BK40" i="17"/>
  <c r="BN35" i="17"/>
  <c r="BY33" i="17"/>
  <c r="CE33" i="17" s="1"/>
  <c r="CG33" i="17" s="1"/>
  <c r="BK26" i="17"/>
  <c r="BY23" i="17"/>
  <c r="BK12" i="17"/>
  <c r="BN9" i="17"/>
  <c r="BK7" i="17"/>
  <c r="Y4" i="16"/>
  <c r="BK122" i="16"/>
  <c r="BO122" i="16" s="1"/>
  <c r="BQ122" i="16" s="1"/>
  <c r="BY116" i="16"/>
  <c r="BY114" i="16"/>
  <c r="BK114" i="16"/>
  <c r="Y113" i="16"/>
  <c r="BY112" i="16"/>
  <c r="BN105" i="16"/>
  <c r="Y97" i="16"/>
  <c r="CD96" i="16"/>
  <c r="BY92" i="16"/>
  <c r="BK92" i="16"/>
  <c r="BO92" i="16" s="1"/>
  <c r="BQ92" i="16" s="1"/>
  <c r="BN90" i="16"/>
  <c r="Y86" i="16"/>
  <c r="BY85" i="16"/>
  <c r="BK80" i="16"/>
  <c r="BN66" i="16"/>
  <c r="BK61" i="16"/>
  <c r="BN57" i="16"/>
  <c r="BK56" i="16"/>
  <c r="BE56" i="16"/>
  <c r="BF55" i="16"/>
  <c r="BH55" i="16" s="1"/>
  <c r="BN52" i="16"/>
  <c r="BK51" i="16"/>
  <c r="BO51" i="16" s="1"/>
  <c r="BQ51" i="16" s="1"/>
  <c r="BY46" i="16"/>
  <c r="BN30" i="16"/>
  <c r="BO30" i="16" s="1"/>
  <c r="BQ30" i="16" s="1"/>
  <c r="CD28" i="16"/>
  <c r="BN28" i="16"/>
  <c r="BN18" i="16"/>
  <c r="BK17" i="16"/>
  <c r="BK15" i="16"/>
  <c r="BN13" i="16"/>
  <c r="BN10" i="16"/>
  <c r="BK3" i="17"/>
  <c r="BY3" i="17"/>
  <c r="BY123" i="17"/>
  <c r="BY114" i="17"/>
  <c r="CD108" i="17"/>
  <c r="BY101" i="17"/>
  <c r="BK101" i="17"/>
  <c r="BK99" i="17"/>
  <c r="BO99" i="17" s="1"/>
  <c r="BQ99" i="17" s="1"/>
  <c r="BK96" i="17"/>
  <c r="BN88" i="17"/>
  <c r="BN83" i="17"/>
  <c r="BN78" i="17"/>
  <c r="BO78" i="17" s="1"/>
  <c r="BQ78" i="17" s="1"/>
  <c r="CD70" i="17"/>
  <c r="BY63" i="17"/>
  <c r="BN63" i="17"/>
  <c r="BY61" i="17"/>
  <c r="CD60" i="17"/>
  <c r="CE60" i="17" s="1"/>
  <c r="CG60" i="17" s="1"/>
  <c r="BY44" i="17"/>
  <c r="BK44" i="17"/>
  <c r="BE44" i="17"/>
  <c r="BN39" i="17"/>
  <c r="CD34" i="17"/>
  <c r="BY28" i="17"/>
  <c r="BN25" i="17"/>
  <c r="BY21" i="17"/>
  <c r="Y94" i="16"/>
  <c r="CD69" i="16"/>
  <c r="BY54" i="16"/>
  <c r="BO52" i="16"/>
  <c r="BQ52" i="16" s="1"/>
  <c r="BY49" i="16"/>
  <c r="BE34" i="16"/>
  <c r="BO11" i="16"/>
  <c r="BY5" i="16"/>
  <c r="CD6" i="16"/>
  <c r="CD124" i="17"/>
  <c r="CD82" i="17"/>
  <c r="BK81" i="17"/>
  <c r="BO81" i="17" s="1"/>
  <c r="BK71" i="17"/>
  <c r="BY68" i="17"/>
  <c r="BK66" i="17"/>
  <c r="BN65" i="17"/>
  <c r="CD62" i="17"/>
  <c r="BN60" i="17"/>
  <c r="BY58" i="17"/>
  <c r="BK58" i="17"/>
  <c r="BK55" i="17"/>
  <c r="CD54" i="17"/>
  <c r="BN52" i="17"/>
  <c r="BO52" i="17" s="1"/>
  <c r="BQ52" i="17" s="1"/>
  <c r="BK50" i="17"/>
  <c r="BY46" i="17"/>
  <c r="BY39" i="17"/>
  <c r="BY37" i="17"/>
  <c r="BN22" i="17"/>
  <c r="BO22" i="17" s="1"/>
  <c r="BQ22" i="17" s="1"/>
  <c r="BN13" i="17"/>
  <c r="BK11" i="17"/>
  <c r="BO11" i="17" s="1"/>
  <c r="BQ11" i="17" s="1"/>
  <c r="Y50" i="16"/>
  <c r="BE91" i="16"/>
  <c r="BK123" i="16"/>
  <c r="BO123" i="16" s="1"/>
  <c r="BQ123" i="16" s="1"/>
  <c r="BE110" i="16"/>
  <c r="BN106" i="16"/>
  <c r="BY105" i="16"/>
  <c r="BK103" i="16"/>
  <c r="BO103" i="16" s="1"/>
  <c r="BQ103" i="16" s="1"/>
  <c r="BY98" i="16"/>
  <c r="BK96" i="16"/>
  <c r="BN91" i="16"/>
  <c r="BY90" i="16"/>
  <c r="BK88" i="16"/>
  <c r="BK85" i="16"/>
  <c r="BK75" i="16"/>
  <c r="CJ59" i="16"/>
  <c r="CJ58" i="17" s="1"/>
  <c r="BK57" i="16"/>
  <c r="BO57" i="16" s="1"/>
  <c r="BQ57" i="16" s="1"/>
  <c r="BY52" i="16"/>
  <c r="BK49" i="16"/>
  <c r="BN47" i="16"/>
  <c r="BO47" i="16" s="1"/>
  <c r="BQ47" i="16" s="1"/>
  <c r="BK44" i="16"/>
  <c r="BY42" i="16"/>
  <c r="BY38" i="16"/>
  <c r="BK30" i="16"/>
  <c r="BK23" i="16"/>
  <c r="BK10" i="16"/>
  <c r="BK123" i="17"/>
  <c r="BN115" i="17"/>
  <c r="BN105" i="17"/>
  <c r="BY103" i="17"/>
  <c r="BK103" i="17"/>
  <c r="BY93" i="17"/>
  <c r="BK93" i="17"/>
  <c r="BY83" i="17"/>
  <c r="CE83" i="17" s="1"/>
  <c r="CG83" i="17" s="1"/>
  <c r="BY72" i="17"/>
  <c r="Y121" i="16"/>
  <c r="CD42" i="16"/>
  <c r="BE4" i="16"/>
  <c r="BK4" i="16"/>
  <c r="BY4" i="16"/>
  <c r="BY126" i="16"/>
  <c r="CD124" i="16"/>
  <c r="CD104" i="16"/>
  <c r="CE104" i="16" s="1"/>
  <c r="CG104" i="16" s="1"/>
  <c r="BN104" i="16"/>
  <c r="BY88" i="16"/>
  <c r="BK81" i="16"/>
  <c r="BN79" i="16"/>
  <c r="CJ78" i="16"/>
  <c r="CJ76" i="17" s="1"/>
  <c r="BY73" i="16"/>
  <c r="CJ47" i="16"/>
  <c r="CJ46" i="17" s="1"/>
  <c r="CD36" i="16"/>
  <c r="BY28" i="16"/>
  <c r="BY18" i="16"/>
  <c r="BY122" i="17"/>
  <c r="CD119" i="17"/>
  <c r="CD117" i="17"/>
  <c r="BY113" i="17"/>
  <c r="CD107" i="17"/>
  <c r="BN107" i="17"/>
  <c r="BO107" i="17" s="1"/>
  <c r="BQ107" i="17" s="1"/>
  <c r="BY105" i="17"/>
  <c r="BN102" i="17"/>
  <c r="BY90" i="17"/>
  <c r="BK85" i="17"/>
  <c r="BK83" i="17"/>
  <c r="BO83" i="17" s="1"/>
  <c r="BQ83" i="17" s="1"/>
  <c r="BN77" i="17"/>
  <c r="BK75" i="17"/>
  <c r="BK70" i="17"/>
  <c r="BO70" i="17" s="1"/>
  <c r="BQ70" i="17" s="1"/>
  <c r="BK68" i="17"/>
  <c r="Y64" i="17"/>
  <c r="BN62" i="17"/>
  <c r="BY60" i="17"/>
  <c r="BK60" i="17"/>
  <c r="BO60" i="17" s="1"/>
  <c r="BQ60" i="17" s="1"/>
  <c r="BN54" i="17"/>
  <c r="BN47" i="17"/>
  <c r="BN45" i="17"/>
  <c r="BO45" i="17" s="1"/>
  <c r="BQ45" i="17" s="1"/>
  <c r="BK43" i="17"/>
  <c r="BK41" i="17"/>
  <c r="BO41" i="17" s="1"/>
  <c r="BQ41" i="17" s="1"/>
  <c r="BN38" i="17"/>
  <c r="BN36" i="17"/>
  <c r="BO36" i="17" s="1"/>
  <c r="BQ36" i="17" s="1"/>
  <c r="BK34" i="17"/>
  <c r="BY20" i="17"/>
  <c r="BK20" i="17"/>
  <c r="BK13" i="17"/>
  <c r="BN10" i="17"/>
  <c r="BE124" i="16"/>
  <c r="Y122" i="16"/>
  <c r="CJ117" i="16"/>
  <c r="CJ115" i="17" s="1"/>
  <c r="CH115" i="17"/>
  <c r="Y116" i="16"/>
  <c r="BN112" i="16"/>
  <c r="BO112" i="16" s="1"/>
  <c r="BQ112" i="16" s="1"/>
  <c r="CJ111" i="16"/>
  <c r="CJ109" i="17" s="1"/>
  <c r="CI109" i="17"/>
  <c r="BK111" i="16"/>
  <c r="BO111" i="16" s="1"/>
  <c r="BQ111" i="16" s="1"/>
  <c r="Y109" i="16"/>
  <c r="CJ108" i="16"/>
  <c r="CJ106" i="17" s="1"/>
  <c r="Y106" i="16"/>
  <c r="CJ101" i="16"/>
  <c r="CJ99" i="17" s="1"/>
  <c r="CH99" i="17"/>
  <c r="Y100" i="16"/>
  <c r="CJ93" i="16"/>
  <c r="CJ91" i="17" s="1"/>
  <c r="CH91" i="17"/>
  <c r="BE87" i="16"/>
  <c r="CJ85" i="16"/>
  <c r="CJ83" i="17" s="1"/>
  <c r="CH83" i="17"/>
  <c r="BO85" i="16"/>
  <c r="BQ85" i="16" s="1"/>
  <c r="CJ82" i="16"/>
  <c r="CJ80" i="17" s="1"/>
  <c r="CH80" i="17"/>
  <c r="BE82" i="16"/>
  <c r="BE81" i="16"/>
  <c r="BE79" i="16"/>
  <c r="Y76" i="16"/>
  <c r="BE65" i="16"/>
  <c r="BE64" i="16"/>
  <c r="BE62" i="16"/>
  <c r="Y58" i="16"/>
  <c r="CJ48" i="16"/>
  <c r="CJ47" i="17" s="1"/>
  <c r="CH47" i="17"/>
  <c r="CH27" i="17"/>
  <c r="CJ28" i="16"/>
  <c r="CJ27" i="17" s="1"/>
  <c r="BE14" i="16"/>
  <c r="CJ13" i="16"/>
  <c r="CJ12" i="17" s="1"/>
  <c r="CH12" i="17"/>
  <c r="CD113" i="16"/>
  <c r="Y3" i="17"/>
  <c r="BE123" i="17"/>
  <c r="Y121" i="17"/>
  <c r="BE119" i="17"/>
  <c r="BE32" i="17"/>
  <c r="BE122" i="16"/>
  <c r="CJ121" i="16"/>
  <c r="CJ118" i="17" s="1"/>
  <c r="CI118" i="17"/>
  <c r="BE120" i="16"/>
  <c r="CJ114" i="16"/>
  <c r="CJ112" i="17" s="1"/>
  <c r="CH112" i="17"/>
  <c r="BE108" i="16"/>
  <c r="BE106" i="16"/>
  <c r="CJ105" i="16"/>
  <c r="CJ103" i="17" s="1"/>
  <c r="CI103" i="17"/>
  <c r="BE105" i="16"/>
  <c r="CJ102" i="16"/>
  <c r="CJ100" i="17" s="1"/>
  <c r="CI100" i="17"/>
  <c r="BO99" i="16"/>
  <c r="BQ99" i="16" s="1"/>
  <c r="CJ98" i="16"/>
  <c r="CJ96" i="17" s="1"/>
  <c r="CH96" i="17"/>
  <c r="BE95" i="16"/>
  <c r="BY94" i="16"/>
  <c r="BY86" i="16"/>
  <c r="CD84" i="16"/>
  <c r="BY83" i="16"/>
  <c r="Y83" i="16"/>
  <c r="BY78" i="16"/>
  <c r="Y78" i="16"/>
  <c r="Y72" i="16"/>
  <c r="BN68" i="16"/>
  <c r="BN69" i="16"/>
  <c r="BO69" i="16" s="1"/>
  <c r="BQ69" i="16" s="1"/>
  <c r="Y53" i="16"/>
  <c r="CH50" i="17"/>
  <c r="CJ51" i="16"/>
  <c r="CJ50" i="17" s="1"/>
  <c r="Y39" i="16"/>
  <c r="BE31" i="16"/>
  <c r="BE24" i="16"/>
  <c r="CJ21" i="16"/>
  <c r="CJ20" i="17" s="1"/>
  <c r="CI20" i="17"/>
  <c r="BY21" i="16"/>
  <c r="CJ16" i="16"/>
  <c r="CJ15" i="17" s="1"/>
  <c r="CH15" i="17"/>
  <c r="CD121" i="17"/>
  <c r="BE4" i="17"/>
  <c r="Y4" i="17"/>
  <c r="BN122" i="16"/>
  <c r="CD116" i="16"/>
  <c r="BE112" i="16"/>
  <c r="Y110" i="16"/>
  <c r="BF110" i="16" s="1"/>
  <c r="BN109" i="16"/>
  <c r="Y107" i="16"/>
  <c r="BE102" i="16"/>
  <c r="BN100" i="16"/>
  <c r="BY99" i="16"/>
  <c r="BE99" i="16"/>
  <c r="Y92" i="16"/>
  <c r="CJ90" i="16"/>
  <c r="CJ88" i="17" s="1"/>
  <c r="CH88" i="17"/>
  <c r="BK90" i="16"/>
  <c r="BO90" i="16" s="1"/>
  <c r="BQ90" i="16" s="1"/>
  <c r="Y89" i="16"/>
  <c r="BN84" i="16"/>
  <c r="CJ83" i="16"/>
  <c r="CJ81" i="17" s="1"/>
  <c r="CH81" i="17"/>
  <c r="BK83" i="16"/>
  <c r="BO83" i="16" s="1"/>
  <c r="BQ83" i="16" s="1"/>
  <c r="BE83" i="16"/>
  <c r="CJ74" i="16"/>
  <c r="CJ72" i="17" s="1"/>
  <c r="CH72" i="17"/>
  <c r="BK74" i="16"/>
  <c r="BO74" i="16" s="1"/>
  <c r="BQ74" i="16" s="1"/>
  <c r="BE74" i="16"/>
  <c r="BE71" i="16"/>
  <c r="BK65" i="16"/>
  <c r="CJ60" i="16"/>
  <c r="CJ59" i="17" s="1"/>
  <c r="CH59" i="17"/>
  <c r="BK54" i="16"/>
  <c r="BE52" i="16"/>
  <c r="BE49" i="16"/>
  <c r="CJ44" i="16"/>
  <c r="CJ43" i="17" s="1"/>
  <c r="BN44" i="16"/>
  <c r="BO44" i="16" s="1"/>
  <c r="BQ44" i="16" s="1"/>
  <c r="CD119" i="16"/>
  <c r="CE119" i="16" s="1"/>
  <c r="CG119" i="16" s="1"/>
  <c r="BK39" i="16"/>
  <c r="BE39" i="16"/>
  <c r="CH30" i="17"/>
  <c r="CJ31" i="16"/>
  <c r="CJ30" i="17" s="1"/>
  <c r="BK31" i="16"/>
  <c r="Y111" i="17"/>
  <c r="Y127" i="16"/>
  <c r="CJ125" i="16"/>
  <c r="CJ122" i="17" s="1"/>
  <c r="CH122" i="17"/>
  <c r="BK125" i="16"/>
  <c r="Y124" i="16"/>
  <c r="BE121" i="16"/>
  <c r="BF121" i="16" s="1"/>
  <c r="BH121" i="16" s="1"/>
  <c r="CD120" i="16"/>
  <c r="Y117" i="16"/>
  <c r="BN116" i="16"/>
  <c r="BY115" i="16"/>
  <c r="BK115" i="16"/>
  <c r="BO115" i="16" s="1"/>
  <c r="BQ115" i="16" s="1"/>
  <c r="BN113" i="16"/>
  <c r="BE109" i="16"/>
  <c r="BF109" i="16" s="1"/>
  <c r="BH109" i="16" s="1"/>
  <c r="BE103" i="16"/>
  <c r="BY100" i="16"/>
  <c r="BK100" i="16"/>
  <c r="CJ95" i="16"/>
  <c r="CJ93" i="17" s="1"/>
  <c r="BK95" i="16"/>
  <c r="CD92" i="16"/>
  <c r="BY91" i="16"/>
  <c r="BK91" i="16"/>
  <c r="BE89" i="16"/>
  <c r="CJ87" i="16"/>
  <c r="CJ85" i="17" s="1"/>
  <c r="CH85" i="17"/>
  <c r="BK87" i="16"/>
  <c r="BO87" i="16" s="1"/>
  <c r="BQ87" i="16" s="1"/>
  <c r="Y85" i="16"/>
  <c r="BY84" i="16"/>
  <c r="BK84" i="16"/>
  <c r="BN81" i="16"/>
  <c r="CJ79" i="16"/>
  <c r="CJ77" i="17" s="1"/>
  <c r="CH77" i="17"/>
  <c r="BK79" i="16"/>
  <c r="BO79" i="16" s="1"/>
  <c r="BQ79" i="16" s="1"/>
  <c r="Y77" i="16"/>
  <c r="BN76" i="16"/>
  <c r="BO76" i="16" s="1"/>
  <c r="BQ76" i="16" s="1"/>
  <c r="BY75" i="16"/>
  <c r="Y75" i="16"/>
  <c r="CH67" i="17"/>
  <c r="BY69" i="16"/>
  <c r="BK69" i="16"/>
  <c r="BK68" i="16"/>
  <c r="CH64" i="17"/>
  <c r="CJ65" i="16"/>
  <c r="CJ64" i="17" s="1"/>
  <c r="BY63" i="16"/>
  <c r="BN61" i="16"/>
  <c r="CH53" i="17"/>
  <c r="CJ54" i="16"/>
  <c r="CJ53" i="17" s="1"/>
  <c r="CE52" i="16"/>
  <c r="CG52" i="16" s="1"/>
  <c r="CJ49" i="16"/>
  <c r="CJ48" i="17" s="1"/>
  <c r="CH48" i="17"/>
  <c r="BY40" i="16"/>
  <c r="CH38" i="17"/>
  <c r="CJ39" i="16"/>
  <c r="CJ38" i="17" s="1"/>
  <c r="CD26" i="16"/>
  <c r="CE26" i="16" s="1"/>
  <c r="CG26" i="16" s="1"/>
  <c r="Y26" i="16"/>
  <c r="BF26" i="16" s="1"/>
  <c r="CD25" i="16"/>
  <c r="BK24" i="16"/>
  <c r="BN125" i="16"/>
  <c r="CJ122" i="16"/>
  <c r="CJ119" i="17" s="1"/>
  <c r="CH119" i="17"/>
  <c r="CJ116" i="16"/>
  <c r="CJ114" i="17" s="1"/>
  <c r="CJ115" i="16"/>
  <c r="CJ113" i="17" s="1"/>
  <c r="CH113" i="17"/>
  <c r="Y114" i="16"/>
  <c r="BK113" i="16"/>
  <c r="BO113" i="16" s="1"/>
  <c r="BQ113" i="16" s="1"/>
  <c r="Y111" i="16"/>
  <c r="CJ109" i="16"/>
  <c r="CJ107" i="17" s="1"/>
  <c r="CH107" i="17"/>
  <c r="Y108" i="16"/>
  <c r="BF108" i="16" s="1"/>
  <c r="BH108" i="16" s="1"/>
  <c r="BY106" i="16"/>
  <c r="Y105" i="16"/>
  <c r="CJ103" i="16"/>
  <c r="CJ101" i="17" s="1"/>
  <c r="CI101" i="17"/>
  <c r="BY103" i="16"/>
  <c r="BN101" i="16"/>
  <c r="CJ100" i="16"/>
  <c r="CJ98" i="17" s="1"/>
  <c r="CI98" i="17"/>
  <c r="CJ96" i="16"/>
  <c r="CJ94" i="17" s="1"/>
  <c r="CI94" i="17"/>
  <c r="CJ91" i="16"/>
  <c r="CJ89" i="17" s="1"/>
  <c r="CH89" i="17"/>
  <c r="Y91" i="16"/>
  <c r="CJ84" i="16"/>
  <c r="CJ82" i="17" s="1"/>
  <c r="CI82" i="17"/>
  <c r="BE84" i="16"/>
  <c r="Y82" i="16"/>
  <c r="BF82" i="16" s="1"/>
  <c r="BH82" i="16" s="1"/>
  <c r="CJ80" i="16"/>
  <c r="CJ78" i="17" s="1"/>
  <c r="CI78" i="17"/>
  <c r="BY80" i="16"/>
  <c r="CE80" i="16" s="1"/>
  <c r="CG80" i="16" s="1"/>
  <c r="BE80" i="16"/>
  <c r="Y80" i="16"/>
  <c r="CJ76" i="16"/>
  <c r="CJ74" i="17" s="1"/>
  <c r="BY76" i="16"/>
  <c r="CJ75" i="16"/>
  <c r="CJ73" i="17" s="1"/>
  <c r="CH73" i="17"/>
  <c r="BO75" i="16"/>
  <c r="BQ75" i="16" s="1"/>
  <c r="BE75" i="16"/>
  <c r="CD70" i="16"/>
  <c r="BE69" i="16"/>
  <c r="CJ61" i="16"/>
  <c r="CJ60" i="17" s="1"/>
  <c r="CH51" i="17"/>
  <c r="CJ52" i="16"/>
  <c r="CJ51" i="17" s="1"/>
  <c r="BE44" i="16"/>
  <c r="BN40" i="16"/>
  <c r="BN119" i="16"/>
  <c r="BY32" i="16"/>
  <c r="Y31" i="16"/>
  <c r="BE9" i="16"/>
  <c r="CD88" i="16"/>
  <c r="CH93" i="17"/>
  <c r="BE76" i="17"/>
  <c r="BK126" i="16"/>
  <c r="BO126" i="16" s="1"/>
  <c r="BQ126" i="16" s="1"/>
  <c r="BE116" i="16"/>
  <c r="BE114" i="16"/>
  <c r="CJ113" i="16"/>
  <c r="CJ111" i="17" s="1"/>
  <c r="CI111" i="17"/>
  <c r="CJ106" i="16"/>
  <c r="CJ104" i="17" s="1"/>
  <c r="CH104" i="17"/>
  <c r="Y104" i="16"/>
  <c r="Y102" i="16"/>
  <c r="Y98" i="16"/>
  <c r="BO96" i="16"/>
  <c r="BQ96" i="16" s="1"/>
  <c r="Y93" i="16"/>
  <c r="Y90" i="16"/>
  <c r="CJ88" i="16"/>
  <c r="CJ86" i="17" s="1"/>
  <c r="CI86" i="17"/>
  <c r="BO88" i="16"/>
  <c r="BQ88" i="16" s="1"/>
  <c r="BE88" i="16"/>
  <c r="Y88" i="16"/>
  <c r="CJ81" i="16"/>
  <c r="CJ79" i="17" s="1"/>
  <c r="CI79" i="17"/>
  <c r="BO80" i="16"/>
  <c r="BQ80" i="16" s="1"/>
  <c r="Y67" i="16"/>
  <c r="Y49" i="16"/>
  <c r="Y34" i="16"/>
  <c r="BF34" i="16" s="1"/>
  <c r="CJ9" i="16"/>
  <c r="CJ8" i="17" s="1"/>
  <c r="CH8" i="17"/>
  <c r="Y123" i="16"/>
  <c r="CJ126" i="16"/>
  <c r="CJ123" i="17" s="1"/>
  <c r="CH123" i="17"/>
  <c r="BE126" i="16"/>
  <c r="Y126" i="16"/>
  <c r="Y125" i="16"/>
  <c r="BN124" i="16"/>
  <c r="BO124" i="16" s="1"/>
  <c r="BQ124" i="16" s="1"/>
  <c r="BY123" i="16"/>
  <c r="BE123" i="16"/>
  <c r="BY120" i="16"/>
  <c r="Y120" i="16"/>
  <c r="BF118" i="16"/>
  <c r="BN117" i="16"/>
  <c r="Y115" i="16"/>
  <c r="BN114" i="16"/>
  <c r="BO114" i="16" s="1"/>
  <c r="BQ114" i="16" s="1"/>
  <c r="BE113" i="16"/>
  <c r="BF113" i="16" s="1"/>
  <c r="BH113" i="16" s="1"/>
  <c r="BU113" i="16" s="1"/>
  <c r="CJ110" i="16"/>
  <c r="CJ108" i="17" s="1"/>
  <c r="CH108" i="17"/>
  <c r="BE104" i="16"/>
  <c r="BK97" i="16"/>
  <c r="CJ92" i="16"/>
  <c r="CJ90" i="17" s="1"/>
  <c r="CI90" i="17"/>
  <c r="BE92" i="16"/>
  <c r="CJ89" i="16"/>
  <c r="CJ87" i="17" s="1"/>
  <c r="Y84" i="16"/>
  <c r="BN82" i="16"/>
  <c r="BO82" i="16" s="1"/>
  <c r="BQ82" i="16" s="1"/>
  <c r="BE76" i="16"/>
  <c r="Y74" i="16"/>
  <c r="BN73" i="16"/>
  <c r="BO72" i="16"/>
  <c r="BQ72" i="16" s="1"/>
  <c r="Y71" i="16"/>
  <c r="Y70" i="16"/>
  <c r="BE67" i="16"/>
  <c r="BN62" i="16"/>
  <c r="BO62" i="16" s="1"/>
  <c r="BQ62" i="16" s="1"/>
  <c r="Y60" i="16"/>
  <c r="CJ55" i="16"/>
  <c r="CJ54" i="17" s="1"/>
  <c r="CH54" i="17"/>
  <c r="BY50" i="16"/>
  <c r="BK50" i="16"/>
  <c r="BO50" i="16" s="1"/>
  <c r="BQ50" i="16" s="1"/>
  <c r="CD46" i="16"/>
  <c r="CE46" i="16" s="1"/>
  <c r="CG46" i="16" s="1"/>
  <c r="BN43" i="16"/>
  <c r="BO36" i="16"/>
  <c r="BQ36" i="16" s="1"/>
  <c r="BY30" i="16"/>
  <c r="Y29" i="16"/>
  <c r="BE28" i="16"/>
  <c r="BF28" i="16" s="1"/>
  <c r="BH28" i="16" s="1"/>
  <c r="Y12" i="16"/>
  <c r="BQ11" i="16"/>
  <c r="Y11" i="16"/>
  <c r="CD94" i="16"/>
  <c r="CE94" i="16" s="1"/>
  <c r="CG94" i="16" s="1"/>
  <c r="CD72" i="16"/>
  <c r="BE116" i="17"/>
  <c r="BY127" i="16"/>
  <c r="BE127" i="16"/>
  <c r="CJ124" i="16"/>
  <c r="CJ121" i="17" s="1"/>
  <c r="CJ123" i="16"/>
  <c r="CJ120" i="17" s="1"/>
  <c r="CH120" i="17"/>
  <c r="BN121" i="16"/>
  <c r="BO121" i="16" s="1"/>
  <c r="BQ121" i="16" s="1"/>
  <c r="CJ120" i="16"/>
  <c r="CJ117" i="17" s="1"/>
  <c r="BE117" i="16"/>
  <c r="Y112" i="16"/>
  <c r="BF112" i="16" s="1"/>
  <c r="BY111" i="16"/>
  <c r="BN108" i="16"/>
  <c r="BO108" i="16" s="1"/>
  <c r="BQ108" i="16" s="1"/>
  <c r="CJ107" i="16"/>
  <c r="CJ105" i="17" s="1"/>
  <c r="CI105" i="17"/>
  <c r="BY107" i="16"/>
  <c r="BK107" i="16"/>
  <c r="BO107" i="16" s="1"/>
  <c r="BQ107" i="16" s="1"/>
  <c r="BE107" i="16"/>
  <c r="CJ104" i="16"/>
  <c r="CJ102" i="17" s="1"/>
  <c r="CI102" i="17"/>
  <c r="BK104" i="16"/>
  <c r="BY101" i="16"/>
  <c r="Y99" i="16"/>
  <c r="BF99" i="16" s="1"/>
  <c r="BH99" i="16" s="1"/>
  <c r="BU99" i="16" s="1"/>
  <c r="BN98" i="16"/>
  <c r="CJ97" i="16"/>
  <c r="CJ95" i="17" s="1"/>
  <c r="CH95" i="17"/>
  <c r="Y95" i="16"/>
  <c r="BN94" i="16"/>
  <c r="BY89" i="16"/>
  <c r="Y87" i="16"/>
  <c r="BN86" i="16"/>
  <c r="BO86" i="16" s="1"/>
  <c r="BQ86" i="16" s="1"/>
  <c r="Y79" i="16"/>
  <c r="BN78" i="16"/>
  <c r="BE78" i="16"/>
  <c r="CJ77" i="16"/>
  <c r="CJ75" i="17" s="1"/>
  <c r="CH75" i="17"/>
  <c r="CJ73" i="16"/>
  <c r="CJ71" i="17" s="1"/>
  <c r="CJ72" i="16"/>
  <c r="CJ70" i="17" s="1"/>
  <c r="CI70" i="17"/>
  <c r="BY72" i="16"/>
  <c r="Y68" i="16"/>
  <c r="BN67" i="16"/>
  <c r="CD65" i="16"/>
  <c r="CJ64" i="16"/>
  <c r="CJ63" i="17" s="1"/>
  <c r="CH63" i="17"/>
  <c r="Y64" i="16"/>
  <c r="BF64" i="16" s="1"/>
  <c r="BH64" i="16" s="1"/>
  <c r="CD49" i="16"/>
  <c r="Y44" i="16"/>
  <c r="Y119" i="16"/>
  <c r="CJ30" i="16"/>
  <c r="CJ29" i="17" s="1"/>
  <c r="CH29" i="17"/>
  <c r="BK28" i="16"/>
  <c r="BO28" i="16" s="1"/>
  <c r="BQ28" i="16" s="1"/>
  <c r="CH19" i="17"/>
  <c r="CJ20" i="16"/>
  <c r="CJ19" i="17" s="1"/>
  <c r="BK20" i="16"/>
  <c r="BO20" i="16" s="1"/>
  <c r="BQ20" i="16" s="1"/>
  <c r="BE20" i="16"/>
  <c r="BO18" i="16"/>
  <c r="BQ18" i="16" s="1"/>
  <c r="BY13" i="16"/>
  <c r="BK13" i="16"/>
  <c r="BE12" i="16"/>
  <c r="BE3" i="17"/>
  <c r="BN108" i="17"/>
  <c r="BO108" i="17" s="1"/>
  <c r="BQ108" i="17" s="1"/>
  <c r="Y57" i="16"/>
  <c r="BE47" i="16"/>
  <c r="Y45" i="16"/>
  <c r="CJ42" i="16"/>
  <c r="CJ41" i="17" s="1"/>
  <c r="CI41" i="17"/>
  <c r="BK42" i="16"/>
  <c r="Y37" i="16"/>
  <c r="BY35" i="16"/>
  <c r="BY31" i="16"/>
  <c r="CJ29" i="16"/>
  <c r="CJ28" i="17" s="1"/>
  <c r="CI28" i="17"/>
  <c r="Y28" i="16"/>
  <c r="BY24" i="16"/>
  <c r="Y22" i="16"/>
  <c r="BY20" i="16"/>
  <c r="CE20" i="16" s="1"/>
  <c r="CG20" i="16" s="1"/>
  <c r="BE16" i="16"/>
  <c r="Y15" i="16"/>
  <c r="BN14" i="16"/>
  <c r="Y14" i="16"/>
  <c r="CD10" i="16"/>
  <c r="Y10" i="16"/>
  <c r="BY9" i="16"/>
  <c r="CE9" i="16" s="1"/>
  <c r="CG9" i="16" s="1"/>
  <c r="CJ6" i="16"/>
  <c r="CJ5" i="17" s="1"/>
  <c r="CH5" i="17"/>
  <c r="CI116" i="17"/>
  <c r="CD101" i="16"/>
  <c r="CD41" i="16"/>
  <c r="BE121" i="17"/>
  <c r="BF121" i="17" s="1"/>
  <c r="BH121" i="17" s="1"/>
  <c r="BE113" i="17"/>
  <c r="CD106" i="17"/>
  <c r="CE106" i="17" s="1"/>
  <c r="CG106" i="17" s="1"/>
  <c r="BE103" i="17"/>
  <c r="CD29" i="17"/>
  <c r="BO10" i="17"/>
  <c r="BQ10" i="17" s="1"/>
  <c r="BE73" i="16"/>
  <c r="BF73" i="16" s="1"/>
  <c r="BH73" i="16" s="1"/>
  <c r="CI67" i="17"/>
  <c r="Y65" i="16"/>
  <c r="BF65" i="16" s="1"/>
  <c r="BH65" i="16" s="1"/>
  <c r="CJ62" i="16"/>
  <c r="CJ61" i="17" s="1"/>
  <c r="CI61" i="17"/>
  <c r="BY62" i="16"/>
  <c r="BE61" i="16"/>
  <c r="CJ56" i="16"/>
  <c r="CJ55" i="17" s="1"/>
  <c r="CH55" i="17"/>
  <c r="BY56" i="16"/>
  <c r="CE56" i="16" s="1"/>
  <c r="CG56" i="16" s="1"/>
  <c r="CD54" i="16"/>
  <c r="CE54" i="16" s="1"/>
  <c r="CG54" i="16" s="1"/>
  <c r="Y54" i="16"/>
  <c r="BY51" i="16"/>
  <c r="BN46" i="16"/>
  <c r="CJ45" i="16"/>
  <c r="CJ44" i="17" s="1"/>
  <c r="BN45" i="16"/>
  <c r="BY119" i="16"/>
  <c r="BK40" i="16"/>
  <c r="BO40" i="16" s="1"/>
  <c r="BQ40" i="16" s="1"/>
  <c r="CD38" i="16"/>
  <c r="CE38" i="16" s="1"/>
  <c r="CG38" i="16" s="1"/>
  <c r="BN37" i="16"/>
  <c r="CJ35" i="16"/>
  <c r="CJ34" i="17" s="1"/>
  <c r="CD34" i="16"/>
  <c r="BY33" i="16"/>
  <c r="CJ32" i="16"/>
  <c r="CJ31" i="17" s="1"/>
  <c r="CH31" i="17"/>
  <c r="BK32" i="16"/>
  <c r="BO32" i="16" s="1"/>
  <c r="BQ32" i="16" s="1"/>
  <c r="CJ24" i="16"/>
  <c r="CJ23" i="17" s="1"/>
  <c r="CH23" i="17"/>
  <c r="Y20" i="16"/>
  <c r="BE18" i="16"/>
  <c r="BY17" i="16"/>
  <c r="CE17" i="16" s="1"/>
  <c r="CG17" i="16" s="1"/>
  <c r="Y17" i="16"/>
  <c r="CJ14" i="16"/>
  <c r="CJ13" i="17" s="1"/>
  <c r="CH13" i="17"/>
  <c r="BY14" i="16"/>
  <c r="CE14" i="16" s="1"/>
  <c r="CG14" i="16" s="1"/>
  <c r="BK14" i="16"/>
  <c r="BY7" i="16"/>
  <c r="CD126" i="16"/>
  <c r="BK116" i="17"/>
  <c r="CD111" i="17"/>
  <c r="CE111" i="17" s="1"/>
  <c r="CG111" i="17" s="1"/>
  <c r="CD105" i="17"/>
  <c r="CE105" i="17" s="1"/>
  <c r="CG105" i="17" s="1"/>
  <c r="Y105" i="17"/>
  <c r="BY91" i="17"/>
  <c r="BE63" i="16"/>
  <c r="Y62" i="16"/>
  <c r="BF62" i="16" s="1"/>
  <c r="BH62" i="16" s="1"/>
  <c r="BY58" i="16"/>
  <c r="BE54" i="16"/>
  <c r="CD53" i="16"/>
  <c r="BN53" i="16"/>
  <c r="BE53" i="16"/>
  <c r="Y52" i="16"/>
  <c r="BK45" i="16"/>
  <c r="CJ43" i="16"/>
  <c r="CJ42" i="17" s="1"/>
  <c r="CH42" i="17"/>
  <c r="BE42" i="16"/>
  <c r="Y42" i="16"/>
  <c r="CJ40" i="16"/>
  <c r="CJ39" i="17" s="1"/>
  <c r="CH39" i="17"/>
  <c r="BK37" i="16"/>
  <c r="Y36" i="16"/>
  <c r="BE33" i="16"/>
  <c r="CJ26" i="16"/>
  <c r="CJ25" i="17" s="1"/>
  <c r="BY25" i="16"/>
  <c r="CJ22" i="16"/>
  <c r="CJ21" i="17" s="1"/>
  <c r="CH21" i="17"/>
  <c r="CJ18" i="16"/>
  <c r="CJ17" i="17" s="1"/>
  <c r="CJ17" i="16"/>
  <c r="CJ16" i="17" s="1"/>
  <c r="CH16" i="17"/>
  <c r="CJ11" i="16"/>
  <c r="CJ10" i="17" s="1"/>
  <c r="BY11" i="16"/>
  <c r="CJ10" i="16"/>
  <c r="CJ9" i="17" s="1"/>
  <c r="CH9" i="17"/>
  <c r="BO10" i="16"/>
  <c r="BQ10" i="16" s="1"/>
  <c r="BE10" i="16"/>
  <c r="CJ7" i="16"/>
  <c r="CJ6" i="17" s="1"/>
  <c r="CH6" i="17"/>
  <c r="Y6" i="16"/>
  <c r="BF6" i="16" s="1"/>
  <c r="BH6" i="16" s="1"/>
  <c r="BU6" i="16" s="1"/>
  <c r="BK119" i="16"/>
  <c r="CD91" i="16"/>
  <c r="CD78" i="16"/>
  <c r="CE78" i="16" s="1"/>
  <c r="CG78" i="16" s="1"/>
  <c r="CD64" i="16"/>
  <c r="CE64" i="16" s="1"/>
  <c r="CG64" i="16" s="1"/>
  <c r="CD59" i="16"/>
  <c r="CD33" i="16"/>
  <c r="CD3" i="17"/>
  <c r="BE120" i="17"/>
  <c r="BY94" i="17"/>
  <c r="CE94" i="17" s="1"/>
  <c r="CG94" i="17" s="1"/>
  <c r="BE20" i="17"/>
  <c r="BK18" i="17"/>
  <c r="CI14" i="17"/>
  <c r="CJ37" i="16"/>
  <c r="CJ36" i="17" s="1"/>
  <c r="CH36" i="17"/>
  <c r="BE36" i="16"/>
  <c r="CD29" i="16"/>
  <c r="BO17" i="16"/>
  <c r="BQ17" i="16" s="1"/>
  <c r="Y16" i="16"/>
  <c r="CD13" i="16"/>
  <c r="Y13" i="16"/>
  <c r="Y9" i="16"/>
  <c r="BE8" i="16"/>
  <c r="Y7" i="16"/>
  <c r="CJ5" i="16"/>
  <c r="CJ4" i="17" s="1"/>
  <c r="CI4" i="17"/>
  <c r="CD22" i="16"/>
  <c r="BE117" i="17"/>
  <c r="BE88" i="17"/>
  <c r="BY53" i="16"/>
  <c r="BE50" i="16"/>
  <c r="BO49" i="16"/>
  <c r="BQ49" i="16" s="1"/>
  <c r="CJ46" i="16"/>
  <c r="CJ45" i="17" s="1"/>
  <c r="BK46" i="16"/>
  <c r="BE46" i="16"/>
  <c r="BY41" i="16"/>
  <c r="CE41" i="16" s="1"/>
  <c r="CG41" i="16" s="1"/>
  <c r="CJ33" i="16"/>
  <c r="CJ32" i="17" s="1"/>
  <c r="CH32" i="17"/>
  <c r="BK33" i="16"/>
  <c r="BO33" i="16" s="1"/>
  <c r="BQ33" i="16" s="1"/>
  <c r="CD30" i="16"/>
  <c r="BY26" i="16"/>
  <c r="CJ25" i="16"/>
  <c r="CJ24" i="17" s="1"/>
  <c r="BK25" i="16"/>
  <c r="BO25" i="16" s="1"/>
  <c r="BQ25" i="16" s="1"/>
  <c r="BO23" i="16"/>
  <c r="BQ23" i="16" s="1"/>
  <c r="Y23" i="16"/>
  <c r="CJ19" i="16"/>
  <c r="CJ18" i="17" s="1"/>
  <c r="CI18" i="17"/>
  <c r="BY15" i="16"/>
  <c r="BO12" i="16"/>
  <c r="BQ12" i="16" s="1"/>
  <c r="BE11" i="16"/>
  <c r="CD9" i="16"/>
  <c r="BY8" i="16"/>
  <c r="BK8" i="16"/>
  <c r="BK5" i="16"/>
  <c r="BO5" i="16" s="1"/>
  <c r="BQ5" i="16" s="1"/>
  <c r="CD123" i="16"/>
  <c r="CD110" i="16"/>
  <c r="BK124" i="17"/>
  <c r="BO124" i="17" s="1"/>
  <c r="BQ124" i="17" s="1"/>
  <c r="Y124" i="17"/>
  <c r="Y122" i="17"/>
  <c r="BY117" i="17"/>
  <c r="Y112" i="17"/>
  <c r="BE111" i="17"/>
  <c r="CD110" i="17"/>
  <c r="BK100" i="17"/>
  <c r="BO100" i="17" s="1"/>
  <c r="BY98" i="17"/>
  <c r="CH24" i="17"/>
  <c r="Y66" i="16"/>
  <c r="CJ63" i="16"/>
  <c r="CJ62" i="17" s="1"/>
  <c r="CH62" i="17"/>
  <c r="BK63" i="16"/>
  <c r="CD62" i="16"/>
  <c r="CE62" i="16" s="1"/>
  <c r="CG62" i="16" s="1"/>
  <c r="CD61" i="16"/>
  <c r="BE59" i="16"/>
  <c r="CJ58" i="16"/>
  <c r="CJ57" i="17" s="1"/>
  <c r="CH57" i="17"/>
  <c r="Y56" i="16"/>
  <c r="BN54" i="16"/>
  <c r="BK53" i="16"/>
  <c r="CD50" i="16"/>
  <c r="CE50" i="16" s="1"/>
  <c r="CG50" i="16" s="1"/>
  <c r="BN48" i="16"/>
  <c r="BO48" i="16" s="1"/>
  <c r="BQ48" i="16" s="1"/>
  <c r="Y47" i="16"/>
  <c r="BF47" i="16" s="1"/>
  <c r="BH47" i="16" s="1"/>
  <c r="CJ41" i="16"/>
  <c r="CJ40" i="17" s="1"/>
  <c r="CH40" i="17"/>
  <c r="BK41" i="16"/>
  <c r="BO41" i="16" s="1"/>
  <c r="BQ41" i="16" s="1"/>
  <c r="BE41" i="16"/>
  <c r="BN39" i="16"/>
  <c r="CJ38" i="16"/>
  <c r="CJ37" i="17" s="1"/>
  <c r="CH37" i="17"/>
  <c r="CJ34" i="16"/>
  <c r="CJ33" i="17" s="1"/>
  <c r="CI33" i="17"/>
  <c r="BY34" i="16"/>
  <c r="BN29" i="16"/>
  <c r="BO29" i="16" s="1"/>
  <c r="BQ29" i="16" s="1"/>
  <c r="CJ23" i="16"/>
  <c r="CJ22" i="17" s="1"/>
  <c r="CI22" i="17"/>
  <c r="BY23" i="16"/>
  <c r="BE23" i="16"/>
  <c r="BK19" i="16"/>
  <c r="BE19" i="16"/>
  <c r="BY16" i="16"/>
  <c r="BN16" i="16"/>
  <c r="BO16" i="16" s="1"/>
  <c r="BQ16" i="16" s="1"/>
  <c r="BY12" i="16"/>
  <c r="BN9" i="16"/>
  <c r="BO9" i="16" s="1"/>
  <c r="BQ9" i="16" s="1"/>
  <c r="CJ8" i="16"/>
  <c r="CJ7" i="17" s="1"/>
  <c r="CH7" i="17"/>
  <c r="BY6" i="16"/>
  <c r="BK6" i="16"/>
  <c r="BO6" i="16" s="1"/>
  <c r="BQ6" i="16" s="1"/>
  <c r="CH116" i="17"/>
  <c r="CD75" i="16"/>
  <c r="CE75" i="16" s="1"/>
  <c r="CG75" i="16" s="1"/>
  <c r="BE124" i="17"/>
  <c r="CD118" i="17"/>
  <c r="Y103" i="17"/>
  <c r="BF103" i="17" s="1"/>
  <c r="BH103" i="17" s="1"/>
  <c r="CH58" i="17"/>
  <c r="Y24" i="17"/>
  <c r="BY10" i="16"/>
  <c r="Y8" i="16"/>
  <c r="BE7" i="16"/>
  <c r="Y5" i="16"/>
  <c r="CD105" i="16"/>
  <c r="CD99" i="16"/>
  <c r="CE99" i="16" s="1"/>
  <c r="CG99" i="16" s="1"/>
  <c r="CD86" i="16"/>
  <c r="Y123" i="17"/>
  <c r="BF123" i="17" s="1"/>
  <c r="BH123" i="17" s="1"/>
  <c r="CD122" i="17"/>
  <c r="CE122" i="17" s="1"/>
  <c r="CG122" i="17" s="1"/>
  <c r="BE122" i="17"/>
  <c r="BN118" i="17"/>
  <c r="BO118" i="17" s="1"/>
  <c r="BQ118" i="17" s="1"/>
  <c r="Y118" i="17"/>
  <c r="CD116" i="17"/>
  <c r="CE116" i="17" s="1"/>
  <c r="CG116" i="17" s="1"/>
  <c r="Y116" i="17"/>
  <c r="CD113" i="17"/>
  <c r="BY110" i="17"/>
  <c r="BN110" i="17"/>
  <c r="BY109" i="17"/>
  <c r="CE109" i="17" s="1"/>
  <c r="CG109" i="17" s="1"/>
  <c r="BY108" i="17"/>
  <c r="CE108" i="17" s="1"/>
  <c r="CG108" i="17" s="1"/>
  <c r="BY104" i="17"/>
  <c r="BK104" i="17"/>
  <c r="BK98" i="17"/>
  <c r="BO98" i="17" s="1"/>
  <c r="BQ98" i="17" s="1"/>
  <c r="BK94" i="17"/>
  <c r="BO94" i="17" s="1"/>
  <c r="BK91" i="17"/>
  <c r="BO91" i="17" s="1"/>
  <c r="BQ91" i="17" s="1"/>
  <c r="BE16" i="17"/>
  <c r="CD123" i="17"/>
  <c r="CE123" i="17" s="1"/>
  <c r="CG123" i="17" s="1"/>
  <c r="BO121" i="17"/>
  <c r="BQ121" i="17" s="1"/>
  <c r="CD120" i="17"/>
  <c r="Y120" i="17"/>
  <c r="BY118" i="17"/>
  <c r="BE118" i="17"/>
  <c r="CD114" i="17"/>
  <c r="CE114" i="17" s="1"/>
  <c r="CG114" i="17" s="1"/>
  <c r="BE114" i="17"/>
  <c r="CD112" i="17"/>
  <c r="BQ100" i="17"/>
  <c r="CD97" i="17"/>
  <c r="CD96" i="17"/>
  <c r="CD90" i="17"/>
  <c r="CE90" i="17" s="1"/>
  <c r="CG90" i="17" s="1"/>
  <c r="BE79" i="17"/>
  <c r="Y76" i="17"/>
  <c r="BE75" i="17"/>
  <c r="BE42" i="17"/>
  <c r="BE40" i="17"/>
  <c r="Y20" i="17"/>
  <c r="CD13" i="17"/>
  <c r="BY8" i="17"/>
  <c r="BO6" i="17"/>
  <c r="BY4" i="17"/>
  <c r="BN96" i="17"/>
  <c r="BY95" i="17"/>
  <c r="CE95" i="17" s="1"/>
  <c r="CG95" i="17" s="1"/>
  <c r="BK95" i="17"/>
  <c r="BO95" i="17" s="1"/>
  <c r="BQ95" i="17" s="1"/>
  <c r="Y95" i="17"/>
  <c r="BQ81" i="17"/>
  <c r="BE81" i="17"/>
  <c r="Y50" i="17"/>
  <c r="Y36" i="17"/>
  <c r="Y32" i="17"/>
  <c r="CD5" i="17"/>
  <c r="CD103" i="16"/>
  <c r="Y117" i="17"/>
  <c r="BO116" i="17"/>
  <c r="BY112" i="17"/>
  <c r="CE112" i="17" s="1"/>
  <c r="CG112" i="17" s="1"/>
  <c r="BK105" i="17"/>
  <c r="BO105" i="17" s="1"/>
  <c r="BQ105" i="17" s="1"/>
  <c r="BE105" i="17"/>
  <c r="BN101" i="17"/>
  <c r="BY96" i="17"/>
  <c r="BE95" i="17"/>
  <c r="CD93" i="17"/>
  <c r="CE93" i="17" s="1"/>
  <c r="CG93" i="17" s="1"/>
  <c r="BE87" i="17"/>
  <c r="CD86" i="17"/>
  <c r="Y44" i="17"/>
  <c r="BK19" i="17"/>
  <c r="Y16" i="17"/>
  <c r="BF16" i="17" s="1"/>
  <c r="BH16" i="17" s="1"/>
  <c r="Y8" i="17"/>
  <c r="BN5" i="17"/>
  <c r="CD4" i="16"/>
  <c r="CE4" i="16" s="1"/>
  <c r="CG4" i="16" s="1"/>
  <c r="CD121" i="16"/>
  <c r="CD102" i="16"/>
  <c r="CD83" i="16"/>
  <c r="CE83" i="16" s="1"/>
  <c r="CG83" i="16" s="1"/>
  <c r="CD23" i="16"/>
  <c r="BY121" i="17"/>
  <c r="BY119" i="17"/>
  <c r="CE119" i="17" s="1"/>
  <c r="CG119" i="17" s="1"/>
  <c r="BK119" i="17"/>
  <c r="BO119" i="17" s="1"/>
  <c r="BQ119" i="17" s="1"/>
  <c r="BN113" i="17"/>
  <c r="Y108" i="17"/>
  <c r="BK106" i="17"/>
  <c r="BO106" i="17" s="1"/>
  <c r="BQ106" i="17" s="1"/>
  <c r="BE106" i="17"/>
  <c r="BN103" i="17"/>
  <c r="CD102" i="17"/>
  <c r="BN97" i="17"/>
  <c r="BO97" i="17" s="1"/>
  <c r="BQ97" i="17" s="1"/>
  <c r="BN93" i="17"/>
  <c r="Y79" i="17"/>
  <c r="Y75" i="17"/>
  <c r="Y35" i="17"/>
  <c r="BE24" i="17"/>
  <c r="Y119" i="17"/>
  <c r="BF119" i="17" s="1"/>
  <c r="BH119" i="17" s="1"/>
  <c r="BY115" i="17"/>
  <c r="CE115" i="17" s="1"/>
  <c r="CG115" i="17" s="1"/>
  <c r="BY102" i="17"/>
  <c r="BY97" i="17"/>
  <c r="BE55" i="17"/>
  <c r="BE48" i="17"/>
  <c r="BE43" i="17"/>
  <c r="BN90" i="17"/>
  <c r="BK89" i="17"/>
  <c r="BY86" i="17"/>
  <c r="BN86" i="17"/>
  <c r="BY85" i="17"/>
  <c r="BY84" i="17"/>
  <c r="BN82" i="17"/>
  <c r="BY81" i="17"/>
  <c r="CD74" i="17"/>
  <c r="CD73" i="17"/>
  <c r="BN72" i="17"/>
  <c r="BO72" i="17" s="1"/>
  <c r="BQ72" i="17" s="1"/>
  <c r="BY70" i="17"/>
  <c r="CE70" i="17" s="1"/>
  <c r="CG70" i="17" s="1"/>
  <c r="BK69" i="17"/>
  <c r="BO69" i="17" s="1"/>
  <c r="BQ69" i="17" s="1"/>
  <c r="CD66" i="17"/>
  <c r="CD65" i="17"/>
  <c r="BN64" i="17"/>
  <c r="BO64" i="17" s="1"/>
  <c r="BQ64" i="17" s="1"/>
  <c r="BY62" i="17"/>
  <c r="BE54" i="17"/>
  <c r="CD48" i="17"/>
  <c r="Y48" i="17"/>
  <c r="BF48" i="17" s="1"/>
  <c r="BH48" i="17" s="1"/>
  <c r="CD27" i="17"/>
  <c r="BN24" i="17"/>
  <c r="BN23" i="17"/>
  <c r="BO23" i="17" s="1"/>
  <c r="BQ23" i="17" s="1"/>
  <c r="BY18" i="17"/>
  <c r="BY17" i="17"/>
  <c r="CE17" i="17" s="1"/>
  <c r="CG17" i="17" s="1"/>
  <c r="BK16" i="17"/>
  <c r="BK15" i="17"/>
  <c r="CD12" i="17"/>
  <c r="Y11" i="17"/>
  <c r="CD10" i="17"/>
  <c r="CD6" i="17"/>
  <c r="BN4" i="17"/>
  <c r="BO4" i="17" s="1"/>
  <c r="BQ4" i="17" s="1"/>
  <c r="BK90" i="17"/>
  <c r="BO90" i="17" s="1"/>
  <c r="BQ90" i="17" s="1"/>
  <c r="BK86" i="17"/>
  <c r="BY82" i="17"/>
  <c r="CE82" i="17" s="1"/>
  <c r="CG82" i="17" s="1"/>
  <c r="BK82" i="17"/>
  <c r="BE82" i="17"/>
  <c r="BN79" i="17"/>
  <c r="CD78" i="17"/>
  <c r="BN74" i="17"/>
  <c r="BO74" i="17" s="1"/>
  <c r="BQ74" i="17" s="1"/>
  <c r="BE70" i="17"/>
  <c r="CD67" i="17"/>
  <c r="BN66" i="17"/>
  <c r="BE62" i="17"/>
  <c r="BK61" i="17"/>
  <c r="CD58" i="17"/>
  <c r="CE58" i="17" s="1"/>
  <c r="CG58" i="17" s="1"/>
  <c r="BY47" i="17"/>
  <c r="CD44" i="17"/>
  <c r="BE36" i="17"/>
  <c r="BF36" i="17" s="1"/>
  <c r="BH36" i="17" s="1"/>
  <c r="Y28" i="17"/>
  <c r="BY27" i="17"/>
  <c r="CE27" i="17" s="1"/>
  <c r="CG27" i="17" s="1"/>
  <c r="BN27" i="17"/>
  <c r="BY25" i="17"/>
  <c r="BK24" i="17"/>
  <c r="BK21" i="17"/>
  <c r="CD8" i="17"/>
  <c r="CE8" i="17" s="1"/>
  <c r="CG8" i="17" s="1"/>
  <c r="CD7" i="17"/>
  <c r="CD89" i="17"/>
  <c r="CE89" i="17" s="1"/>
  <c r="CG89" i="17" s="1"/>
  <c r="CD88" i="17"/>
  <c r="CE88" i="17" s="1"/>
  <c r="CG88" i="17" s="1"/>
  <c r="BY78" i="17"/>
  <c r="BY77" i="17"/>
  <c r="BY76" i="17"/>
  <c r="CE76" i="17" s="1"/>
  <c r="CG76" i="17" s="1"/>
  <c r="BY75" i="17"/>
  <c r="BY73" i="17"/>
  <c r="BK73" i="17"/>
  <c r="BO73" i="17" s="1"/>
  <c r="CD68" i="17"/>
  <c r="BY67" i="17"/>
  <c r="BY66" i="17"/>
  <c r="BY65" i="17"/>
  <c r="BK65" i="17"/>
  <c r="BE63" i="17"/>
  <c r="Y58" i="17"/>
  <c r="CD57" i="17"/>
  <c r="BN56" i="17"/>
  <c r="BN55" i="17"/>
  <c r="BO55" i="17" s="1"/>
  <c r="BQ55" i="17" s="1"/>
  <c r="CD51" i="17"/>
  <c r="BY50" i="17"/>
  <c r="CE50" i="17" s="1"/>
  <c r="CG50" i="17" s="1"/>
  <c r="BN50" i="17"/>
  <c r="CD39" i="17"/>
  <c r="CE39" i="17" s="1"/>
  <c r="CG39" i="17" s="1"/>
  <c r="BK35" i="17"/>
  <c r="BN30" i="17"/>
  <c r="BO30" i="17" s="1"/>
  <c r="BQ30" i="17" s="1"/>
  <c r="BN28" i="17"/>
  <c r="BE28" i="17"/>
  <c r="BE22" i="17"/>
  <c r="Y12" i="17"/>
  <c r="BY11" i="17"/>
  <c r="BE8" i="17"/>
  <c r="BN7" i="17"/>
  <c r="BY6" i="17"/>
  <c r="BY5" i="17"/>
  <c r="BO87" i="17"/>
  <c r="BQ87" i="17" s="1"/>
  <c r="Y87" i="17"/>
  <c r="CD81" i="17"/>
  <c r="CD80" i="17"/>
  <c r="BE73" i="17"/>
  <c r="CD72" i="17"/>
  <c r="Y71" i="17"/>
  <c r="BN68" i="17"/>
  <c r="BO68" i="17" s="1"/>
  <c r="BQ68" i="17" s="1"/>
  <c r="BE65" i="17"/>
  <c r="CD64" i="17"/>
  <c r="CE64" i="17" s="1"/>
  <c r="CG64" i="17" s="1"/>
  <c r="CD59" i="17"/>
  <c r="BE56" i="17"/>
  <c r="BY51" i="17"/>
  <c r="CD42" i="17"/>
  <c r="Y40" i="17"/>
  <c r="BK37" i="17"/>
  <c r="BO37" i="17" s="1"/>
  <c r="BQ37" i="17" s="1"/>
  <c r="CD32" i="17"/>
  <c r="BE27" i="17"/>
  <c r="CD20" i="17"/>
  <c r="CD18" i="17"/>
  <c r="CD16" i="17"/>
  <c r="CE16" i="17" s="1"/>
  <c r="CG16" i="17" s="1"/>
  <c r="BN12" i="17"/>
  <c r="BO12" i="17" s="1"/>
  <c r="BQ12" i="17" s="1"/>
  <c r="BE12" i="17"/>
  <c r="BE7" i="17"/>
  <c r="BN89" i="17"/>
  <c r="BN85" i="17"/>
  <c r="BO85" i="17" s="1"/>
  <c r="BQ85" i="17" s="1"/>
  <c r="BY80" i="17"/>
  <c r="BK80" i="17"/>
  <c r="BO80" i="17" s="1"/>
  <c r="BQ80" i="17" s="1"/>
  <c r="BE80" i="17"/>
  <c r="CD71" i="17"/>
  <c r="CE71" i="17" s="1"/>
  <c r="CG71" i="17" s="1"/>
  <c r="BY59" i="17"/>
  <c r="BK59" i="17"/>
  <c r="BO59" i="17" s="1"/>
  <c r="BQ59" i="17" s="1"/>
  <c r="BY57" i="17"/>
  <c r="BK57" i="17"/>
  <c r="BK56" i="17"/>
  <c r="BK51" i="17"/>
  <c r="BO51" i="17" s="1"/>
  <c r="BQ51" i="17" s="1"/>
  <c r="CD45" i="17"/>
  <c r="BN42" i="17"/>
  <c r="BO42" i="17" s="1"/>
  <c r="BQ42" i="17" s="1"/>
  <c r="BN32" i="17"/>
  <c r="BO32" i="17" s="1"/>
  <c r="BQ32" i="17" s="1"/>
  <c r="BN31" i="17"/>
  <c r="BY30" i="17"/>
  <c r="BY29" i="17"/>
  <c r="CE29" i="17" s="1"/>
  <c r="CG29" i="17" s="1"/>
  <c r="BK29" i="17"/>
  <c r="BK28" i="17"/>
  <c r="CD26" i="17"/>
  <c r="Y22" i="17"/>
  <c r="CD21" i="17"/>
  <c r="BN16" i="17"/>
  <c r="BN15" i="17"/>
  <c r="BY14" i="17"/>
  <c r="BY9" i="17"/>
  <c r="BK8" i="17"/>
  <c r="CD4" i="17"/>
  <c r="CD63" i="17"/>
  <c r="CE63" i="17" s="1"/>
  <c r="CG63" i="17" s="1"/>
  <c r="BE57" i="17"/>
  <c r="CD56" i="17"/>
  <c r="BY53" i="17"/>
  <c r="CE53" i="17" s="1"/>
  <c r="CG53" i="17" s="1"/>
  <c r="BK53" i="17"/>
  <c r="CD47" i="17"/>
  <c r="CE47" i="17" s="1"/>
  <c r="CG47" i="17" s="1"/>
  <c r="BY43" i="17"/>
  <c r="BN43" i="17"/>
  <c r="BO43" i="17" s="1"/>
  <c r="BQ43" i="17" s="1"/>
  <c r="BN34" i="17"/>
  <c r="BO34" i="17" s="1"/>
  <c r="BQ34" i="17" s="1"/>
  <c r="BK31" i="17"/>
  <c r="CD28" i="17"/>
  <c r="Y26" i="17"/>
  <c r="CD25" i="17"/>
  <c r="BN19" i="17"/>
  <c r="BY13" i="17"/>
  <c r="BE10" i="17"/>
  <c r="BK9" i="17"/>
  <c r="BO9" i="17" s="1"/>
  <c r="BQ9" i="17" s="1"/>
  <c r="BE70" i="16"/>
  <c r="CJ70" i="16"/>
  <c r="BK70" i="16"/>
  <c r="BO70" i="16" s="1"/>
  <c r="BQ70" i="16" s="1"/>
  <c r="BQ116" i="17"/>
  <c r="BF95" i="17"/>
  <c r="BH95" i="17" s="1"/>
  <c r="BU95" i="17" s="1"/>
  <c r="CE124" i="17"/>
  <c r="CG124" i="17" s="1"/>
  <c r="Y93" i="17"/>
  <c r="Y85" i="17"/>
  <c r="BE77" i="17"/>
  <c r="BE61" i="17"/>
  <c r="Y115" i="17"/>
  <c r="BE107" i="17"/>
  <c r="Y106" i="17"/>
  <c r="Y104" i="17"/>
  <c r="CD103" i="17"/>
  <c r="CE103" i="17" s="1"/>
  <c r="CG103" i="17" s="1"/>
  <c r="CD101" i="17"/>
  <c r="CE101" i="17" s="1"/>
  <c r="CG101" i="17" s="1"/>
  <c r="Y100" i="17"/>
  <c r="BE98" i="17"/>
  <c r="BE97" i="17"/>
  <c r="BE93" i="17"/>
  <c r="BE90" i="17"/>
  <c r="BE89" i="17"/>
  <c r="BE85" i="17"/>
  <c r="BQ84" i="17"/>
  <c r="Y82" i="17"/>
  <c r="BF82" i="17" s="1"/>
  <c r="BH82" i="17" s="1"/>
  <c r="Y80" i="17"/>
  <c r="CD79" i="17"/>
  <c r="Y78" i="17"/>
  <c r="CD77" i="17"/>
  <c r="BE84" i="17"/>
  <c r="Y113" i="17"/>
  <c r="Y110" i="17"/>
  <c r="BE109" i="17"/>
  <c r="BE99" i="17"/>
  <c r="Y98" i="17"/>
  <c r="Y96" i="17"/>
  <c r="CD95" i="17"/>
  <c r="BQ94" i="17"/>
  <c r="Y92" i="17"/>
  <c r="BE91" i="17"/>
  <c r="Y90" i="17"/>
  <c r="Y88" i="17"/>
  <c r="CD87" i="17"/>
  <c r="CE87" i="17" s="1"/>
  <c r="CG87" i="17" s="1"/>
  <c r="Y86" i="17"/>
  <c r="CD85" i="17"/>
  <c r="Y84" i="17"/>
  <c r="BE83" i="17"/>
  <c r="BE110" i="17"/>
  <c r="Y102" i="17"/>
  <c r="BE101" i="17"/>
  <c r="Y89" i="17"/>
  <c r="Y81" i="17"/>
  <c r="Y67" i="17"/>
  <c r="BE112" i="17"/>
  <c r="BO111" i="17"/>
  <c r="BQ111" i="17" s="1"/>
  <c r="Y107" i="17"/>
  <c r="BE102" i="17"/>
  <c r="Y97" i="17"/>
  <c r="Y94" i="17"/>
  <c r="BE78" i="17"/>
  <c r="BE92" i="17"/>
  <c r="Y114" i="17"/>
  <c r="BF114" i="17" s="1"/>
  <c r="BH114" i="17" s="1"/>
  <c r="CE104" i="17"/>
  <c r="CG104" i="17" s="1"/>
  <c r="BE104" i="17"/>
  <c r="BO103" i="17"/>
  <c r="BQ103" i="17" s="1"/>
  <c r="BO102" i="17"/>
  <c r="BQ102" i="17" s="1"/>
  <c r="Y99" i="17"/>
  <c r="BE94" i="17"/>
  <c r="CE92" i="17"/>
  <c r="CG92" i="17" s="1"/>
  <c r="Y91" i="17"/>
  <c r="BE86" i="17"/>
  <c r="CE84" i="17"/>
  <c r="CG84" i="17" s="1"/>
  <c r="Y83" i="17"/>
  <c r="BE69" i="17"/>
  <c r="BE58" i="17"/>
  <c r="BE52" i="17"/>
  <c r="BE115" i="17"/>
  <c r="Y109" i="17"/>
  <c r="BE108" i="17"/>
  <c r="CE98" i="17"/>
  <c r="CG98" i="17" s="1"/>
  <c r="BE96" i="17"/>
  <c r="Y59" i="17"/>
  <c r="Y101" i="17"/>
  <c r="BF101" i="17" s="1"/>
  <c r="BH101" i="17" s="1"/>
  <c r="BE100" i="17"/>
  <c r="Y77" i="17"/>
  <c r="BN75" i="17"/>
  <c r="BO75" i="17" s="1"/>
  <c r="BQ75" i="17" s="1"/>
  <c r="BE67" i="17"/>
  <c r="Y56" i="17"/>
  <c r="Y74" i="17"/>
  <c r="BQ73" i="17"/>
  <c r="Y73" i="17"/>
  <c r="Y70" i="17"/>
  <c r="Y66" i="17"/>
  <c r="Y65" i="17"/>
  <c r="Y63" i="17"/>
  <c r="Y62" i="17"/>
  <c r="Y69" i="17"/>
  <c r="Y61" i="17"/>
  <c r="Y57" i="17"/>
  <c r="BE53" i="17"/>
  <c r="Y49" i="17"/>
  <c r="BK76" i="17"/>
  <c r="BO76" i="17" s="1"/>
  <c r="BQ76" i="17" s="1"/>
  <c r="Y21" i="17"/>
  <c r="CE10" i="17"/>
  <c r="CG10" i="17" s="1"/>
  <c r="CD75" i="17"/>
  <c r="BY74" i="17"/>
  <c r="CE74" i="17" s="1"/>
  <c r="CG74" i="17" s="1"/>
  <c r="CE68" i="17"/>
  <c r="CG68" i="17" s="1"/>
  <c r="Y68" i="17"/>
  <c r="Y60" i="17"/>
  <c r="BE59" i="17"/>
  <c r="BE71" i="17"/>
  <c r="BE68" i="17"/>
  <c r="BE60" i="17"/>
  <c r="BF44" i="17"/>
  <c r="BH44" i="17" s="1"/>
  <c r="BE74" i="17"/>
  <c r="BE66" i="17"/>
  <c r="Y52" i="17"/>
  <c r="BE35" i="17"/>
  <c r="Y31" i="17"/>
  <c r="BE9" i="17"/>
  <c r="BE41" i="17"/>
  <c r="BN40" i="17"/>
  <c r="CD38" i="17"/>
  <c r="Y38" i="17"/>
  <c r="BY34" i="17"/>
  <c r="CE34" i="17" s="1"/>
  <c r="CG34" i="17" s="1"/>
  <c r="CE32" i="17"/>
  <c r="CG32" i="17" s="1"/>
  <c r="BE29" i="17"/>
  <c r="Y25" i="17"/>
  <c r="BE23" i="17"/>
  <c r="BY22" i="17"/>
  <c r="BE19" i="17"/>
  <c r="BE13" i="17"/>
  <c r="CE11" i="17"/>
  <c r="CG11" i="17" s="1"/>
  <c r="BY7" i="17"/>
  <c r="BE6" i="17"/>
  <c r="BO5" i="17"/>
  <c r="BQ5" i="17" s="1"/>
  <c r="Y54" i="17"/>
  <c r="Y47" i="17"/>
  <c r="CD43" i="17"/>
  <c r="CE43" i="17" s="1"/>
  <c r="CG43" i="17" s="1"/>
  <c r="Y43" i="17"/>
  <c r="Y37" i="17"/>
  <c r="CD24" i="17"/>
  <c r="CE24" i="17" s="1"/>
  <c r="CG24" i="17" s="1"/>
  <c r="BF24" i="17"/>
  <c r="BH24" i="17" s="1"/>
  <c r="Y15" i="17"/>
  <c r="Y10" i="17"/>
  <c r="BO8" i="17"/>
  <c r="BQ8" i="17" s="1"/>
  <c r="Y53" i="17"/>
  <c r="BE51" i="17"/>
  <c r="BE50" i="17"/>
  <c r="CE49" i="17"/>
  <c r="CG49" i="17" s="1"/>
  <c r="BE46" i="17"/>
  <c r="Y42" i="17"/>
  <c r="BE39" i="17"/>
  <c r="BE34" i="17"/>
  <c r="BK33" i="17"/>
  <c r="BO33" i="17" s="1"/>
  <c r="BQ33" i="17" s="1"/>
  <c r="CD31" i="17"/>
  <c r="CD30" i="17"/>
  <c r="Y30" i="17"/>
  <c r="BO27" i="17"/>
  <c r="BQ27" i="17" s="1"/>
  <c r="BY26" i="17"/>
  <c r="CD19" i="17"/>
  <c r="Y19" i="17"/>
  <c r="BE18" i="17"/>
  <c r="BK17" i="17"/>
  <c r="BO17" i="17" s="1"/>
  <c r="BQ17" i="17" s="1"/>
  <c r="CD15" i="17"/>
  <c r="CD14" i="17"/>
  <c r="Y14" i="17"/>
  <c r="Y9" i="17"/>
  <c r="BE5" i="17"/>
  <c r="BO49" i="17"/>
  <c r="BQ49" i="17" s="1"/>
  <c r="BE45" i="17"/>
  <c r="Y41" i="17"/>
  <c r="CE36" i="17"/>
  <c r="CG36" i="17" s="1"/>
  <c r="BE33" i="17"/>
  <c r="Y29" i="17"/>
  <c r="Y23" i="17"/>
  <c r="BE17" i="17"/>
  <c r="Y13" i="17"/>
  <c r="Y7" i="17"/>
  <c r="BF55" i="17"/>
  <c r="BH55" i="17" s="1"/>
  <c r="BE49" i="17"/>
  <c r="BN48" i="17"/>
  <c r="BO48" i="17" s="1"/>
  <c r="BQ48" i="17" s="1"/>
  <c r="Y46" i="17"/>
  <c r="CD40" i="17"/>
  <c r="CE40" i="17" s="1"/>
  <c r="CG40" i="17" s="1"/>
  <c r="BE38" i="17"/>
  <c r="CE37" i="17"/>
  <c r="CG37" i="17" s="1"/>
  <c r="CD35" i="17"/>
  <c r="CE35" i="17" s="1"/>
  <c r="CG35" i="17" s="1"/>
  <c r="BY31" i="17"/>
  <c r="BE31" i="17"/>
  <c r="BE26" i="17"/>
  <c r="BK25" i="17"/>
  <c r="CD23" i="17"/>
  <c r="CE23" i="17" s="1"/>
  <c r="CG23" i="17" s="1"/>
  <c r="BE21" i="17"/>
  <c r="BN20" i="17"/>
  <c r="BO20" i="17" s="1"/>
  <c r="BQ20" i="17" s="1"/>
  <c r="BY15" i="17"/>
  <c r="BE11" i="17"/>
  <c r="BF11" i="17" s="1"/>
  <c r="BH11" i="17" s="1"/>
  <c r="BQ6" i="17"/>
  <c r="Y6" i="17"/>
  <c r="CG55" i="17"/>
  <c r="BO53" i="17"/>
  <c r="BQ53" i="17" s="1"/>
  <c r="Y51" i="17"/>
  <c r="BO47" i="17"/>
  <c r="BQ47" i="17" s="1"/>
  <c r="BY42" i="17"/>
  <c r="Y39" i="17"/>
  <c r="Y34" i="17"/>
  <c r="Y27" i="17"/>
  <c r="BE25" i="17"/>
  <c r="CD22" i="17"/>
  <c r="Y18" i="17"/>
  <c r="BE15" i="17"/>
  <c r="CE9" i="17"/>
  <c r="CG9" i="17" s="1"/>
  <c r="Y5" i="17"/>
  <c r="BE47" i="17"/>
  <c r="Y45" i="17"/>
  <c r="BF45" i="17" s="1"/>
  <c r="BH45" i="17" s="1"/>
  <c r="CE41" i="17"/>
  <c r="CG41" i="17" s="1"/>
  <c r="BE37" i="17"/>
  <c r="Y33" i="17"/>
  <c r="BE30" i="17"/>
  <c r="CE19" i="17"/>
  <c r="CG19" i="17" s="1"/>
  <c r="Y17" i="17"/>
  <c r="BE14" i="17"/>
  <c r="Y69" i="16"/>
  <c r="BF69" i="16" s="1"/>
  <c r="BH69" i="16" s="1"/>
  <c r="CD125" i="16"/>
  <c r="CE125" i="16" s="1"/>
  <c r="CG125" i="16" s="1"/>
  <c r="CD107" i="16"/>
  <c r="CE107" i="16" s="1"/>
  <c r="CG107" i="16" s="1"/>
  <c r="CE101" i="16"/>
  <c r="CG101" i="16" s="1"/>
  <c r="CD81" i="16"/>
  <c r="CE81" i="16" s="1"/>
  <c r="CG81" i="16" s="1"/>
  <c r="CD95" i="16"/>
  <c r="CE95" i="16" s="1"/>
  <c r="CG95" i="16" s="1"/>
  <c r="CE72" i="16"/>
  <c r="CG72" i="16" s="1"/>
  <c r="CD122" i="16"/>
  <c r="CE122" i="16" s="1"/>
  <c r="CG122" i="16" s="1"/>
  <c r="CD115" i="16"/>
  <c r="CD112" i="16"/>
  <c r="CE112" i="16" s="1"/>
  <c r="CG112" i="16" s="1"/>
  <c r="CE110" i="16"/>
  <c r="CG110" i="16" s="1"/>
  <c r="CD90" i="16"/>
  <c r="CE88" i="16"/>
  <c r="CG88" i="16" s="1"/>
  <c r="CD85" i="16"/>
  <c r="CE85" i="16" s="1"/>
  <c r="CG85" i="16" s="1"/>
  <c r="CD76" i="16"/>
  <c r="CE76" i="16" s="1"/>
  <c r="CG76" i="16" s="1"/>
  <c r="CE69" i="16"/>
  <c r="CG69" i="16" s="1"/>
  <c r="CD43" i="16"/>
  <c r="CD35" i="16"/>
  <c r="CE35" i="16" s="1"/>
  <c r="CG35" i="16" s="1"/>
  <c r="CD15" i="16"/>
  <c r="CE15" i="16" s="1"/>
  <c r="CG15" i="16" s="1"/>
  <c r="CD12" i="16"/>
  <c r="CE12" i="16" s="1"/>
  <c r="CG12" i="16" s="1"/>
  <c r="CD11" i="16"/>
  <c r="CE11" i="16" s="1"/>
  <c r="CG11" i="16" s="1"/>
  <c r="CD114" i="16"/>
  <c r="CE114" i="16" s="1"/>
  <c r="CG114" i="16" s="1"/>
  <c r="CD89" i="16"/>
  <c r="CE89" i="16" s="1"/>
  <c r="CG89" i="16" s="1"/>
  <c r="CE124" i="16"/>
  <c r="CG124" i="16" s="1"/>
  <c r="CD111" i="16"/>
  <c r="CE111" i="16" s="1"/>
  <c r="CG111" i="16" s="1"/>
  <c r="CE84" i="16"/>
  <c r="CG84" i="16" s="1"/>
  <c r="CE70" i="16"/>
  <c r="CG70" i="16" s="1"/>
  <c r="CD127" i="16"/>
  <c r="CE118" i="16"/>
  <c r="CG118" i="16" s="1"/>
  <c r="CD108" i="16"/>
  <c r="CE108" i="16" s="1"/>
  <c r="CG108" i="16" s="1"/>
  <c r="CE103" i="16"/>
  <c r="CG103" i="16" s="1"/>
  <c r="CD82" i="16"/>
  <c r="CE82" i="16" s="1"/>
  <c r="CG82" i="16" s="1"/>
  <c r="CD77" i="16"/>
  <c r="CE77" i="16" s="1"/>
  <c r="CG77" i="16" s="1"/>
  <c r="CD71" i="16"/>
  <c r="CD45" i="16"/>
  <c r="CE45" i="16" s="1"/>
  <c r="CG45" i="16" s="1"/>
  <c r="CD24" i="16"/>
  <c r="CE24" i="16" s="1"/>
  <c r="CG24" i="16" s="1"/>
  <c r="CD21" i="16"/>
  <c r="CE21" i="16" s="1"/>
  <c r="CG21" i="16" s="1"/>
  <c r="CD19" i="16"/>
  <c r="CD5" i="16"/>
  <c r="CD87" i="16"/>
  <c r="CE87" i="16" s="1"/>
  <c r="CG87" i="16" s="1"/>
  <c r="CD63" i="16"/>
  <c r="CE63" i="16" s="1"/>
  <c r="CG63" i="16" s="1"/>
  <c r="CD8" i="16"/>
  <c r="CE126" i="16"/>
  <c r="CG126" i="16" s="1"/>
  <c r="CD109" i="16"/>
  <c r="CE109" i="16" s="1"/>
  <c r="CG109" i="16" s="1"/>
  <c r="CE105" i="16"/>
  <c r="CG105" i="16" s="1"/>
  <c r="CD97" i="16"/>
  <c r="CD73" i="16"/>
  <c r="CE73" i="16" s="1"/>
  <c r="CG73" i="16" s="1"/>
  <c r="CD47" i="16"/>
  <c r="CD106" i="16"/>
  <c r="CD79" i="16"/>
  <c r="CE79" i="16" s="1"/>
  <c r="CG79" i="16" s="1"/>
  <c r="CD67" i="16"/>
  <c r="CD16" i="16"/>
  <c r="CD117" i="16"/>
  <c r="CE117" i="16" s="1"/>
  <c r="CG117" i="16" s="1"/>
  <c r="CD93" i="16"/>
  <c r="CE93" i="16" s="1"/>
  <c r="CG93" i="16" s="1"/>
  <c r="CE91" i="16"/>
  <c r="CG91" i="16" s="1"/>
  <c r="CD74" i="16"/>
  <c r="CD39" i="16"/>
  <c r="CE33" i="16"/>
  <c r="CG33" i="16" s="1"/>
  <c r="CD31" i="16"/>
  <c r="CE31" i="16" s="1"/>
  <c r="CD27" i="16"/>
  <c r="CE22" i="16"/>
  <c r="CG22" i="16" s="1"/>
  <c r="CE74" i="16"/>
  <c r="CG74" i="16" s="1"/>
  <c r="CE53" i="16"/>
  <c r="CG53" i="16" s="1"/>
  <c r="CE25" i="16"/>
  <c r="CD7" i="16"/>
  <c r="CE7" i="16" s="1"/>
  <c r="CG7" i="16" s="1"/>
  <c r="BE119" i="16"/>
  <c r="BF119" i="16" s="1"/>
  <c r="BH119" i="16" s="1"/>
  <c r="CE127" i="16"/>
  <c r="CG127" i="16" s="1"/>
  <c r="BO125" i="16"/>
  <c r="BQ125" i="16" s="1"/>
  <c r="BF107" i="16"/>
  <c r="BH107" i="16" s="1"/>
  <c r="BU107" i="16" s="1"/>
  <c r="BF124" i="16"/>
  <c r="BH124" i="16" s="1"/>
  <c r="BF123" i="16"/>
  <c r="BH123" i="16" s="1"/>
  <c r="BF122" i="16"/>
  <c r="BH122" i="16" s="1"/>
  <c r="BF120" i="16"/>
  <c r="BH120" i="16" s="1"/>
  <c r="BU120" i="16" s="1"/>
  <c r="BE111" i="16"/>
  <c r="BF111" i="16" s="1"/>
  <c r="BH111" i="16" s="1"/>
  <c r="BU111" i="16" s="1"/>
  <c r="BH110" i="16"/>
  <c r="BU110" i="16" s="1"/>
  <c r="BO105" i="16"/>
  <c r="BQ105" i="16" s="1"/>
  <c r="CE121" i="16"/>
  <c r="CG121" i="16" s="1"/>
  <c r="BO117" i="16"/>
  <c r="BQ117" i="16" s="1"/>
  <c r="CE106" i="16"/>
  <c r="CG106" i="16" s="1"/>
  <c r="BO106" i="16"/>
  <c r="BQ106" i="16" s="1"/>
  <c r="CE102" i="16"/>
  <c r="CG102" i="16" s="1"/>
  <c r="BE101" i="16"/>
  <c r="BF126" i="16"/>
  <c r="BH126" i="16" s="1"/>
  <c r="BU126" i="16" s="1"/>
  <c r="BH118" i="16"/>
  <c r="BU118" i="16" s="1"/>
  <c r="BO101" i="16"/>
  <c r="BQ101" i="16" s="1"/>
  <c r="BH112" i="16"/>
  <c r="BF104" i="16"/>
  <c r="BH104" i="16" s="1"/>
  <c r="BE125" i="16"/>
  <c r="BF125" i="16" s="1"/>
  <c r="BH125" i="16" s="1"/>
  <c r="BO127" i="16"/>
  <c r="BQ127" i="16" s="1"/>
  <c r="BO116" i="16"/>
  <c r="BQ116" i="16" s="1"/>
  <c r="BE115" i="16"/>
  <c r="BF115" i="16" s="1"/>
  <c r="BH115" i="16" s="1"/>
  <c r="BU115" i="16" s="1"/>
  <c r="BO110" i="16"/>
  <c r="BQ110" i="16" s="1"/>
  <c r="BO109" i="16"/>
  <c r="BQ109" i="16" s="1"/>
  <c r="BO104" i="16"/>
  <c r="BQ104" i="16" s="1"/>
  <c r="CD98" i="16"/>
  <c r="CE98" i="16" s="1"/>
  <c r="CG98" i="16" s="1"/>
  <c r="BE96" i="16"/>
  <c r="BE94" i="16"/>
  <c r="BO81" i="16"/>
  <c r="BQ81" i="16" s="1"/>
  <c r="BO78" i="16"/>
  <c r="BQ78" i="16" s="1"/>
  <c r="BE77" i="16"/>
  <c r="BF77" i="16" s="1"/>
  <c r="BH77" i="16" s="1"/>
  <c r="BF71" i="16"/>
  <c r="BH71" i="16" s="1"/>
  <c r="CD100" i="16"/>
  <c r="CE100" i="16" s="1"/>
  <c r="CG100" i="16" s="1"/>
  <c r="BE98" i="16"/>
  <c r="BF92" i="16"/>
  <c r="BH92" i="16" s="1"/>
  <c r="BU92" i="16" s="1"/>
  <c r="BF80" i="16"/>
  <c r="BH80" i="16" s="1"/>
  <c r="BU80" i="16" s="1"/>
  <c r="BE100" i="16"/>
  <c r="BY97" i="16"/>
  <c r="BE97" i="16"/>
  <c r="BF97" i="16" s="1"/>
  <c r="BH97" i="16" s="1"/>
  <c r="BE86" i="16"/>
  <c r="BF86" i="16" s="1"/>
  <c r="BH86" i="16" s="1"/>
  <c r="CE61" i="16"/>
  <c r="CG61" i="16" s="1"/>
  <c r="BF95" i="16"/>
  <c r="BH95" i="16" s="1"/>
  <c r="BE90" i="16"/>
  <c r="BF83" i="16"/>
  <c r="BH83" i="16" s="1"/>
  <c r="BU83" i="16" s="1"/>
  <c r="BF74" i="16"/>
  <c r="BH74" i="16" s="1"/>
  <c r="BF81" i="16"/>
  <c r="BH81" i="16" s="1"/>
  <c r="BF67" i="16"/>
  <c r="BH67" i="16" s="1"/>
  <c r="Y103" i="16"/>
  <c r="BO102" i="16"/>
  <c r="BQ102" i="16" s="1"/>
  <c r="BO94" i="16"/>
  <c r="BQ94" i="16" s="1"/>
  <c r="BO73" i="16"/>
  <c r="BQ73" i="16" s="1"/>
  <c r="BY96" i="16"/>
  <c r="BE72" i="16"/>
  <c r="BF72" i="16" s="1"/>
  <c r="BH72" i="16" s="1"/>
  <c r="BU72" i="16" s="1"/>
  <c r="Y101" i="16"/>
  <c r="BK98" i="16"/>
  <c r="BO98" i="16" s="1"/>
  <c r="BQ98" i="16" s="1"/>
  <c r="Y96" i="16"/>
  <c r="BO95" i="16"/>
  <c r="BQ95" i="16" s="1"/>
  <c r="BE93" i="16"/>
  <c r="BF93" i="16" s="1"/>
  <c r="BH93" i="16" s="1"/>
  <c r="BE85" i="16"/>
  <c r="BF84" i="16"/>
  <c r="BH84" i="16" s="1"/>
  <c r="BF59" i="16"/>
  <c r="BH59" i="16" s="1"/>
  <c r="BU59" i="16" s="1"/>
  <c r="BN71" i="16"/>
  <c r="BO71" i="16" s="1"/>
  <c r="BQ71" i="16" s="1"/>
  <c r="BE68" i="16"/>
  <c r="BF68" i="16" s="1"/>
  <c r="BH68" i="16" s="1"/>
  <c r="BU68" i="16" s="1"/>
  <c r="BY65" i="16"/>
  <c r="CE65" i="16" s="1"/>
  <c r="CG65" i="16" s="1"/>
  <c r="BN65" i="16"/>
  <c r="BO65" i="16" s="1"/>
  <c r="BQ65" i="16" s="1"/>
  <c r="BE57" i="16"/>
  <c r="BF57" i="16" s="1"/>
  <c r="BH57" i="16" s="1"/>
  <c r="BF42" i="16"/>
  <c r="BH42" i="16" s="1"/>
  <c r="Y61" i="16"/>
  <c r="BF61" i="16" s="1"/>
  <c r="BH61" i="16" s="1"/>
  <c r="BY67" i="16"/>
  <c r="BK64" i="16"/>
  <c r="BO64" i="16" s="1"/>
  <c r="BQ64" i="16" s="1"/>
  <c r="CD57" i="16"/>
  <c r="BO55" i="16"/>
  <c r="BQ55" i="16" s="1"/>
  <c r="BU55" i="16" s="1"/>
  <c r="BO54" i="16"/>
  <c r="BQ54" i="16" s="1"/>
  <c r="BO53" i="16"/>
  <c r="BQ53" i="16" s="1"/>
  <c r="CD60" i="16"/>
  <c r="CE60" i="16" s="1"/>
  <c r="CG60" i="16" s="1"/>
  <c r="CG25" i="16"/>
  <c r="BO68" i="16"/>
  <c r="BQ68" i="16" s="1"/>
  <c r="BE60" i="16"/>
  <c r="BF60" i="16" s="1"/>
  <c r="BH60" i="16" s="1"/>
  <c r="BU60" i="16" s="1"/>
  <c r="CE71" i="16"/>
  <c r="CG71" i="16" s="1"/>
  <c r="BK66" i="16"/>
  <c r="BO66" i="16" s="1"/>
  <c r="BQ66" i="16" s="1"/>
  <c r="BY59" i="16"/>
  <c r="CE59" i="16" s="1"/>
  <c r="CG59" i="16" s="1"/>
  <c r="CD66" i="16"/>
  <c r="CE66" i="16" s="1"/>
  <c r="CG66" i="16" s="1"/>
  <c r="BN63" i="16"/>
  <c r="BO63" i="16" s="1"/>
  <c r="BQ63" i="16" s="1"/>
  <c r="BE58" i="16"/>
  <c r="BY57" i="16"/>
  <c r="CD68" i="16"/>
  <c r="CE68" i="16" s="1"/>
  <c r="CG68" i="16" s="1"/>
  <c r="CJ66" i="16"/>
  <c r="CJ65" i="17" s="1"/>
  <c r="BE66" i="16"/>
  <c r="Y63" i="16"/>
  <c r="CD58" i="16"/>
  <c r="CE58" i="16" s="1"/>
  <c r="CG58" i="16" s="1"/>
  <c r="CE55" i="16"/>
  <c r="CG55" i="16" s="1"/>
  <c r="CE49" i="16"/>
  <c r="CG49" i="16" s="1"/>
  <c r="BO46" i="16"/>
  <c r="BQ46" i="16" s="1"/>
  <c r="CD48" i="16"/>
  <c r="CE48" i="16" s="1"/>
  <c r="CG48" i="16" s="1"/>
  <c r="BY47" i="16"/>
  <c r="Y46" i="16"/>
  <c r="BF46" i="16" s="1"/>
  <c r="BH46" i="16" s="1"/>
  <c r="BE35" i="16"/>
  <c r="CE34" i="16"/>
  <c r="CG34" i="16" s="1"/>
  <c r="BE30" i="16"/>
  <c r="BE29" i="16"/>
  <c r="BF29" i="16" s="1"/>
  <c r="BH29" i="16" s="1"/>
  <c r="CJ27" i="16"/>
  <c r="CJ26" i="17" s="1"/>
  <c r="BH26" i="16"/>
  <c r="Y19" i="16"/>
  <c r="BF19" i="16" s="1"/>
  <c r="BH19" i="16" s="1"/>
  <c r="CD18" i="16"/>
  <c r="CE18" i="16" s="1"/>
  <c r="CG18" i="16" s="1"/>
  <c r="Y18" i="16"/>
  <c r="BF18" i="16" s="1"/>
  <c r="BH18" i="16" s="1"/>
  <c r="BU18" i="16" s="1"/>
  <c r="BO8" i="16"/>
  <c r="BQ8" i="16" s="1"/>
  <c r="Y32" i="16"/>
  <c r="Y27" i="16"/>
  <c r="Y24" i="16"/>
  <c r="BF24" i="16" s="1"/>
  <c r="BH24" i="16" s="1"/>
  <c r="BE5" i="16"/>
  <c r="BF5" i="16" s="1"/>
  <c r="BH5" i="16" s="1"/>
  <c r="BU5" i="16" s="1"/>
  <c r="BY44" i="16"/>
  <c r="CE44" i="16" s="1"/>
  <c r="CG44" i="16" s="1"/>
  <c r="BK43" i="16"/>
  <c r="BO43" i="16" s="1"/>
  <c r="BQ43" i="16" s="1"/>
  <c r="BN42" i="16"/>
  <c r="BO42" i="16" s="1"/>
  <c r="BQ42" i="16" s="1"/>
  <c r="CD40" i="16"/>
  <c r="CE40" i="16" s="1"/>
  <c r="CG40" i="16" s="1"/>
  <c r="BO39" i="16"/>
  <c r="BQ39" i="16" s="1"/>
  <c r="Y33" i="16"/>
  <c r="CE10" i="16"/>
  <c r="CG10" i="16" s="1"/>
  <c r="Y51" i="16"/>
  <c r="Y48" i="16"/>
  <c r="BE43" i="16"/>
  <c r="CE42" i="16"/>
  <c r="CG42" i="16" s="1"/>
  <c r="BE38" i="16"/>
  <c r="BE37" i="16"/>
  <c r="BH34" i="16"/>
  <c r="Y21" i="16"/>
  <c r="CE13" i="16"/>
  <c r="CG13" i="16" s="1"/>
  <c r="BE13" i="16"/>
  <c r="BF50" i="16"/>
  <c r="BH50" i="16" s="1"/>
  <c r="BU50" i="16" s="1"/>
  <c r="Y40" i="16"/>
  <c r="Y35" i="16"/>
  <c r="BE32" i="16"/>
  <c r="Y30" i="16"/>
  <c r="Y25" i="16"/>
  <c r="BE17" i="16"/>
  <c r="BF17" i="16" s="1"/>
  <c r="BH17" i="16" s="1"/>
  <c r="BU17" i="16" s="1"/>
  <c r="Y41" i="16"/>
  <c r="BF41" i="16" s="1"/>
  <c r="BH41" i="16" s="1"/>
  <c r="CG31" i="16"/>
  <c r="BE27" i="16"/>
  <c r="BO26" i="16"/>
  <c r="BQ26" i="16" s="1"/>
  <c r="BE25" i="16"/>
  <c r="BF20" i="16"/>
  <c r="BH20" i="16" s="1"/>
  <c r="BU20" i="16" s="1"/>
  <c r="CD51" i="16"/>
  <c r="CE51" i="16" s="1"/>
  <c r="CG51" i="16" s="1"/>
  <c r="BE48" i="16"/>
  <c r="BE45" i="16"/>
  <c r="BF45" i="16" s="1"/>
  <c r="BH45" i="16" s="1"/>
  <c r="BE21" i="16"/>
  <c r="BF16" i="16"/>
  <c r="BH16" i="16" s="1"/>
  <c r="BO13" i="16"/>
  <c r="BQ13" i="16" s="1"/>
  <c r="BO7" i="16"/>
  <c r="BQ7" i="16" s="1"/>
  <c r="BE51" i="16"/>
  <c r="Y43" i="16"/>
  <c r="BE40" i="16"/>
  <c r="Y38" i="16"/>
  <c r="CD37" i="16"/>
  <c r="CE37" i="16" s="1"/>
  <c r="CG37" i="16" s="1"/>
  <c r="BY36" i="16"/>
  <c r="BK35" i="16"/>
  <c r="BO35" i="16" s="1"/>
  <c r="BQ35" i="16" s="1"/>
  <c r="BN34" i="16"/>
  <c r="BO34" i="16" s="1"/>
  <c r="BQ34" i="16" s="1"/>
  <c r="CD32" i="16"/>
  <c r="CE32" i="16" s="1"/>
  <c r="CG32" i="16" s="1"/>
  <c r="BO31" i="16"/>
  <c r="BQ31" i="16" s="1"/>
  <c r="CE27" i="16"/>
  <c r="CG27" i="16" s="1"/>
  <c r="BE22" i="16"/>
  <c r="BO21" i="16"/>
  <c r="BQ21" i="16" s="1"/>
  <c r="BO15" i="16"/>
  <c r="BQ15" i="16" s="1"/>
  <c r="BE15" i="16"/>
  <c r="BF15" i="16" s="1"/>
  <c r="BH15" i="16" s="1"/>
  <c r="BN4" i="16"/>
  <c r="BO4" i="16" s="1"/>
  <c r="BQ4" i="16" s="1"/>
  <c r="BF7" i="16" l="1"/>
  <c r="BH7" i="16" s="1"/>
  <c r="CE43" i="16"/>
  <c r="CG43" i="16" s="1"/>
  <c r="CE23" i="16"/>
  <c r="CG23" i="16" s="1"/>
  <c r="CE113" i="16"/>
  <c r="CG113" i="16" s="1"/>
  <c r="CE120" i="16"/>
  <c r="CG120" i="16" s="1"/>
  <c r="CE29" i="16"/>
  <c r="CG29" i="16" s="1"/>
  <c r="BF33" i="16"/>
  <c r="BH33" i="16" s="1"/>
  <c r="BU33" i="16" s="1"/>
  <c r="BF56" i="16"/>
  <c r="BH56" i="16" s="1"/>
  <c r="BF11" i="16"/>
  <c r="BH11" i="16" s="1"/>
  <c r="BU11" i="16" s="1"/>
  <c r="CE123" i="16"/>
  <c r="CG123" i="16" s="1"/>
  <c r="BF88" i="16"/>
  <c r="BH88" i="16" s="1"/>
  <c r="BU88" i="16" s="1"/>
  <c r="BF87" i="16"/>
  <c r="BH87" i="16" s="1"/>
  <c r="BU87" i="16" s="1"/>
  <c r="BU93" i="16"/>
  <c r="CE96" i="16"/>
  <c r="CG96" i="16" s="1"/>
  <c r="BF46" i="17"/>
  <c r="BH46" i="17" s="1"/>
  <c r="BF9" i="17"/>
  <c r="BH9" i="17" s="1"/>
  <c r="CE26" i="17"/>
  <c r="CG26" i="17" s="1"/>
  <c r="CE38" i="17"/>
  <c r="CG38" i="17" s="1"/>
  <c r="BF63" i="17"/>
  <c r="BH63" i="17" s="1"/>
  <c r="BF81" i="17"/>
  <c r="BH81" i="17" s="1"/>
  <c r="BU81" i="17" s="1"/>
  <c r="BO35" i="17"/>
  <c r="BQ35" i="17" s="1"/>
  <c r="CE86" i="16"/>
  <c r="CG86" i="16" s="1"/>
  <c r="BO115" i="17"/>
  <c r="BQ115" i="17" s="1"/>
  <c r="CE6" i="16"/>
  <c r="CG6" i="16" s="1"/>
  <c r="BO88" i="17"/>
  <c r="BQ88" i="17" s="1"/>
  <c r="CE28" i="16"/>
  <c r="CG28" i="16" s="1"/>
  <c r="CE92" i="16"/>
  <c r="CG92" i="16" s="1"/>
  <c r="CE116" i="16"/>
  <c r="CG116" i="16" s="1"/>
  <c r="CE5" i="16"/>
  <c r="CG5" i="16" s="1"/>
  <c r="BO50" i="17"/>
  <c r="BQ50" i="17" s="1"/>
  <c r="BO65" i="17"/>
  <c r="BQ65" i="17" s="1"/>
  <c r="BO37" i="16"/>
  <c r="BQ37" i="16" s="1"/>
  <c r="CE91" i="17"/>
  <c r="CG91" i="17" s="1"/>
  <c r="BU65" i="16"/>
  <c r="CE61" i="17"/>
  <c r="CG61" i="17" s="1"/>
  <c r="CE45" i="17"/>
  <c r="CG45" i="17" s="1"/>
  <c r="BO92" i="17"/>
  <c r="BQ92" i="17" s="1"/>
  <c r="BO62" i="17"/>
  <c r="BQ62" i="17" s="1"/>
  <c r="BO29" i="17"/>
  <c r="BQ29" i="17" s="1"/>
  <c r="BO63" i="17"/>
  <c r="BQ63" i="17" s="1"/>
  <c r="CE48" i="17"/>
  <c r="CG48" i="17" s="1"/>
  <c r="BU28" i="16"/>
  <c r="BO113" i="17"/>
  <c r="BQ113" i="17" s="1"/>
  <c r="CE120" i="17"/>
  <c r="CG120" i="17" s="1"/>
  <c r="BF76" i="17"/>
  <c r="BH76" i="17" s="1"/>
  <c r="BF105" i="16"/>
  <c r="BH105" i="16" s="1"/>
  <c r="BF111" i="17"/>
  <c r="BH111" i="17" s="1"/>
  <c r="CE20" i="17"/>
  <c r="CG20" i="17" s="1"/>
  <c r="BF100" i="16"/>
  <c r="BH100" i="16" s="1"/>
  <c r="BF58" i="16"/>
  <c r="BH58" i="16" s="1"/>
  <c r="BU58" i="16" s="1"/>
  <c r="CE115" i="16"/>
  <c r="CG115" i="16" s="1"/>
  <c r="BF73" i="17"/>
  <c r="BH73" i="17" s="1"/>
  <c r="BU73" i="17" s="1"/>
  <c r="BO57" i="17"/>
  <c r="BQ57" i="17" s="1"/>
  <c r="BF87" i="17"/>
  <c r="BH87" i="17" s="1"/>
  <c r="CE97" i="17"/>
  <c r="CG97" i="17" s="1"/>
  <c r="BF13" i="16"/>
  <c r="BH13" i="16" s="1"/>
  <c r="BU13" i="16" s="1"/>
  <c r="BF102" i="16"/>
  <c r="BH102" i="16" s="1"/>
  <c r="BF78" i="16"/>
  <c r="BH78" i="16" s="1"/>
  <c r="BO56" i="16"/>
  <c r="BQ56" i="16" s="1"/>
  <c r="BF52" i="16"/>
  <c r="BH52" i="16" s="1"/>
  <c r="BU52" i="16" s="1"/>
  <c r="BU122" i="16"/>
  <c r="BF35" i="17"/>
  <c r="BH35" i="17" s="1"/>
  <c r="BF98" i="16"/>
  <c r="BH98" i="16" s="1"/>
  <c r="BU98" i="16" s="1"/>
  <c r="CE39" i="16"/>
  <c r="CG39" i="16" s="1"/>
  <c r="CE56" i="17"/>
  <c r="CG56" i="17" s="1"/>
  <c r="BO96" i="17"/>
  <c r="BQ96" i="17" s="1"/>
  <c r="BO110" i="17"/>
  <c r="BQ110" i="17" s="1"/>
  <c r="BF9" i="16"/>
  <c r="BH9" i="16" s="1"/>
  <c r="BO61" i="16"/>
  <c r="BQ61" i="16" s="1"/>
  <c r="BO91" i="16"/>
  <c r="BQ91" i="16" s="1"/>
  <c r="CE19" i="16"/>
  <c r="CG19" i="16" s="1"/>
  <c r="BF43" i="17"/>
  <c r="BH43" i="17" s="1"/>
  <c r="BF63" i="16"/>
  <c r="BH63" i="16" s="1"/>
  <c r="BU46" i="16"/>
  <c r="BF85" i="16"/>
  <c r="BH85" i="16" s="1"/>
  <c r="BU85" i="16" s="1"/>
  <c r="BU81" i="16"/>
  <c r="BF10" i="17"/>
  <c r="BH10" i="17" s="1"/>
  <c r="BU10" i="17" s="1"/>
  <c r="BF62" i="17"/>
  <c r="BH62" i="17" s="1"/>
  <c r="BF70" i="16"/>
  <c r="BH70" i="16" s="1"/>
  <c r="BU70" i="16" s="1"/>
  <c r="BO31" i="17"/>
  <c r="BQ31" i="17" s="1"/>
  <c r="CE21" i="17"/>
  <c r="CG21" i="17" s="1"/>
  <c r="CE59" i="17"/>
  <c r="CG59" i="17" s="1"/>
  <c r="BU119" i="17"/>
  <c r="BO119" i="16"/>
  <c r="BQ119" i="16" s="1"/>
  <c r="BF44" i="16"/>
  <c r="BH44" i="16" s="1"/>
  <c r="BU44" i="16" s="1"/>
  <c r="BO109" i="17"/>
  <c r="BQ109" i="17" s="1"/>
  <c r="BF32" i="17"/>
  <c r="BH32" i="17" s="1"/>
  <c r="BO93" i="17"/>
  <c r="BQ93" i="17" s="1"/>
  <c r="CE28" i="17"/>
  <c r="CG28" i="17" s="1"/>
  <c r="BO101" i="17"/>
  <c r="BQ101" i="17" s="1"/>
  <c r="BO7" i="17"/>
  <c r="BQ7" i="17" s="1"/>
  <c r="CE79" i="17"/>
  <c r="CG79" i="17" s="1"/>
  <c r="BO40" i="17"/>
  <c r="BQ40" i="17" s="1"/>
  <c r="BO18" i="17"/>
  <c r="BQ18" i="17" s="1"/>
  <c r="BF112" i="17"/>
  <c r="BH112" i="17" s="1"/>
  <c r="BF124" i="17"/>
  <c r="BH124" i="17" s="1"/>
  <c r="BO39" i="17"/>
  <c r="BQ39" i="17" s="1"/>
  <c r="BF57" i="17"/>
  <c r="BH57" i="17" s="1"/>
  <c r="BO79" i="17"/>
  <c r="BQ79" i="17" s="1"/>
  <c r="BU79" i="17" s="1"/>
  <c r="BF75" i="17"/>
  <c r="BH75" i="17" s="1"/>
  <c r="BU75" i="17" s="1"/>
  <c r="CE113" i="17"/>
  <c r="CG113" i="17" s="1"/>
  <c r="CE52" i="17"/>
  <c r="CG52" i="17" s="1"/>
  <c r="BO25" i="17"/>
  <c r="BQ25" i="17" s="1"/>
  <c r="BF79" i="17"/>
  <c r="BH79" i="17" s="1"/>
  <c r="CE13" i="17"/>
  <c r="CG13" i="17" s="1"/>
  <c r="BF116" i="17"/>
  <c r="BH116" i="17" s="1"/>
  <c r="BU116" i="17" s="1"/>
  <c r="BU48" i="17"/>
  <c r="BF42" i="17"/>
  <c r="BH42" i="17" s="1"/>
  <c r="BF71" i="17"/>
  <c r="BH71" i="17" s="1"/>
  <c r="BU71" i="17" s="1"/>
  <c r="BO82" i="17"/>
  <c r="BQ82" i="17" s="1"/>
  <c r="BU82" i="17" s="1"/>
  <c r="BF20" i="17"/>
  <c r="BH20" i="17" s="1"/>
  <c r="BO13" i="17"/>
  <c r="BQ13" i="17" s="1"/>
  <c r="CE46" i="17"/>
  <c r="CG46" i="17" s="1"/>
  <c r="CE69" i="17"/>
  <c r="CG69" i="17" s="1"/>
  <c r="CE99" i="17"/>
  <c r="CG99" i="17" s="1"/>
  <c r="BF69" i="17"/>
  <c r="BH69" i="17" s="1"/>
  <c r="BU69" i="17" s="1"/>
  <c r="BO66" i="17"/>
  <c r="BQ66" i="17" s="1"/>
  <c r="BF8" i="17"/>
  <c r="BH8" i="17" s="1"/>
  <c r="BU8" i="17" s="1"/>
  <c r="CE5" i="17"/>
  <c r="CG5" i="17" s="1"/>
  <c r="BO3" i="17"/>
  <c r="BQ3" i="17" s="1"/>
  <c r="BU9" i="17"/>
  <c r="BO16" i="17"/>
  <c r="BQ16" i="17" s="1"/>
  <c r="BU36" i="17"/>
  <c r="CE73" i="17"/>
  <c r="CG73" i="17" s="1"/>
  <c r="CE81" i="17"/>
  <c r="CG81" i="17" s="1"/>
  <c r="BO14" i="17"/>
  <c r="BQ14" i="17" s="1"/>
  <c r="BF64" i="17"/>
  <c r="BH64" i="17" s="1"/>
  <c r="BF41" i="17"/>
  <c r="BH41" i="17" s="1"/>
  <c r="BU41" i="17" s="1"/>
  <c r="BF102" i="17"/>
  <c r="BH102" i="17" s="1"/>
  <c r="BF12" i="17"/>
  <c r="BH12" i="17" s="1"/>
  <c r="CE6" i="17"/>
  <c r="CG6" i="17" s="1"/>
  <c r="BF50" i="17"/>
  <c r="BH50" i="17" s="1"/>
  <c r="BU50" i="17" s="1"/>
  <c r="BO21" i="17"/>
  <c r="BQ21" i="17" s="1"/>
  <c r="BO77" i="17"/>
  <c r="BQ77" i="17" s="1"/>
  <c r="BO15" i="17"/>
  <c r="BQ15" i="17" s="1"/>
  <c r="CE57" i="17"/>
  <c r="CG57" i="17" s="1"/>
  <c r="BU87" i="17"/>
  <c r="CE72" i="17"/>
  <c r="CG72" i="17" s="1"/>
  <c r="CE42" i="17"/>
  <c r="CG42" i="17" s="1"/>
  <c r="CE25" i="17"/>
  <c r="CG25" i="17" s="1"/>
  <c r="BO61" i="17"/>
  <c r="BQ61" i="17" s="1"/>
  <c r="BF105" i="17"/>
  <c r="BH105" i="17" s="1"/>
  <c r="BU105" i="17" s="1"/>
  <c r="BO123" i="17"/>
  <c r="BQ123" i="17" s="1"/>
  <c r="BU123" i="17"/>
  <c r="BU11" i="17"/>
  <c r="BF94" i="17"/>
  <c r="BH94" i="17" s="1"/>
  <c r="BO28" i="17"/>
  <c r="BQ28" i="17" s="1"/>
  <c r="CE67" i="17"/>
  <c r="CG67" i="17" s="1"/>
  <c r="CE117" i="17"/>
  <c r="CG117" i="17" s="1"/>
  <c r="BF31" i="16"/>
  <c r="BH31" i="16" s="1"/>
  <c r="BU77" i="16"/>
  <c r="CE75" i="17"/>
  <c r="CG75" i="17" s="1"/>
  <c r="CE62" i="17"/>
  <c r="CG62" i="17" s="1"/>
  <c r="CE36" i="16"/>
  <c r="CG36" i="16" s="1"/>
  <c r="BU47" i="16"/>
  <c r="BF37" i="16"/>
  <c r="BH37" i="16" s="1"/>
  <c r="BU37" i="16" s="1"/>
  <c r="BF32" i="16"/>
  <c r="BH32" i="16" s="1"/>
  <c r="BU32" i="16" s="1"/>
  <c r="BU112" i="16"/>
  <c r="BU20" i="17"/>
  <c r="BF109" i="17"/>
  <c r="BH109" i="17" s="1"/>
  <c r="BU109" i="17" s="1"/>
  <c r="BU101" i="17"/>
  <c r="BF113" i="17"/>
  <c r="BH113" i="17" s="1"/>
  <c r="BU113" i="17" s="1"/>
  <c r="CE44" i="17"/>
  <c r="CG44" i="17" s="1"/>
  <c r="BF91" i="16"/>
  <c r="BH91" i="16" s="1"/>
  <c r="BU91" i="16" s="1"/>
  <c r="BF4" i="16"/>
  <c r="BH4" i="16" s="1"/>
  <c r="BU4" i="16" s="1"/>
  <c r="BO38" i="17"/>
  <c r="BQ38" i="17" s="1"/>
  <c r="BU72" i="17"/>
  <c r="CE14" i="17"/>
  <c r="CG14" i="17" s="1"/>
  <c r="BF117" i="17"/>
  <c r="BH117" i="17" s="1"/>
  <c r="BO19" i="16"/>
  <c r="BQ19" i="16" s="1"/>
  <c r="BU19" i="16" s="1"/>
  <c r="BU73" i="16"/>
  <c r="BF14" i="16"/>
  <c r="BH14" i="16" s="1"/>
  <c r="BO54" i="17"/>
  <c r="BQ54" i="17" s="1"/>
  <c r="BU41" i="16"/>
  <c r="BF91" i="17"/>
  <c r="BH91" i="17" s="1"/>
  <c r="BU91" i="17" s="1"/>
  <c r="BF40" i="17"/>
  <c r="BH40" i="17" s="1"/>
  <c r="BF22" i="16"/>
  <c r="BH22" i="16" s="1"/>
  <c r="BU22" i="16" s="1"/>
  <c r="BU7" i="16"/>
  <c r="BF66" i="16"/>
  <c r="BH66" i="16" s="1"/>
  <c r="BU66" i="16" s="1"/>
  <c r="CE8" i="16"/>
  <c r="CG8" i="16" s="1"/>
  <c r="BF56" i="17"/>
  <c r="BH56" i="17" s="1"/>
  <c r="BU43" i="17"/>
  <c r="BF22" i="17"/>
  <c r="BH22" i="17" s="1"/>
  <c r="BU22" i="17" s="1"/>
  <c r="BO104" i="17"/>
  <c r="BQ104" i="17" s="1"/>
  <c r="BF120" i="17"/>
  <c r="BH120" i="17" s="1"/>
  <c r="BU120" i="17" s="1"/>
  <c r="BO67" i="16"/>
  <c r="BQ67" i="16" s="1"/>
  <c r="CE54" i="17"/>
  <c r="CG54" i="17" s="1"/>
  <c r="BU57" i="16"/>
  <c r="BF90" i="16"/>
  <c r="BH90" i="16" s="1"/>
  <c r="BU90" i="16" s="1"/>
  <c r="BF94" i="16"/>
  <c r="BH94" i="16" s="1"/>
  <c r="BU123" i="16"/>
  <c r="CJ119" i="16"/>
  <c r="CJ116" i="17" s="1"/>
  <c r="CE90" i="16"/>
  <c r="CG90" i="16" s="1"/>
  <c r="BF68" i="17"/>
  <c r="BH68" i="17" s="1"/>
  <c r="BF65" i="17"/>
  <c r="BH65" i="17" s="1"/>
  <c r="BU65" i="17" s="1"/>
  <c r="BF86" i="17"/>
  <c r="BH86" i="17" s="1"/>
  <c r="BF58" i="17"/>
  <c r="BH58" i="17" s="1"/>
  <c r="CE121" i="17"/>
  <c r="CG121" i="17" s="1"/>
  <c r="CE3" i="17"/>
  <c r="CG3" i="17" s="1"/>
  <c r="BO24" i="16"/>
  <c r="BQ24" i="16" s="1"/>
  <c r="BU24" i="16" s="1"/>
  <c r="BO58" i="17"/>
  <c r="BQ58" i="17" s="1"/>
  <c r="CE107" i="17"/>
  <c r="CG107" i="17" s="1"/>
  <c r="BU104" i="16"/>
  <c r="BU125" i="16"/>
  <c r="BU109" i="16"/>
  <c r="CE16" i="16"/>
  <c r="CG16" i="16" s="1"/>
  <c r="BU44" i="17"/>
  <c r="CE118" i="17"/>
  <c r="CG118" i="17" s="1"/>
  <c r="BO97" i="16"/>
  <c r="BQ97" i="16" s="1"/>
  <c r="BU97" i="16" s="1"/>
  <c r="BU82" i="16"/>
  <c r="BU74" i="16"/>
  <c r="BF108" i="17"/>
  <c r="BH108" i="17" s="1"/>
  <c r="BF103" i="16"/>
  <c r="BH103" i="16" s="1"/>
  <c r="BU103" i="16" s="1"/>
  <c r="BF48" i="16"/>
  <c r="BH48" i="16" s="1"/>
  <c r="BU48" i="16" s="1"/>
  <c r="BU61" i="16"/>
  <c r="BU71" i="16"/>
  <c r="BF17" i="17"/>
  <c r="BH17" i="17" s="1"/>
  <c r="BU17" i="17" s="1"/>
  <c r="BF27" i="17"/>
  <c r="BH27" i="17" s="1"/>
  <c r="BU27" i="17" s="1"/>
  <c r="BF26" i="17"/>
  <c r="BH26" i="17" s="1"/>
  <c r="BF19" i="17"/>
  <c r="BH19" i="17" s="1"/>
  <c r="CE30" i="17"/>
  <c r="CG30" i="17" s="1"/>
  <c r="BF54" i="17"/>
  <c r="BH54" i="17" s="1"/>
  <c r="BU54" i="17" s="1"/>
  <c r="BF70" i="17"/>
  <c r="BH70" i="17" s="1"/>
  <c r="CE77" i="17"/>
  <c r="CG77" i="17" s="1"/>
  <c r="CE80" i="17"/>
  <c r="CG80" i="17" s="1"/>
  <c r="BF28" i="17"/>
  <c r="BH28" i="17" s="1"/>
  <c r="BO19" i="17"/>
  <c r="BQ19" i="17" s="1"/>
  <c r="BF122" i="17"/>
  <c r="BH122" i="17" s="1"/>
  <c r="BU122" i="17" s="1"/>
  <c r="BF54" i="16"/>
  <c r="BH54" i="16" s="1"/>
  <c r="BU54" i="16" s="1"/>
  <c r="BF79" i="16"/>
  <c r="BH79" i="16" s="1"/>
  <c r="BU79" i="16" s="1"/>
  <c r="BF4" i="17"/>
  <c r="BH4" i="17" s="1"/>
  <c r="BU4" i="17" s="1"/>
  <c r="BO26" i="17"/>
  <c r="BQ26" i="17" s="1"/>
  <c r="BU42" i="16"/>
  <c r="BU124" i="17"/>
  <c r="BF23" i="17"/>
  <c r="BH23" i="17" s="1"/>
  <c r="BU23" i="17" s="1"/>
  <c r="CE65" i="17"/>
  <c r="CG65" i="17" s="1"/>
  <c r="CE110" i="17"/>
  <c r="CG110" i="17" s="1"/>
  <c r="BF8" i="16"/>
  <c r="BH8" i="16" s="1"/>
  <c r="BU8" i="16" s="1"/>
  <c r="BF12" i="16"/>
  <c r="BH12" i="16" s="1"/>
  <c r="BU12" i="16" s="1"/>
  <c r="BF40" i="16"/>
  <c r="BH40" i="16" s="1"/>
  <c r="BU40" i="16" s="1"/>
  <c r="BU34" i="16"/>
  <c r="BU26" i="16"/>
  <c r="CE47" i="16"/>
  <c r="CG47" i="16" s="1"/>
  <c r="BU63" i="16"/>
  <c r="BU121" i="16"/>
  <c r="BF53" i="17"/>
  <c r="BH53" i="17" s="1"/>
  <c r="BU53" i="17" s="1"/>
  <c r="BF49" i="17"/>
  <c r="BH49" i="17" s="1"/>
  <c r="BU49" i="17" s="1"/>
  <c r="BF84" i="17"/>
  <c r="BH84" i="17" s="1"/>
  <c r="BU84" i="17" s="1"/>
  <c r="BU121" i="17"/>
  <c r="CE66" i="17"/>
  <c r="CG66" i="17" s="1"/>
  <c r="BO86" i="17"/>
  <c r="BQ86" i="17" s="1"/>
  <c r="BU86" i="17" s="1"/>
  <c r="CE86" i="17"/>
  <c r="CG86" i="17" s="1"/>
  <c r="CE102" i="17"/>
  <c r="CG102" i="17" s="1"/>
  <c r="BF23" i="16"/>
  <c r="BH23" i="16" s="1"/>
  <c r="BU23" i="16" s="1"/>
  <c r="BO14" i="16"/>
  <c r="BQ14" i="16" s="1"/>
  <c r="BU14" i="16" s="1"/>
  <c r="BF114" i="16"/>
  <c r="BH114" i="16" s="1"/>
  <c r="BU114" i="16" s="1"/>
  <c r="BF127" i="16"/>
  <c r="BH127" i="16" s="1"/>
  <c r="BU127" i="16" s="1"/>
  <c r="BU86" i="16"/>
  <c r="BU42" i="17"/>
  <c r="CE85" i="17"/>
  <c r="CG85" i="17" s="1"/>
  <c r="CE51" i="17"/>
  <c r="CG51" i="17" s="1"/>
  <c r="BU105" i="16"/>
  <c r="BO100" i="16"/>
  <c r="BQ100" i="16" s="1"/>
  <c r="BU100" i="16" s="1"/>
  <c r="BF117" i="16"/>
  <c r="BH117" i="16" s="1"/>
  <c r="BU117" i="16" s="1"/>
  <c r="BF53" i="16"/>
  <c r="BH53" i="16" s="1"/>
  <c r="BU53" i="16" s="1"/>
  <c r="BU124" i="16"/>
  <c r="BU15" i="16"/>
  <c r="BF25" i="16"/>
  <c r="BH25" i="16" s="1"/>
  <c r="BU25" i="16" s="1"/>
  <c r="BU102" i="16"/>
  <c r="BF7" i="17"/>
  <c r="BH7" i="17" s="1"/>
  <c r="BF30" i="17"/>
  <c r="BH30" i="17" s="1"/>
  <c r="BU30" i="17" s="1"/>
  <c r="BF21" i="17"/>
  <c r="BH21" i="17" s="1"/>
  <c r="BU57" i="17"/>
  <c r="BF83" i="17"/>
  <c r="BH83" i="17" s="1"/>
  <c r="BU83" i="17" s="1"/>
  <c r="BF67" i="17"/>
  <c r="BH67" i="17" s="1"/>
  <c r="BU67" i="17" s="1"/>
  <c r="BF80" i="17"/>
  <c r="BH80" i="17" s="1"/>
  <c r="BU80" i="17" s="1"/>
  <c r="BO56" i="17"/>
  <c r="BQ56" i="17" s="1"/>
  <c r="CE78" i="17"/>
  <c r="CG78" i="17" s="1"/>
  <c r="BO24" i="17"/>
  <c r="BQ24" i="17" s="1"/>
  <c r="BU24" i="17" s="1"/>
  <c r="CE18" i="17"/>
  <c r="CG18" i="17" s="1"/>
  <c r="BU67" i="16"/>
  <c r="BU46" i="17"/>
  <c r="BF96" i="17"/>
  <c r="BH96" i="17" s="1"/>
  <c r="BU96" i="17" s="1"/>
  <c r="BF118" i="17"/>
  <c r="BH118" i="17" s="1"/>
  <c r="BU118" i="17" s="1"/>
  <c r="CI69" i="17"/>
  <c r="CI68" i="17"/>
  <c r="BF10" i="16"/>
  <c r="BH10" i="16" s="1"/>
  <c r="BU10" i="16" s="1"/>
  <c r="CE30" i="16"/>
  <c r="CG30" i="16" s="1"/>
  <c r="BF76" i="16"/>
  <c r="BH76" i="16" s="1"/>
  <c r="BU76" i="16" s="1"/>
  <c r="BU29" i="16"/>
  <c r="BF51" i="17"/>
  <c r="BH51" i="17" s="1"/>
  <c r="BU51" i="17" s="1"/>
  <c r="BU31" i="16"/>
  <c r="BF101" i="16"/>
  <c r="BH101" i="16" s="1"/>
  <c r="BU101" i="16" s="1"/>
  <c r="BU119" i="16"/>
  <c r="BU16" i="17"/>
  <c r="BF34" i="17"/>
  <c r="BH34" i="17" s="1"/>
  <c r="BU34" i="17" s="1"/>
  <c r="BF13" i="17"/>
  <c r="BH13" i="17" s="1"/>
  <c r="BU13" i="17" s="1"/>
  <c r="CE7" i="17"/>
  <c r="CG7" i="17" s="1"/>
  <c r="BF61" i="17"/>
  <c r="BH61" i="17" s="1"/>
  <c r="BU61" i="17" s="1"/>
  <c r="BF89" i="17"/>
  <c r="BH89" i="17" s="1"/>
  <c r="BF106" i="17"/>
  <c r="BH106" i="17" s="1"/>
  <c r="BU106" i="17" s="1"/>
  <c r="CE4" i="17"/>
  <c r="CG4" i="17" s="1"/>
  <c r="CH69" i="17"/>
  <c r="CH68" i="17"/>
  <c r="CJ69" i="16"/>
  <c r="BF89" i="16"/>
  <c r="BH89" i="16" s="1"/>
  <c r="BU89" i="16" s="1"/>
  <c r="BF106" i="16"/>
  <c r="BH106" i="16" s="1"/>
  <c r="BU106" i="16" s="1"/>
  <c r="BF116" i="16"/>
  <c r="BH116" i="16" s="1"/>
  <c r="BU116" i="16" s="1"/>
  <c r="BU9" i="16"/>
  <c r="BU16" i="16"/>
  <c r="CE57" i="16"/>
  <c r="CG57" i="16" s="1"/>
  <c r="BU95" i="16"/>
  <c r="BU64" i="16"/>
  <c r="BU94" i="16"/>
  <c r="BU108" i="16"/>
  <c r="BF33" i="17"/>
  <c r="BH33" i="17" s="1"/>
  <c r="BU33" i="17" s="1"/>
  <c r="BF39" i="17"/>
  <c r="BH39" i="17" s="1"/>
  <c r="BU39" i="17" s="1"/>
  <c r="CE15" i="17"/>
  <c r="CG15" i="17" s="1"/>
  <c r="BF14" i="17"/>
  <c r="BH14" i="17" s="1"/>
  <c r="BU64" i="17"/>
  <c r="BF88" i="17"/>
  <c r="BH88" i="17" s="1"/>
  <c r="BU88" i="17" s="1"/>
  <c r="BO89" i="17"/>
  <c r="BQ89" i="17" s="1"/>
  <c r="CE96" i="17"/>
  <c r="CG96" i="17" s="1"/>
  <c r="BF36" i="16"/>
  <c r="BH36" i="16" s="1"/>
  <c r="BU36" i="16" s="1"/>
  <c r="BO45" i="16"/>
  <c r="BQ45" i="16" s="1"/>
  <c r="BU45" i="16" s="1"/>
  <c r="BU62" i="16"/>
  <c r="BF49" i="16"/>
  <c r="BH49" i="16" s="1"/>
  <c r="BU49" i="16" s="1"/>
  <c r="BF75" i="16"/>
  <c r="BH75" i="16" s="1"/>
  <c r="BU75" i="16" s="1"/>
  <c r="BO84" i="16"/>
  <c r="BQ84" i="16" s="1"/>
  <c r="BU84" i="16" s="1"/>
  <c r="BF39" i="16"/>
  <c r="BH39" i="16" s="1"/>
  <c r="BU39" i="16" s="1"/>
  <c r="BF3" i="17"/>
  <c r="BH3" i="17" s="1"/>
  <c r="BU3" i="17" s="1"/>
  <c r="BF60" i="17"/>
  <c r="BH60" i="17" s="1"/>
  <c r="BU60" i="17" s="1"/>
  <c r="BF100" i="17"/>
  <c r="BH100" i="17" s="1"/>
  <c r="BU100" i="17" s="1"/>
  <c r="BU117" i="17"/>
  <c r="BU78" i="16"/>
  <c r="BU69" i="16"/>
  <c r="BF37" i="17"/>
  <c r="BH37" i="17" s="1"/>
  <c r="BU37" i="17" s="1"/>
  <c r="BF92" i="17"/>
  <c r="BH92" i="17" s="1"/>
  <c r="BU92" i="17" s="1"/>
  <c r="BF85" i="17"/>
  <c r="BH85" i="17" s="1"/>
  <c r="BU85" i="17" s="1"/>
  <c r="CE31" i="17"/>
  <c r="CG31" i="17" s="1"/>
  <c r="BU12" i="17"/>
  <c r="CE22" i="17"/>
  <c r="CG22" i="17" s="1"/>
  <c r="BF52" i="17"/>
  <c r="BH52" i="17" s="1"/>
  <c r="BU52" i="17" s="1"/>
  <c r="BF74" i="17"/>
  <c r="BH74" i="17" s="1"/>
  <c r="BU74" i="17" s="1"/>
  <c r="BU112" i="17"/>
  <c r="BU94" i="17"/>
  <c r="BF110" i="17"/>
  <c r="BH110" i="17" s="1"/>
  <c r="BF93" i="17"/>
  <c r="BH93" i="17" s="1"/>
  <c r="BU93" i="17" s="1"/>
  <c r="BU70" i="17"/>
  <c r="BU35" i="17"/>
  <c r="BF6" i="17"/>
  <c r="BH6" i="17" s="1"/>
  <c r="BU6" i="17" s="1"/>
  <c r="BF29" i="17"/>
  <c r="BH29" i="17" s="1"/>
  <c r="BU29" i="17" s="1"/>
  <c r="BF66" i="17"/>
  <c r="BH66" i="17" s="1"/>
  <c r="BU66" i="17" s="1"/>
  <c r="BF77" i="17"/>
  <c r="BH77" i="17" s="1"/>
  <c r="BF99" i="17"/>
  <c r="BH99" i="17" s="1"/>
  <c r="BU99" i="17" s="1"/>
  <c r="BF107" i="17"/>
  <c r="BH107" i="17" s="1"/>
  <c r="BU107" i="17" s="1"/>
  <c r="BU114" i="17"/>
  <c r="BF115" i="17"/>
  <c r="BH115" i="17" s="1"/>
  <c r="BU115" i="17" s="1"/>
  <c r="BU102" i="17"/>
  <c r="BU55" i="17"/>
  <c r="BU68" i="17"/>
  <c r="BF5" i="17"/>
  <c r="BH5" i="17" s="1"/>
  <c r="BU5" i="17" s="1"/>
  <c r="BF18" i="17"/>
  <c r="BH18" i="17" s="1"/>
  <c r="BU32" i="17"/>
  <c r="BU45" i="17"/>
  <c r="BU62" i="17"/>
  <c r="BU63" i="17"/>
  <c r="BU108" i="17"/>
  <c r="BF97" i="17"/>
  <c r="BH97" i="17" s="1"/>
  <c r="BU97" i="17" s="1"/>
  <c r="BF90" i="17"/>
  <c r="BH90" i="17" s="1"/>
  <c r="BU90" i="17" s="1"/>
  <c r="BF98" i="17"/>
  <c r="BH98" i="17" s="1"/>
  <c r="BU98" i="17" s="1"/>
  <c r="BF15" i="17"/>
  <c r="BH15" i="17" s="1"/>
  <c r="BU15" i="17" s="1"/>
  <c r="BF25" i="17"/>
  <c r="BH25" i="17" s="1"/>
  <c r="BU25" i="17" s="1"/>
  <c r="BF38" i="17"/>
  <c r="BH38" i="17" s="1"/>
  <c r="BF31" i="17"/>
  <c r="BH31" i="17" s="1"/>
  <c r="BU31" i="17" s="1"/>
  <c r="BU103" i="17"/>
  <c r="BU111" i="17"/>
  <c r="BU76" i="17"/>
  <c r="BF104" i="17"/>
  <c r="BH104" i="17" s="1"/>
  <c r="BF47" i="17"/>
  <c r="BH47" i="17" s="1"/>
  <c r="BU47" i="17" s="1"/>
  <c r="BF59" i="17"/>
  <c r="BH59" i="17" s="1"/>
  <c r="BU59" i="17" s="1"/>
  <c r="BF78" i="17"/>
  <c r="BH78" i="17" s="1"/>
  <c r="BU78" i="17" s="1"/>
  <c r="CE97" i="16"/>
  <c r="CG97" i="16" s="1"/>
  <c r="CE67" i="16"/>
  <c r="CG67" i="16" s="1"/>
  <c r="BF51" i="16"/>
  <c r="BH51" i="16" s="1"/>
  <c r="BU51" i="16" s="1"/>
  <c r="BF38" i="16"/>
  <c r="BH38" i="16" s="1"/>
  <c r="BU38" i="16" s="1"/>
  <c r="BF30" i="16"/>
  <c r="BH30" i="16" s="1"/>
  <c r="BU30" i="16" s="1"/>
  <c r="BF21" i="16"/>
  <c r="BH21" i="16" s="1"/>
  <c r="BU21" i="16" s="1"/>
  <c r="BF43" i="16"/>
  <c r="BH43" i="16" s="1"/>
  <c r="BU43" i="16" s="1"/>
  <c r="BF35" i="16"/>
  <c r="BH35" i="16" s="1"/>
  <c r="BU35" i="16" s="1"/>
  <c r="BF96" i="16"/>
  <c r="BH96" i="16" s="1"/>
  <c r="BU96" i="16" s="1"/>
  <c r="BF27" i="16"/>
  <c r="BH27" i="16" s="1"/>
  <c r="BU27" i="16" s="1"/>
  <c r="BU56" i="16" l="1"/>
  <c r="BU110" i="17"/>
  <c r="BU19" i="17"/>
  <c r="BU40" i="17"/>
  <c r="BU14" i="17"/>
  <c r="BU77" i="17"/>
  <c r="BU28" i="17"/>
  <c r="BU104" i="17"/>
  <c r="BU18" i="17"/>
  <c r="BU56" i="17"/>
  <c r="BU7" i="17"/>
  <c r="BU21" i="17"/>
  <c r="BU38" i="17"/>
  <c r="BU58" i="17"/>
  <c r="BU26" i="17"/>
  <c r="BU89" i="17"/>
  <c r="CJ68" i="17"/>
  <c r="CJ69" i="17"/>
  <c r="I16" i="1"/>
  <c r="J5" i="1"/>
  <c r="K5" i="1" s="1"/>
  <c r="J129" i="1" s="1"/>
  <c r="O2" i="1"/>
  <c r="G21" i="1"/>
  <c r="I40" i="1"/>
  <c r="G40" i="1"/>
  <c r="G137" i="24"/>
  <c r="K137" i="24" s="1"/>
  <c r="E134" i="24"/>
  <c r="C134" i="24"/>
  <c r="J133" i="24"/>
  <c r="M132" i="24"/>
  <c r="J131" i="24"/>
  <c r="E127" i="24"/>
  <c r="E136" i="24" s="1"/>
  <c r="E138" i="24" s="1"/>
  <c r="C127" i="24"/>
  <c r="C136" i="24" s="1"/>
  <c r="C138" i="24" s="1"/>
  <c r="G127" i="24"/>
  <c r="M124" i="24"/>
  <c r="J124" i="24"/>
  <c r="A121" i="24"/>
  <c r="B117" i="24"/>
  <c r="B116" i="24"/>
  <c r="E111" i="24"/>
  <c r="E109" i="24"/>
  <c r="K102" i="24"/>
  <c r="C100" i="24"/>
  <c r="G99" i="24"/>
  <c r="G101" i="24" s="1"/>
  <c r="G103" i="24" s="1"/>
  <c r="G108" i="24" s="1"/>
  <c r="K95" i="24"/>
  <c r="K100" i="24" s="1"/>
  <c r="J95" i="24"/>
  <c r="I95" i="24"/>
  <c r="G95" i="24"/>
  <c r="G100" i="24" s="1"/>
  <c r="E95" i="24"/>
  <c r="E100" i="24" s="1"/>
  <c r="C95" i="24"/>
  <c r="M94" i="24"/>
  <c r="J94" i="24"/>
  <c r="M93" i="24"/>
  <c r="M95" i="24" s="1"/>
  <c r="J93" i="24"/>
  <c r="K90" i="24"/>
  <c r="K99" i="24" s="1"/>
  <c r="K101" i="24" s="1"/>
  <c r="K103" i="24" s="1"/>
  <c r="K108" i="24" s="1"/>
  <c r="J90" i="24"/>
  <c r="I90" i="24"/>
  <c r="G90" i="24"/>
  <c r="E90" i="24"/>
  <c r="E99" i="24" s="1"/>
  <c r="E101" i="24" s="1"/>
  <c r="E103" i="24" s="1"/>
  <c r="C90" i="24"/>
  <c r="C99" i="24" s="1"/>
  <c r="C101" i="24" s="1"/>
  <c r="C103" i="24" s="1"/>
  <c r="C108" i="24" s="1"/>
  <c r="M89" i="24"/>
  <c r="J89" i="24"/>
  <c r="M88" i="24"/>
  <c r="M90" i="24" s="1"/>
  <c r="J88" i="24"/>
  <c r="A85" i="24"/>
  <c r="K79" i="24"/>
  <c r="K77" i="24"/>
  <c r="G77" i="24"/>
  <c r="K76" i="24"/>
  <c r="K78" i="24" s="1"/>
  <c r="K80" i="24" s="1"/>
  <c r="G76" i="24"/>
  <c r="G78" i="24" s="1"/>
  <c r="G80" i="24" s="1"/>
  <c r="E76" i="24"/>
  <c r="C76" i="24"/>
  <c r="C78" i="24" s="1"/>
  <c r="C80" i="24" s="1"/>
  <c r="K71" i="24"/>
  <c r="I71" i="24"/>
  <c r="J71" i="24" s="1"/>
  <c r="G71" i="24"/>
  <c r="E71" i="24"/>
  <c r="D71" i="24" s="1"/>
  <c r="C71" i="24"/>
  <c r="C77" i="24" s="1"/>
  <c r="M70" i="24"/>
  <c r="M69" i="24"/>
  <c r="M68" i="24"/>
  <c r="M67" i="24"/>
  <c r="M66" i="24"/>
  <c r="M65" i="24"/>
  <c r="M64" i="24"/>
  <c r="M63" i="24"/>
  <c r="M62" i="24"/>
  <c r="M61" i="24"/>
  <c r="M60" i="24"/>
  <c r="M59" i="24"/>
  <c r="M58" i="24"/>
  <c r="M57" i="24"/>
  <c r="M56" i="24"/>
  <c r="M55" i="24"/>
  <c r="M54" i="24"/>
  <c r="M53" i="24"/>
  <c r="M52" i="24"/>
  <c r="M51" i="24"/>
  <c r="M50" i="24"/>
  <c r="M49" i="24"/>
  <c r="M48" i="24"/>
  <c r="M47" i="24"/>
  <c r="M46" i="24"/>
  <c r="M71" i="24" s="1"/>
  <c r="O71" i="24" s="1"/>
  <c r="M45" i="24"/>
  <c r="M44" i="24"/>
  <c r="M43" i="24"/>
  <c r="M42" i="24"/>
  <c r="M41" i="24"/>
  <c r="M40" i="24"/>
  <c r="A37" i="24"/>
  <c r="M34" i="24"/>
  <c r="M33" i="24"/>
  <c r="M32" i="24"/>
  <c r="M31" i="24"/>
  <c r="M30" i="24"/>
  <c r="M29" i="24"/>
  <c r="M28" i="24"/>
  <c r="M27" i="24"/>
  <c r="M26" i="24"/>
  <c r="M25" i="24"/>
  <c r="M24" i="24"/>
  <c r="M23" i="24"/>
  <c r="M22" i="24"/>
  <c r="M21" i="24"/>
  <c r="M20" i="24"/>
  <c r="M19" i="24"/>
  <c r="M18" i="24"/>
  <c r="M17" i="24"/>
  <c r="M16" i="24"/>
  <c r="M35" i="24" s="1"/>
  <c r="O35" i="24" s="1"/>
  <c r="E10" i="24"/>
  <c r="E9" i="24"/>
  <c r="E8" i="24"/>
  <c r="O2" i="24"/>
  <c r="K127" i="24" l="1"/>
  <c r="K134" i="24"/>
  <c r="K136" i="24" s="1"/>
  <c r="K138" i="24" s="1"/>
  <c r="G134" i="24"/>
  <c r="G136" i="24" s="1"/>
  <c r="G138" i="24" s="1"/>
  <c r="I127" i="24"/>
  <c r="J127" i="24" s="1"/>
  <c r="J130" i="24"/>
  <c r="J126" i="24"/>
  <c r="J15" i="1"/>
  <c r="J39" i="1"/>
  <c r="J87" i="1"/>
  <c r="J92" i="1"/>
  <c r="J123" i="1"/>
  <c r="I134" i="24"/>
  <c r="J134" i="24" s="1"/>
  <c r="M126" i="24"/>
  <c r="C107" i="24"/>
  <c r="C109" i="24" s="1"/>
  <c r="C111" i="24" s="1"/>
  <c r="C82" i="24"/>
  <c r="G82" i="24"/>
  <c r="G107" i="24"/>
  <c r="G109" i="24" s="1"/>
  <c r="G111" i="24" s="1"/>
  <c r="K107" i="24"/>
  <c r="K109" i="24" s="1"/>
  <c r="K82" i="24"/>
  <c r="J132" i="24"/>
  <c r="E77" i="24"/>
  <c r="E78" i="24" s="1"/>
  <c r="E80" i="24" s="1"/>
  <c r="E82" i="24" s="1"/>
  <c r="J125" i="24"/>
  <c r="M125" i="24"/>
  <c r="M127" i="24" s="1"/>
  <c r="M130" i="24"/>
  <c r="M134" i="24" s="1"/>
  <c r="I27" i="1"/>
  <c r="P4" i="3" s="1"/>
  <c r="I11" i="25"/>
  <c r="D34" i="26" s="1"/>
  <c r="AC3" i="3"/>
  <c r="AE3" i="3"/>
  <c r="AF3" i="3"/>
  <c r="AN3" i="3"/>
  <c r="AS3" i="3"/>
  <c r="AU3" i="3"/>
  <c r="AV3" i="3"/>
  <c r="I3" i="1"/>
  <c r="I126" i="1"/>
  <c r="I125" i="1"/>
  <c r="I124" i="1"/>
  <c r="I89" i="1"/>
  <c r="BI4" i="3" s="1"/>
  <c r="I88" i="1"/>
  <c r="J88" i="1" s="1"/>
  <c r="I17" i="1"/>
  <c r="I18" i="1"/>
  <c r="I19" i="1"/>
  <c r="J19" i="1" s="1"/>
  <c r="I20" i="1"/>
  <c r="I21" i="1"/>
  <c r="I22" i="1"/>
  <c r="I23" i="1"/>
  <c r="I24" i="1"/>
  <c r="M4" i="3" s="1"/>
  <c r="I25" i="1"/>
  <c r="I26" i="1"/>
  <c r="J26" i="1" s="1"/>
  <c r="I28" i="1"/>
  <c r="J28" i="1" s="1"/>
  <c r="I29" i="1"/>
  <c r="R4" i="3" s="1"/>
  <c r="I30" i="1"/>
  <c r="I31" i="1"/>
  <c r="J31" i="1" s="1"/>
  <c r="I32" i="1"/>
  <c r="J32" i="1" s="1"/>
  <c r="I33" i="1"/>
  <c r="I34" i="1"/>
  <c r="E70" i="16"/>
  <c r="K117" i="1"/>
  <c r="B117" i="1" s="1"/>
  <c r="CB3" i="3"/>
  <c r="G133" i="1"/>
  <c r="CB6" i="3" s="1"/>
  <c r="I133" i="1"/>
  <c r="CB4" i="3" s="1"/>
  <c r="I131" i="1"/>
  <c r="J131" i="1" s="1"/>
  <c r="I132" i="1"/>
  <c r="I130" i="1"/>
  <c r="BY4" i="3" s="1"/>
  <c r="G131" i="1"/>
  <c r="G132" i="1"/>
  <c r="G130" i="1"/>
  <c r="BY6" i="3" s="1"/>
  <c r="G125" i="1"/>
  <c r="G126" i="1"/>
  <c r="BW6" i="3" s="1"/>
  <c r="G124" i="1"/>
  <c r="BU6" i="3" s="1"/>
  <c r="I94" i="1"/>
  <c r="I93" i="1"/>
  <c r="BK4" i="3" s="1"/>
  <c r="G93" i="1"/>
  <c r="G94" i="1"/>
  <c r="G89" i="1"/>
  <c r="BI6" i="3" s="1"/>
  <c r="G88" i="1"/>
  <c r="BH6" i="3" s="1"/>
  <c r="G59" i="1"/>
  <c r="AR6" i="3" s="1"/>
  <c r="I59" i="1"/>
  <c r="J59" i="1" s="1"/>
  <c r="G61" i="1"/>
  <c r="AT6" i="3" s="1"/>
  <c r="I61" i="1"/>
  <c r="AT4" i="3" s="1"/>
  <c r="G62" i="1"/>
  <c r="I62" i="1"/>
  <c r="J62" i="1" s="1"/>
  <c r="G63" i="1"/>
  <c r="AV6" i="3" s="1"/>
  <c r="I63" i="1"/>
  <c r="AV4" i="3" s="1"/>
  <c r="G64" i="1"/>
  <c r="AW6" i="3" s="1"/>
  <c r="I64" i="1"/>
  <c r="J64" i="1" s="1"/>
  <c r="G65" i="1"/>
  <c r="AX6" i="3" s="1"/>
  <c r="I65" i="1"/>
  <c r="J65" i="1" s="1"/>
  <c r="G66" i="1"/>
  <c r="AY6" i="3" s="1"/>
  <c r="I66" i="1"/>
  <c r="J66" i="1" s="1"/>
  <c r="G67" i="1"/>
  <c r="AZ6" i="3" s="1"/>
  <c r="I67" i="1"/>
  <c r="AZ4" i="3" s="1"/>
  <c r="G68" i="1"/>
  <c r="BA6" i="3" s="1"/>
  <c r="I68" i="1"/>
  <c r="BA4" i="3" s="1"/>
  <c r="G69" i="1"/>
  <c r="BB6" i="3" s="1"/>
  <c r="I69" i="1"/>
  <c r="G70" i="1"/>
  <c r="BC6" i="3" s="1"/>
  <c r="I70" i="1"/>
  <c r="BC4" i="3" s="1"/>
  <c r="I60" i="1"/>
  <c r="J60" i="1" s="1"/>
  <c r="G60" i="1"/>
  <c r="AS6" i="3" s="1"/>
  <c r="G41" i="1"/>
  <c r="G11" i="25" s="1"/>
  <c r="I41" i="1"/>
  <c r="J41" i="1" s="1"/>
  <c r="G42" i="1"/>
  <c r="I42" i="1"/>
  <c r="AA4" i="3" s="1"/>
  <c r="G43" i="1"/>
  <c r="I43" i="1"/>
  <c r="J43" i="1" s="1"/>
  <c r="G44" i="1"/>
  <c r="AC6" i="3" s="1"/>
  <c r="I44" i="1"/>
  <c r="J44" i="1" s="1"/>
  <c r="G45" i="1"/>
  <c r="AD6" i="3" s="1"/>
  <c r="I45" i="1"/>
  <c r="J45" i="1" s="1"/>
  <c r="G46" i="1"/>
  <c r="AE6" i="3" s="1"/>
  <c r="I46" i="1"/>
  <c r="J46" i="1" s="1"/>
  <c r="G47" i="1"/>
  <c r="AF6" i="3" s="1"/>
  <c r="I47" i="1"/>
  <c r="J47" i="1" s="1"/>
  <c r="G48" i="1"/>
  <c r="AG6" i="3" s="1"/>
  <c r="I48" i="1"/>
  <c r="J48" i="1" s="1"/>
  <c r="G49" i="1"/>
  <c r="I49" i="1"/>
  <c r="J49" i="1" s="1"/>
  <c r="G50" i="1"/>
  <c r="AI6" i="3" s="1"/>
  <c r="I50" i="1"/>
  <c r="J50" i="1" s="1"/>
  <c r="G51" i="1"/>
  <c r="AJ6" i="3" s="1"/>
  <c r="I51" i="1"/>
  <c r="J51" i="1" s="1"/>
  <c r="G52" i="1"/>
  <c r="AK6" i="3" s="1"/>
  <c r="I52" i="1"/>
  <c r="AK4" i="3" s="1"/>
  <c r="G53" i="1"/>
  <c r="AL6" i="3" s="1"/>
  <c r="I53" i="1"/>
  <c r="J53" i="1" s="1"/>
  <c r="G54" i="1"/>
  <c r="AM6" i="3" s="1"/>
  <c r="I54" i="1"/>
  <c r="J54" i="1" s="1"/>
  <c r="G55" i="1"/>
  <c r="AN6" i="3" s="1"/>
  <c r="I55" i="1"/>
  <c r="J55" i="1" s="1"/>
  <c r="G56" i="1"/>
  <c r="AO6" i="3" s="1"/>
  <c r="I56" i="1"/>
  <c r="J56" i="1" s="1"/>
  <c r="G57" i="1"/>
  <c r="AP6" i="3" s="1"/>
  <c r="I57" i="1"/>
  <c r="J57" i="1" s="1"/>
  <c r="G58" i="1"/>
  <c r="AQ6" i="3" s="1"/>
  <c r="I58" i="1"/>
  <c r="AQ4" i="3" s="1"/>
  <c r="G17" i="1"/>
  <c r="G18" i="1"/>
  <c r="G6" i="3" s="1"/>
  <c r="G19" i="1"/>
  <c r="H6" i="3" s="1"/>
  <c r="G20" i="1"/>
  <c r="I6" i="3" s="1"/>
  <c r="G22" i="1"/>
  <c r="G23" i="1"/>
  <c r="L6" i="3" s="1"/>
  <c r="G24" i="1"/>
  <c r="G25" i="1"/>
  <c r="N6" i="3" s="1"/>
  <c r="G26" i="1"/>
  <c r="O6" i="3" s="1"/>
  <c r="G27" i="1"/>
  <c r="P6" i="3" s="1"/>
  <c r="G28" i="1"/>
  <c r="Q6" i="3" s="1"/>
  <c r="G29" i="1"/>
  <c r="R6" i="3" s="1"/>
  <c r="G30" i="1"/>
  <c r="S6" i="3" s="1"/>
  <c r="G31" i="1"/>
  <c r="T6" i="3" s="1"/>
  <c r="G32" i="1"/>
  <c r="U6" i="3" s="1"/>
  <c r="G33" i="1"/>
  <c r="V6" i="3" s="1"/>
  <c r="G34" i="1"/>
  <c r="W6" i="3" s="1"/>
  <c r="G16" i="1"/>
  <c r="CJ3" i="17"/>
  <c r="CI3" i="17"/>
  <c r="CH3" i="17"/>
  <c r="J126" i="1"/>
  <c r="J124" i="1"/>
  <c r="J94" i="1"/>
  <c r="J93" i="1"/>
  <c r="J89" i="1"/>
  <c r="J34" i="1"/>
  <c r="J20" i="1"/>
  <c r="J17" i="1"/>
  <c r="J22" i="1"/>
  <c r="J25" i="1"/>
  <c r="B4" i="1"/>
  <c r="C3" i="3" s="1"/>
  <c r="J18" i="1"/>
  <c r="J40" i="1"/>
  <c r="J24" i="1"/>
  <c r="H4" i="19"/>
  <c r="H5" i="19"/>
  <c r="H6" i="19"/>
  <c r="H7" i="19"/>
  <c r="H8"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H34" i="19"/>
  <c r="H35" i="19"/>
  <c r="H36" i="19"/>
  <c r="H37" i="19"/>
  <c r="H38" i="19"/>
  <c r="H39" i="19"/>
  <c r="H40" i="19"/>
  <c r="H41" i="19"/>
  <c r="H42" i="19"/>
  <c r="H43" i="19"/>
  <c r="H44" i="19"/>
  <c r="H45" i="19"/>
  <c r="H46" i="19"/>
  <c r="H47" i="19"/>
  <c r="H48" i="19"/>
  <c r="H49" i="19"/>
  <c r="H50" i="19"/>
  <c r="H51" i="19"/>
  <c r="H52" i="19"/>
  <c r="H53" i="19"/>
  <c r="H54" i="19"/>
  <c r="H55" i="19"/>
  <c r="H56" i="19"/>
  <c r="H57" i="19"/>
  <c r="H58" i="19"/>
  <c r="H59" i="19"/>
  <c r="H60" i="19"/>
  <c r="H61" i="19"/>
  <c r="H62" i="19"/>
  <c r="H63" i="19"/>
  <c r="H64" i="19"/>
  <c r="H65" i="19"/>
  <c r="H66" i="19"/>
  <c r="H67" i="19"/>
  <c r="H68" i="19"/>
  <c r="H69" i="19"/>
  <c r="H70" i="19"/>
  <c r="H71" i="19"/>
  <c r="H72" i="19"/>
  <c r="H73" i="19"/>
  <c r="H74" i="19"/>
  <c r="H75" i="19"/>
  <c r="H76" i="19"/>
  <c r="H77" i="19"/>
  <c r="H78" i="19"/>
  <c r="H79" i="19"/>
  <c r="H80" i="19"/>
  <c r="H81" i="19"/>
  <c r="H82" i="19"/>
  <c r="H83" i="19"/>
  <c r="H84" i="19"/>
  <c r="H85" i="19"/>
  <c r="H86" i="19"/>
  <c r="H87" i="19"/>
  <c r="H88" i="19"/>
  <c r="H89" i="19"/>
  <c r="H90" i="19"/>
  <c r="H91" i="19"/>
  <c r="H92" i="19"/>
  <c r="H93" i="19"/>
  <c r="H94" i="19"/>
  <c r="H95" i="19"/>
  <c r="H96" i="19"/>
  <c r="H97" i="19"/>
  <c r="H98" i="19"/>
  <c r="H99" i="19"/>
  <c r="H100" i="19"/>
  <c r="H101" i="19"/>
  <c r="H102" i="19"/>
  <c r="H103" i="19"/>
  <c r="H104" i="19"/>
  <c r="H105" i="19"/>
  <c r="H106" i="19"/>
  <c r="H107" i="19"/>
  <c r="H108" i="19"/>
  <c r="H109" i="19"/>
  <c r="H110" i="19"/>
  <c r="H111" i="19"/>
  <c r="H112" i="19"/>
  <c r="H113" i="19"/>
  <c r="H114" i="19"/>
  <c r="H115" i="19"/>
  <c r="H116" i="19"/>
  <c r="H117" i="19"/>
  <c r="H118" i="19"/>
  <c r="H119" i="19"/>
  <c r="H120" i="19"/>
  <c r="H121" i="19"/>
  <c r="H122" i="19"/>
  <c r="H123" i="19"/>
  <c r="H124" i="19"/>
  <c r="H3" i="19"/>
  <c r="E6" i="12"/>
  <c r="F6" i="12"/>
  <c r="E7" i="12"/>
  <c r="F7" i="12"/>
  <c r="E8" i="12"/>
  <c r="F8" i="12"/>
  <c r="E9" i="12"/>
  <c r="F9" i="12"/>
  <c r="E10" i="12"/>
  <c r="F10" i="12"/>
  <c r="E11" i="12"/>
  <c r="F11" i="12"/>
  <c r="E12" i="12"/>
  <c r="F12" i="12"/>
  <c r="E13" i="12"/>
  <c r="F13" i="12"/>
  <c r="E14" i="12"/>
  <c r="F14" i="12"/>
  <c r="E15" i="12"/>
  <c r="F15" i="12"/>
  <c r="E16" i="12"/>
  <c r="F16" i="12"/>
  <c r="E17" i="12"/>
  <c r="F17" i="12"/>
  <c r="E18" i="12"/>
  <c r="F18" i="12"/>
  <c r="E19" i="12"/>
  <c r="F19" i="12"/>
  <c r="E20" i="12"/>
  <c r="F20" i="12"/>
  <c r="E21" i="12"/>
  <c r="F21" i="12"/>
  <c r="E22" i="12"/>
  <c r="F22" i="12"/>
  <c r="E23" i="12"/>
  <c r="F23" i="12"/>
  <c r="E24" i="12"/>
  <c r="F24" i="12"/>
  <c r="E25" i="12"/>
  <c r="F25" i="12"/>
  <c r="E26" i="12"/>
  <c r="F26" i="12"/>
  <c r="E27" i="12"/>
  <c r="F27" i="12"/>
  <c r="E28" i="12"/>
  <c r="F28" i="12"/>
  <c r="E29" i="12"/>
  <c r="F29" i="12"/>
  <c r="E30" i="12"/>
  <c r="F30" i="12"/>
  <c r="E31" i="12"/>
  <c r="F31" i="12"/>
  <c r="E32" i="12"/>
  <c r="F32" i="12"/>
  <c r="E33" i="12"/>
  <c r="F33" i="12"/>
  <c r="E34" i="12"/>
  <c r="F34" i="12"/>
  <c r="E35" i="12"/>
  <c r="F35" i="12"/>
  <c r="E36" i="12"/>
  <c r="F36" i="12"/>
  <c r="E37" i="12"/>
  <c r="F37" i="12"/>
  <c r="E38" i="12"/>
  <c r="F38" i="12"/>
  <c r="E39" i="12"/>
  <c r="F39" i="12"/>
  <c r="E40" i="12"/>
  <c r="F40" i="12"/>
  <c r="E41" i="12"/>
  <c r="F41" i="12"/>
  <c r="E42" i="12"/>
  <c r="F42" i="12"/>
  <c r="E43" i="12"/>
  <c r="F43" i="12"/>
  <c r="E44" i="12"/>
  <c r="F44" i="12"/>
  <c r="E45" i="12"/>
  <c r="F45" i="12"/>
  <c r="E46" i="12"/>
  <c r="F46" i="12"/>
  <c r="E47" i="12"/>
  <c r="F47" i="12"/>
  <c r="E48" i="12"/>
  <c r="F48" i="12"/>
  <c r="E49" i="12"/>
  <c r="F49" i="12"/>
  <c r="E50" i="12"/>
  <c r="F50" i="12"/>
  <c r="E51" i="12"/>
  <c r="F51" i="12"/>
  <c r="E52" i="12"/>
  <c r="F52" i="12"/>
  <c r="E53" i="12"/>
  <c r="F53" i="12"/>
  <c r="E54" i="12"/>
  <c r="F54" i="12"/>
  <c r="E55" i="12"/>
  <c r="F55" i="12"/>
  <c r="E56" i="12"/>
  <c r="F56" i="12"/>
  <c r="E57" i="12"/>
  <c r="F57" i="12"/>
  <c r="E58" i="12"/>
  <c r="F58" i="12"/>
  <c r="E59" i="12"/>
  <c r="F59" i="12"/>
  <c r="E60" i="12"/>
  <c r="F60" i="12"/>
  <c r="E61" i="12"/>
  <c r="F61" i="12"/>
  <c r="E62" i="12"/>
  <c r="F62" i="12"/>
  <c r="E63" i="12"/>
  <c r="F63" i="12"/>
  <c r="E64" i="12"/>
  <c r="F64" i="12"/>
  <c r="E65" i="12"/>
  <c r="F65" i="12"/>
  <c r="E66" i="12"/>
  <c r="F66" i="12"/>
  <c r="E67" i="12"/>
  <c r="F67" i="12"/>
  <c r="E68" i="12"/>
  <c r="F68" i="12"/>
  <c r="E69" i="12"/>
  <c r="F69" i="12"/>
  <c r="E70" i="12"/>
  <c r="F70" i="12"/>
  <c r="E71" i="12"/>
  <c r="F71" i="12"/>
  <c r="E72" i="12"/>
  <c r="F72" i="12"/>
  <c r="E73" i="12"/>
  <c r="F73" i="12"/>
  <c r="E74" i="12"/>
  <c r="F74" i="12"/>
  <c r="E75" i="12"/>
  <c r="F75" i="12"/>
  <c r="E76" i="12"/>
  <c r="F76" i="12"/>
  <c r="E77" i="12"/>
  <c r="F77" i="12"/>
  <c r="E78" i="12"/>
  <c r="F78" i="12"/>
  <c r="E79" i="12"/>
  <c r="F79" i="12"/>
  <c r="E80" i="12"/>
  <c r="F80" i="12"/>
  <c r="E81" i="12"/>
  <c r="F81" i="12"/>
  <c r="E82" i="12"/>
  <c r="F82" i="12"/>
  <c r="E83" i="12"/>
  <c r="F83" i="12"/>
  <c r="E84" i="12"/>
  <c r="F84" i="12"/>
  <c r="E85" i="12"/>
  <c r="F85" i="12"/>
  <c r="E86" i="12"/>
  <c r="F86" i="12"/>
  <c r="E87" i="12"/>
  <c r="F87" i="12"/>
  <c r="E88" i="12"/>
  <c r="F88" i="12"/>
  <c r="E89" i="12"/>
  <c r="F89" i="12"/>
  <c r="E90" i="12"/>
  <c r="F90" i="12"/>
  <c r="E91" i="12"/>
  <c r="F91" i="12"/>
  <c r="E92" i="12"/>
  <c r="F92" i="12"/>
  <c r="E93" i="12"/>
  <c r="F93" i="12"/>
  <c r="E94" i="12"/>
  <c r="F94" i="12"/>
  <c r="E95" i="12"/>
  <c r="F95" i="12"/>
  <c r="E96" i="12"/>
  <c r="F96" i="12"/>
  <c r="E97" i="12"/>
  <c r="F97" i="12"/>
  <c r="E98" i="12"/>
  <c r="F98" i="12"/>
  <c r="E99" i="12"/>
  <c r="F99" i="12"/>
  <c r="E100" i="12"/>
  <c r="F100" i="12"/>
  <c r="E101" i="12"/>
  <c r="F101" i="12"/>
  <c r="E102" i="12"/>
  <c r="F102" i="12"/>
  <c r="E103" i="12"/>
  <c r="F103" i="12"/>
  <c r="E104" i="12"/>
  <c r="F104" i="12"/>
  <c r="E105" i="12"/>
  <c r="F105" i="12"/>
  <c r="E106" i="12"/>
  <c r="F106" i="12"/>
  <c r="E107" i="12"/>
  <c r="F107" i="12"/>
  <c r="E108" i="12"/>
  <c r="F108" i="12"/>
  <c r="E109" i="12"/>
  <c r="F109" i="12"/>
  <c r="E110" i="12"/>
  <c r="F110" i="12"/>
  <c r="E111" i="12"/>
  <c r="F111" i="12"/>
  <c r="E112" i="12"/>
  <c r="F112" i="12"/>
  <c r="E113" i="12"/>
  <c r="F113" i="12"/>
  <c r="E114" i="12"/>
  <c r="F114" i="12"/>
  <c r="E115" i="12"/>
  <c r="F115" i="12"/>
  <c r="E116" i="12"/>
  <c r="F116" i="12"/>
  <c r="E117" i="12"/>
  <c r="F117" i="12"/>
  <c r="E118" i="12"/>
  <c r="F118" i="12"/>
  <c r="E119" i="12"/>
  <c r="F119" i="12"/>
  <c r="E120" i="12"/>
  <c r="F120" i="12"/>
  <c r="E121" i="12"/>
  <c r="F121" i="12"/>
  <c r="E122" i="12"/>
  <c r="F122" i="12"/>
  <c r="E123" i="12"/>
  <c r="F123" i="12"/>
  <c r="E124" i="12"/>
  <c r="F124" i="12"/>
  <c r="E125" i="12"/>
  <c r="F125" i="12"/>
  <c r="E126" i="12"/>
  <c r="F126" i="12"/>
  <c r="F5" i="12"/>
  <c r="E5" i="12"/>
  <c r="E5" i="16"/>
  <c r="E194" i="1"/>
  <c r="E6" i="16"/>
  <c r="E195" i="1"/>
  <c r="E7" i="16"/>
  <c r="E196" i="1"/>
  <c r="E8" i="16"/>
  <c r="E197" i="1"/>
  <c r="E9" i="16"/>
  <c r="E198" i="1"/>
  <c r="E10" i="16"/>
  <c r="E199" i="1"/>
  <c r="E11" i="16"/>
  <c r="E200" i="1"/>
  <c r="E12" i="16"/>
  <c r="E201" i="1"/>
  <c r="E13" i="16"/>
  <c r="E202" i="1"/>
  <c r="E14" i="16"/>
  <c r="E203" i="1"/>
  <c r="E15" i="16"/>
  <c r="E204" i="1"/>
  <c r="E16" i="16"/>
  <c r="E205" i="1"/>
  <c r="E17" i="16"/>
  <c r="E206" i="1"/>
  <c r="E18" i="16"/>
  <c r="E207" i="1"/>
  <c r="E19" i="16"/>
  <c r="E208" i="1"/>
  <c r="E20" i="16"/>
  <c r="E209" i="1"/>
  <c r="E21" i="16"/>
  <c r="E210" i="1"/>
  <c r="E22" i="16"/>
  <c r="E211" i="1"/>
  <c r="E23" i="16"/>
  <c r="E212" i="1"/>
  <c r="E24" i="16"/>
  <c r="E213" i="1"/>
  <c r="E25" i="16"/>
  <c r="E214" i="1"/>
  <c r="E26" i="16"/>
  <c r="E215" i="1"/>
  <c r="E27" i="16"/>
  <c r="E216" i="1"/>
  <c r="E28" i="16"/>
  <c r="E217" i="1"/>
  <c r="E29" i="16"/>
  <c r="E218" i="1"/>
  <c r="E30" i="16"/>
  <c r="E219" i="1"/>
  <c r="E31" i="16"/>
  <c r="E220" i="1"/>
  <c r="E32" i="16"/>
  <c r="E221" i="1"/>
  <c r="E33" i="16"/>
  <c r="E222" i="1"/>
  <c r="E34" i="16"/>
  <c r="E223" i="1"/>
  <c r="E35" i="16"/>
  <c r="E224" i="1"/>
  <c r="E36" i="16"/>
  <c r="E225" i="1"/>
  <c r="E37" i="16"/>
  <c r="E226" i="1"/>
  <c r="E38" i="16"/>
  <c r="E227" i="1"/>
  <c r="E39" i="16"/>
  <c r="E228" i="1"/>
  <c r="E40" i="16"/>
  <c r="E229" i="1"/>
  <c r="E41" i="16"/>
  <c r="E230" i="1"/>
  <c r="E42" i="16"/>
  <c r="E231" i="1"/>
  <c r="E43" i="16"/>
  <c r="E232" i="1"/>
  <c r="E44" i="16"/>
  <c r="E233" i="1"/>
  <c r="E45" i="16"/>
  <c r="E234" i="1"/>
  <c r="E46" i="16"/>
  <c r="E235" i="1"/>
  <c r="E47" i="16"/>
  <c r="E236" i="1"/>
  <c r="E48" i="16"/>
  <c r="E237" i="1"/>
  <c r="E49" i="16"/>
  <c r="E238" i="1"/>
  <c r="E50" i="16"/>
  <c r="E239" i="1"/>
  <c r="E51" i="16"/>
  <c r="E240" i="1"/>
  <c r="E52" i="16"/>
  <c r="E241" i="1"/>
  <c r="E53" i="16"/>
  <c r="E242" i="1"/>
  <c r="E54" i="16"/>
  <c r="E243" i="1"/>
  <c r="E55" i="16"/>
  <c r="E244" i="1"/>
  <c r="E56" i="16"/>
  <c r="E245" i="1"/>
  <c r="E57" i="16"/>
  <c r="E246" i="1"/>
  <c r="E58" i="16"/>
  <c r="E247" i="1"/>
  <c r="E59" i="16"/>
  <c r="E248" i="1"/>
  <c r="E60" i="16"/>
  <c r="E249" i="1"/>
  <c r="E61" i="16"/>
  <c r="E250" i="1"/>
  <c r="E62" i="16"/>
  <c r="E251" i="1"/>
  <c r="E63" i="16"/>
  <c r="E252" i="1"/>
  <c r="E64" i="16"/>
  <c r="E253" i="1"/>
  <c r="E65" i="16"/>
  <c r="E254" i="1"/>
  <c r="E66" i="16"/>
  <c r="E255" i="1"/>
  <c r="E67" i="16"/>
  <c r="E256" i="1"/>
  <c r="E68" i="16"/>
  <c r="E257" i="1"/>
  <c r="E69" i="16"/>
  <c r="E258" i="1" s="1"/>
  <c r="E71" i="16"/>
  <c r="E259" i="1"/>
  <c r="E72" i="16"/>
  <c r="E260" i="1"/>
  <c r="E73" i="16"/>
  <c r="E261" i="1"/>
  <c r="E74" i="16"/>
  <c r="E262" i="1"/>
  <c r="E75" i="16"/>
  <c r="E263" i="1"/>
  <c r="E76" i="16"/>
  <c r="E264" i="1"/>
  <c r="E77" i="16"/>
  <c r="E265" i="1"/>
  <c r="E78" i="16"/>
  <c r="E266" i="1"/>
  <c r="E79" i="16"/>
  <c r="E267" i="1"/>
  <c r="E80" i="16"/>
  <c r="E268" i="1"/>
  <c r="E81" i="16"/>
  <c r="E269" i="1"/>
  <c r="E82" i="16"/>
  <c r="E270" i="1"/>
  <c r="E83" i="16"/>
  <c r="E271" i="1"/>
  <c r="E84" i="16"/>
  <c r="E272" i="1"/>
  <c r="E85" i="16"/>
  <c r="E273" i="1"/>
  <c r="E86" i="16"/>
  <c r="E274" i="1"/>
  <c r="E87" i="16"/>
  <c r="E275" i="1"/>
  <c r="E88" i="16"/>
  <c r="E276" i="1"/>
  <c r="E89" i="16"/>
  <c r="E277" i="1"/>
  <c r="E90" i="16"/>
  <c r="E278" i="1"/>
  <c r="E91" i="16"/>
  <c r="E279" i="1"/>
  <c r="E92" i="16"/>
  <c r="E280" i="1"/>
  <c r="E93" i="16"/>
  <c r="E281" i="1"/>
  <c r="E94" i="16"/>
  <c r="E282" i="1"/>
  <c r="E95" i="16"/>
  <c r="E283" i="1"/>
  <c r="E96" i="16"/>
  <c r="E284" i="1"/>
  <c r="E97" i="16"/>
  <c r="E285" i="1"/>
  <c r="E98" i="16"/>
  <c r="E286" i="1"/>
  <c r="E99" i="16"/>
  <c r="E287" i="1"/>
  <c r="E100" i="16"/>
  <c r="E288" i="1"/>
  <c r="E101" i="16"/>
  <c r="E289" i="1"/>
  <c r="E102" i="16"/>
  <c r="E290" i="1"/>
  <c r="E103" i="16"/>
  <c r="E291" i="1"/>
  <c r="E104" i="16"/>
  <c r="E292" i="1"/>
  <c r="E105" i="16"/>
  <c r="E293" i="1"/>
  <c r="E106" i="16"/>
  <c r="E294" i="1"/>
  <c r="E107" i="16"/>
  <c r="E295" i="1"/>
  <c r="E108" i="16"/>
  <c r="E296" i="1"/>
  <c r="E109" i="16"/>
  <c r="E297" i="1"/>
  <c r="E110" i="16"/>
  <c r="E298" i="1"/>
  <c r="E111" i="16"/>
  <c r="E299" i="1"/>
  <c r="E112" i="16"/>
  <c r="E300" i="1"/>
  <c r="E113" i="16"/>
  <c r="E301" i="1"/>
  <c r="E114" i="16"/>
  <c r="E302" i="1"/>
  <c r="E115" i="16"/>
  <c r="E303" i="1"/>
  <c r="E116" i="16"/>
  <c r="E304" i="1"/>
  <c r="E117" i="16"/>
  <c r="E305" i="1"/>
  <c r="E118" i="16"/>
  <c r="E306" i="1"/>
  <c r="E120" i="16"/>
  <c r="E307" i="1"/>
  <c r="E121" i="16"/>
  <c r="E308" i="1"/>
  <c r="E122" i="16"/>
  <c r="E309" i="1"/>
  <c r="E123" i="16"/>
  <c r="E310" i="1"/>
  <c r="E124" i="16"/>
  <c r="E311" i="1"/>
  <c r="E125" i="16"/>
  <c r="E312" i="1"/>
  <c r="E126" i="16"/>
  <c r="E313" i="1"/>
  <c r="E127" i="16"/>
  <c r="E314" i="1"/>
  <c r="E4" i="16"/>
  <c r="E193" i="1"/>
  <c r="D124" i="19"/>
  <c r="D123" i="19"/>
  <c r="D122" i="19"/>
  <c r="D121" i="19"/>
  <c r="D120" i="19"/>
  <c r="D119" i="19"/>
  <c r="D118" i="19"/>
  <c r="D117" i="19"/>
  <c r="D116" i="19"/>
  <c r="D115" i="19"/>
  <c r="D114" i="19"/>
  <c r="D113" i="19"/>
  <c r="D112" i="19"/>
  <c r="D111" i="19"/>
  <c r="D110" i="19"/>
  <c r="D109" i="19"/>
  <c r="D108" i="19"/>
  <c r="D107" i="19"/>
  <c r="D106" i="19"/>
  <c r="D105" i="19"/>
  <c r="D104" i="19"/>
  <c r="D103" i="19"/>
  <c r="D102" i="19"/>
  <c r="D101" i="19"/>
  <c r="D100" i="19"/>
  <c r="D99" i="19"/>
  <c r="D98" i="19"/>
  <c r="D97" i="19"/>
  <c r="D96" i="19"/>
  <c r="D95" i="19"/>
  <c r="D94" i="19"/>
  <c r="D93" i="19"/>
  <c r="D92" i="19"/>
  <c r="D91" i="19"/>
  <c r="D90" i="19"/>
  <c r="D89" i="19"/>
  <c r="D88" i="19"/>
  <c r="D87" i="19"/>
  <c r="D86" i="19"/>
  <c r="D85" i="19"/>
  <c r="D84" i="19"/>
  <c r="D83" i="19"/>
  <c r="D82" i="19"/>
  <c r="D81" i="19"/>
  <c r="D80" i="19"/>
  <c r="D79" i="19"/>
  <c r="D78" i="19"/>
  <c r="D77" i="19"/>
  <c r="D76" i="19"/>
  <c r="D75" i="19"/>
  <c r="D74" i="19"/>
  <c r="D73" i="19"/>
  <c r="D72" i="19"/>
  <c r="D71" i="19"/>
  <c r="D70" i="19"/>
  <c r="D69" i="19"/>
  <c r="D68" i="19"/>
  <c r="D67" i="19"/>
  <c r="D66" i="19"/>
  <c r="D65" i="19"/>
  <c r="D64" i="19"/>
  <c r="D63" i="19"/>
  <c r="D62" i="19"/>
  <c r="D61" i="19"/>
  <c r="D60" i="19"/>
  <c r="D59" i="19"/>
  <c r="D58" i="19"/>
  <c r="D57" i="19"/>
  <c r="D56" i="19"/>
  <c r="D55" i="19"/>
  <c r="D54" i="19"/>
  <c r="D53" i="19"/>
  <c r="D52" i="19"/>
  <c r="D51" i="19"/>
  <c r="D50" i="19"/>
  <c r="D49" i="19"/>
  <c r="D48" i="19"/>
  <c r="D47" i="19"/>
  <c r="D46" i="19"/>
  <c r="D45" i="19"/>
  <c r="D44" i="19"/>
  <c r="D43" i="19"/>
  <c r="D42" i="19"/>
  <c r="D41" i="19"/>
  <c r="D40" i="19"/>
  <c r="D39" i="19"/>
  <c r="D38" i="19"/>
  <c r="D37" i="19"/>
  <c r="D36" i="19"/>
  <c r="D35" i="19"/>
  <c r="D34" i="19"/>
  <c r="D33" i="19"/>
  <c r="D32" i="19"/>
  <c r="D31" i="19"/>
  <c r="D30" i="19"/>
  <c r="D29" i="19"/>
  <c r="D28" i="19"/>
  <c r="D27" i="19"/>
  <c r="D26" i="19"/>
  <c r="D25" i="19"/>
  <c r="D24" i="19"/>
  <c r="D23" i="19"/>
  <c r="D22" i="19"/>
  <c r="D21" i="19"/>
  <c r="D20" i="19"/>
  <c r="D19" i="19"/>
  <c r="D18" i="19"/>
  <c r="D17" i="19"/>
  <c r="D16" i="19"/>
  <c r="D15" i="19"/>
  <c r="D14" i="19"/>
  <c r="D13" i="19"/>
  <c r="D12" i="19"/>
  <c r="D11" i="19"/>
  <c r="D10" i="19"/>
  <c r="D9" i="19"/>
  <c r="D8" i="19"/>
  <c r="D7" i="19"/>
  <c r="D6" i="19"/>
  <c r="D5" i="19"/>
  <c r="D4" i="19"/>
  <c r="D3" i="19"/>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100" i="12"/>
  <c r="C101" i="12"/>
  <c r="C102" i="12"/>
  <c r="C103" i="12"/>
  <c r="C104" i="12"/>
  <c r="C105" i="12"/>
  <c r="C106" i="12"/>
  <c r="C107" i="12"/>
  <c r="C108" i="12"/>
  <c r="C109" i="12"/>
  <c r="C110" i="12"/>
  <c r="C111" i="12"/>
  <c r="C112" i="12"/>
  <c r="C113" i="12"/>
  <c r="C114" i="12"/>
  <c r="C115" i="12"/>
  <c r="C116" i="12"/>
  <c r="C117" i="12"/>
  <c r="C118" i="12"/>
  <c r="C119" i="12"/>
  <c r="C120" i="12"/>
  <c r="C121" i="12"/>
  <c r="C122" i="12"/>
  <c r="C123" i="12"/>
  <c r="C124" i="12"/>
  <c r="C125" i="12"/>
  <c r="C126"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5" i="12"/>
  <c r="AZ3" i="3"/>
  <c r="V4" i="3"/>
  <c r="U3" i="3"/>
  <c r="T3" i="3"/>
  <c r="L4" i="3"/>
  <c r="F37" i="13"/>
  <c r="DY3" i="3"/>
  <c r="DU3" i="3"/>
  <c r="DQ3" i="3"/>
  <c r="DM3" i="3"/>
  <c r="DI3" i="3"/>
  <c r="DE3" i="3"/>
  <c r="DA3" i="3"/>
  <c r="J1" i="14"/>
  <c r="CP3" i="3"/>
  <c r="CL3" i="3"/>
  <c r="E38" i="14"/>
  <c r="HW3" i="3"/>
  <c r="G36" i="13"/>
  <c r="HV3" i="3"/>
  <c r="HU3" i="3"/>
  <c r="HT3" i="3"/>
  <c r="HS3" i="3"/>
  <c r="HR3" i="3"/>
  <c r="HQ3" i="3"/>
  <c r="G35" i="13"/>
  <c r="HP3" i="3"/>
  <c r="HO3" i="3"/>
  <c r="HN3" i="3"/>
  <c r="HM3" i="3"/>
  <c r="HL3" i="3"/>
  <c r="HK3" i="3"/>
  <c r="G34" i="13"/>
  <c r="HJ3" i="3"/>
  <c r="HI3" i="3"/>
  <c r="HH3" i="3"/>
  <c r="HG3" i="3"/>
  <c r="HF3" i="3"/>
  <c r="HE3" i="3"/>
  <c r="G33" i="13"/>
  <c r="HD3" i="3"/>
  <c r="HC3" i="3"/>
  <c r="HB3" i="3"/>
  <c r="HA3" i="3"/>
  <c r="GZ3" i="3"/>
  <c r="GY3" i="3"/>
  <c r="G32" i="13"/>
  <c r="GX3" i="3"/>
  <c r="GW3" i="3"/>
  <c r="GV3" i="3"/>
  <c r="GU3" i="3"/>
  <c r="GT3" i="3"/>
  <c r="GS3" i="3"/>
  <c r="G31" i="13"/>
  <c r="GR3" i="3"/>
  <c r="GQ3" i="3"/>
  <c r="GP3" i="3"/>
  <c r="GO3" i="3"/>
  <c r="GN3" i="3"/>
  <c r="GM3" i="3"/>
  <c r="G30" i="13"/>
  <c r="GL3" i="3"/>
  <c r="GK3" i="3"/>
  <c r="GJ3" i="3"/>
  <c r="GI3" i="3"/>
  <c r="GH3" i="3"/>
  <c r="GG3" i="3"/>
  <c r="G29" i="13"/>
  <c r="GF3" i="3"/>
  <c r="GE3" i="3"/>
  <c r="GD3" i="3"/>
  <c r="GC3" i="3"/>
  <c r="GB3" i="3"/>
  <c r="GA3" i="3"/>
  <c r="G28" i="13"/>
  <c r="FZ3" i="3"/>
  <c r="FY3" i="3"/>
  <c r="FX3" i="3"/>
  <c r="FW3" i="3"/>
  <c r="FV3" i="3"/>
  <c r="FU3" i="3"/>
  <c r="G27" i="13"/>
  <c r="FT3" i="3"/>
  <c r="FS3" i="3"/>
  <c r="FR3" i="3"/>
  <c r="FQ3" i="3"/>
  <c r="FP3" i="3"/>
  <c r="FO3" i="3"/>
  <c r="G26" i="13"/>
  <c r="FN3" i="3"/>
  <c r="FM3" i="3"/>
  <c r="FL3" i="3"/>
  <c r="FK3" i="3"/>
  <c r="FJ3" i="3"/>
  <c r="FI3" i="3"/>
  <c r="G25" i="13"/>
  <c r="FH3" i="3"/>
  <c r="FG3" i="3"/>
  <c r="FF3" i="3"/>
  <c r="FE3" i="3"/>
  <c r="FD3" i="3"/>
  <c r="FC3" i="3"/>
  <c r="G24" i="13"/>
  <c r="FB3" i="3"/>
  <c r="FA3" i="3"/>
  <c r="EZ3" i="3"/>
  <c r="EY3" i="3"/>
  <c r="EX3" i="3"/>
  <c r="EW3" i="3"/>
  <c r="G23" i="13"/>
  <c r="EV3" i="3"/>
  <c r="EU3" i="3"/>
  <c r="ET3" i="3"/>
  <c r="ES3" i="3"/>
  <c r="ER3" i="3"/>
  <c r="EQ3" i="3"/>
  <c r="G22" i="13"/>
  <c r="EP3" i="3"/>
  <c r="EO3" i="3"/>
  <c r="EN3" i="3"/>
  <c r="EM3" i="3"/>
  <c r="EL3" i="3"/>
  <c r="E37" i="13"/>
  <c r="DX3" i="3"/>
  <c r="DW3" i="3"/>
  <c r="DV3" i="3"/>
  <c r="DT3" i="3"/>
  <c r="DS3" i="3"/>
  <c r="DR3" i="3"/>
  <c r="A1" i="13"/>
  <c r="A1" i="14" s="1"/>
  <c r="G95" i="1"/>
  <c r="BM6" i="3" s="1"/>
  <c r="B6" i="2"/>
  <c r="EK3" i="3"/>
  <c r="D34" i="8"/>
  <c r="EH3" i="3" s="1"/>
  <c r="D10" i="8"/>
  <c r="DZ3" i="3" s="1"/>
  <c r="DP3" i="3"/>
  <c r="DO3" i="3"/>
  <c r="DN3" i="3"/>
  <c r="DL3" i="3"/>
  <c r="DK3" i="3"/>
  <c r="DJ3" i="3"/>
  <c r="DH3" i="3"/>
  <c r="DG3" i="3"/>
  <c r="DF3" i="3"/>
  <c r="DD3" i="3"/>
  <c r="DC3" i="3"/>
  <c r="DB3" i="3"/>
  <c r="CZ3" i="3"/>
  <c r="CY3" i="3"/>
  <c r="CX3" i="3"/>
  <c r="CH3" i="3"/>
  <c r="CG3" i="3" s="1"/>
  <c r="CS3" i="3"/>
  <c r="CR3" i="3"/>
  <c r="CQ3" i="3"/>
  <c r="CO3" i="3"/>
  <c r="CN3" i="3"/>
  <c r="CM3" i="3"/>
  <c r="CK3" i="3"/>
  <c r="CJ3" i="3"/>
  <c r="CI3" i="3"/>
  <c r="CF4" i="3"/>
  <c r="CE4" i="3"/>
  <c r="CD4" i="3"/>
  <c r="CA6" i="3"/>
  <c r="CA4" i="3"/>
  <c r="BZ6" i="3"/>
  <c r="BY3" i="3"/>
  <c r="I127" i="1"/>
  <c r="BX4" i="3" s="1"/>
  <c r="BW4" i="3"/>
  <c r="BW3" i="3"/>
  <c r="BV3" i="3"/>
  <c r="BU4" i="3"/>
  <c r="BU3" i="3"/>
  <c r="BT4" i="3"/>
  <c r="BS4" i="3"/>
  <c r="BR4" i="3"/>
  <c r="BQ6" i="3"/>
  <c r="BQ4" i="3"/>
  <c r="BQ3" i="3"/>
  <c r="BP4" i="3"/>
  <c r="BO4" i="3"/>
  <c r="BN4" i="3"/>
  <c r="I95" i="1"/>
  <c r="BM4" i="3" s="1"/>
  <c r="BL6" i="3"/>
  <c r="BL4" i="3"/>
  <c r="BL3" i="3"/>
  <c r="BK6" i="3"/>
  <c r="BK3" i="3"/>
  <c r="BI3" i="3"/>
  <c r="BH4" i="3"/>
  <c r="BH3" i="3"/>
  <c r="BG4" i="3"/>
  <c r="BF4" i="3"/>
  <c r="BE4" i="3"/>
  <c r="BC3" i="3"/>
  <c r="BB3" i="3"/>
  <c r="BA3" i="3"/>
  <c r="AY3" i="3"/>
  <c r="AX3" i="3"/>
  <c r="AW3" i="3"/>
  <c r="AU6" i="3"/>
  <c r="AT3" i="3"/>
  <c r="AR3" i="3"/>
  <c r="AQ3" i="3"/>
  <c r="AP3" i="3"/>
  <c r="AO3" i="3"/>
  <c r="AM3" i="3"/>
  <c r="AL3" i="3"/>
  <c r="AK3" i="3"/>
  <c r="AJ3" i="3"/>
  <c r="AI3" i="3"/>
  <c r="AH3" i="3"/>
  <c r="AG3" i="3"/>
  <c r="AD3" i="3"/>
  <c r="AB3" i="3"/>
  <c r="AA3" i="3"/>
  <c r="Z3" i="3"/>
  <c r="Y6" i="3"/>
  <c r="Y4" i="3"/>
  <c r="Y3" i="3"/>
  <c r="W4" i="3"/>
  <c r="W3" i="3"/>
  <c r="S4" i="3"/>
  <c r="S3" i="3"/>
  <c r="R3" i="3"/>
  <c r="Q3" i="3"/>
  <c r="O3" i="3"/>
  <c r="N4" i="3"/>
  <c r="N3" i="3"/>
  <c r="M3" i="3"/>
  <c r="K4" i="3"/>
  <c r="K3" i="3"/>
  <c r="J6" i="3"/>
  <c r="J4" i="3"/>
  <c r="J3" i="3"/>
  <c r="I4" i="3"/>
  <c r="I3" i="3"/>
  <c r="H3" i="3"/>
  <c r="G4" i="3"/>
  <c r="G3" i="3"/>
  <c r="F4" i="3"/>
  <c r="F3" i="3"/>
  <c r="E4" i="3"/>
  <c r="E3" i="3"/>
  <c r="B3" i="3"/>
  <c r="B4" i="3" s="1"/>
  <c r="B5" i="3" s="1"/>
  <c r="B6" i="3" s="1"/>
  <c r="A121" i="1"/>
  <c r="A85" i="1"/>
  <c r="A37" i="1"/>
  <c r="E10" i="1"/>
  <c r="E9" i="1"/>
  <c r="E8" i="1"/>
  <c r="F14" i="2"/>
  <c r="F11" i="3"/>
  <c r="D11" i="3"/>
  <c r="F20" i="3"/>
  <c r="F14" i="3"/>
  <c r="F13" i="3"/>
  <c r="F17" i="3"/>
  <c r="F16" i="3"/>
  <c r="F12" i="3"/>
  <c r="F10" i="3"/>
  <c r="D10" i="3"/>
  <c r="A1" i="8"/>
  <c r="G37" i="13"/>
  <c r="M132" i="1"/>
  <c r="E8" i="2"/>
  <c r="A3" i="8" s="1"/>
  <c r="AU4" i="3" l="1"/>
  <c r="AN4" i="3"/>
  <c r="AM4" i="3"/>
  <c r="T4" i="3"/>
  <c r="M36" i="26"/>
  <c r="L36" i="26"/>
  <c r="J34" i="26"/>
  <c r="I34" i="26"/>
  <c r="B8" i="8"/>
  <c r="B3" i="25"/>
  <c r="J29" i="1"/>
  <c r="I90" i="1"/>
  <c r="BJ4" i="3" s="1"/>
  <c r="U4" i="3"/>
  <c r="BZ4" i="3"/>
  <c r="H17" i="25"/>
  <c r="H16" i="25"/>
  <c r="G29" i="25"/>
  <c r="J16" i="25"/>
  <c r="J17" i="25"/>
  <c r="I29" i="25"/>
  <c r="I12" i="25"/>
  <c r="I15" i="25"/>
  <c r="J16" i="1"/>
  <c r="I7" i="25"/>
  <c r="K6" i="3"/>
  <c r="G8" i="25"/>
  <c r="E6" i="3"/>
  <c r="G7" i="25"/>
  <c r="AB6" i="3"/>
  <c r="G13" i="25"/>
  <c r="AA6" i="3"/>
  <c r="G12" i="25"/>
  <c r="I8" i="25"/>
  <c r="AH6" i="3"/>
  <c r="G15" i="25"/>
  <c r="I13" i="25"/>
  <c r="G79" i="1"/>
  <c r="K79" i="1" s="1"/>
  <c r="I4" i="1"/>
  <c r="C66" i="1"/>
  <c r="C126" i="1"/>
  <c r="G9" i="12"/>
  <c r="J9" i="12" s="1"/>
  <c r="G33" i="12"/>
  <c r="J33" i="12" s="1"/>
  <c r="G25" i="12"/>
  <c r="J25" i="12" s="1"/>
  <c r="G17" i="12"/>
  <c r="J17" i="12" s="1"/>
  <c r="G41" i="12"/>
  <c r="J41" i="12" s="1"/>
  <c r="G73" i="12"/>
  <c r="G105" i="12"/>
  <c r="G89" i="12"/>
  <c r="G67" i="12"/>
  <c r="G124" i="12"/>
  <c r="G96" i="12"/>
  <c r="G72" i="12"/>
  <c r="G44" i="12"/>
  <c r="J44" i="12" s="1"/>
  <c r="G12" i="12"/>
  <c r="J12" i="12" s="1"/>
  <c r="G116" i="12"/>
  <c r="G92" i="12"/>
  <c r="G68" i="12"/>
  <c r="G48" i="12"/>
  <c r="J48" i="12" s="1"/>
  <c r="G24" i="12"/>
  <c r="J24" i="12" s="1"/>
  <c r="G123" i="12"/>
  <c r="G119" i="12"/>
  <c r="G115" i="12"/>
  <c r="G111" i="12"/>
  <c r="G107" i="12"/>
  <c r="G103" i="12"/>
  <c r="G95" i="12"/>
  <c r="G91" i="12"/>
  <c r="G87" i="12"/>
  <c r="G83" i="12"/>
  <c r="G79" i="12"/>
  <c r="G63" i="12"/>
  <c r="J63" i="12" s="1"/>
  <c r="G59" i="12"/>
  <c r="J59" i="12" s="1"/>
  <c r="G55" i="12"/>
  <c r="J55" i="12" s="1"/>
  <c r="G51" i="12"/>
  <c r="J51" i="12" s="1"/>
  <c r="G108" i="12"/>
  <c r="G84" i="12"/>
  <c r="G60" i="12"/>
  <c r="J60" i="12" s="1"/>
  <c r="G28" i="12"/>
  <c r="J28" i="12" s="1"/>
  <c r="G112" i="12"/>
  <c r="G88" i="12"/>
  <c r="G64" i="12"/>
  <c r="J64" i="12" s="1"/>
  <c r="G40" i="12"/>
  <c r="J40" i="12" s="1"/>
  <c r="G20" i="12"/>
  <c r="J20" i="12" s="1"/>
  <c r="G5" i="12"/>
  <c r="J5" i="12" s="1"/>
  <c r="G122" i="12"/>
  <c r="G114" i="12"/>
  <c r="G106" i="12"/>
  <c r="G98" i="12"/>
  <c r="G90" i="12"/>
  <c r="G86" i="12"/>
  <c r="G82" i="12"/>
  <c r="G78" i="12"/>
  <c r="G74" i="12"/>
  <c r="G70" i="12"/>
  <c r="G66" i="12"/>
  <c r="G62" i="12"/>
  <c r="J62" i="12" s="1"/>
  <c r="G58" i="12"/>
  <c r="J58" i="12" s="1"/>
  <c r="G54" i="12"/>
  <c r="J54" i="12" s="1"/>
  <c r="G50" i="12"/>
  <c r="J50" i="12" s="1"/>
  <c r="G46" i="12"/>
  <c r="J46" i="12" s="1"/>
  <c r="G42" i="12"/>
  <c r="J42" i="12" s="1"/>
  <c r="G38" i="12"/>
  <c r="J38" i="12" s="1"/>
  <c r="G34" i="12"/>
  <c r="J34" i="12" s="1"/>
  <c r="G30" i="12"/>
  <c r="J30" i="12" s="1"/>
  <c r="G26" i="12"/>
  <c r="J26" i="12" s="1"/>
  <c r="G22" i="12"/>
  <c r="J22" i="12" s="1"/>
  <c r="G18" i="12"/>
  <c r="J18" i="12" s="1"/>
  <c r="G14" i="12"/>
  <c r="J14" i="12" s="1"/>
  <c r="G10" i="12"/>
  <c r="J10" i="12" s="1"/>
  <c r="G6" i="12"/>
  <c r="J6" i="12" s="1"/>
  <c r="G120" i="12"/>
  <c r="G104" i="12"/>
  <c r="G80" i="12"/>
  <c r="G56" i="12"/>
  <c r="J56" i="12" s="1"/>
  <c r="G36" i="12"/>
  <c r="J36" i="12" s="1"/>
  <c r="G16" i="12"/>
  <c r="J16" i="12" s="1"/>
  <c r="G126" i="12"/>
  <c r="G118" i="12"/>
  <c r="G110" i="12"/>
  <c r="G102" i="12"/>
  <c r="G94" i="12"/>
  <c r="G100" i="12"/>
  <c r="G76" i="12"/>
  <c r="G52" i="12"/>
  <c r="J52" i="12" s="1"/>
  <c r="G32" i="12"/>
  <c r="J32" i="12" s="1"/>
  <c r="G8" i="12"/>
  <c r="J8" i="12" s="1"/>
  <c r="G97" i="12"/>
  <c r="G81" i="12"/>
  <c r="G65" i="12"/>
  <c r="G57" i="12"/>
  <c r="J57" i="12" s="1"/>
  <c r="G49" i="12"/>
  <c r="J49" i="12" s="1"/>
  <c r="G37" i="12"/>
  <c r="J37" i="12" s="1"/>
  <c r="G29" i="12"/>
  <c r="J29" i="12" s="1"/>
  <c r="G21" i="12"/>
  <c r="J21" i="12" s="1"/>
  <c r="G13" i="12"/>
  <c r="J13" i="12" s="1"/>
  <c r="G125" i="12"/>
  <c r="G117" i="12"/>
  <c r="G109" i="12"/>
  <c r="G93" i="12"/>
  <c r="G85" i="12"/>
  <c r="G77" i="12"/>
  <c r="G69" i="12"/>
  <c r="G61" i="12"/>
  <c r="J61" i="12" s="1"/>
  <c r="G53" i="12"/>
  <c r="J53" i="12" s="1"/>
  <c r="G45" i="12"/>
  <c r="J45" i="12" s="1"/>
  <c r="G121" i="12"/>
  <c r="G113" i="12"/>
  <c r="G101" i="12"/>
  <c r="G99" i="12"/>
  <c r="G75" i="12"/>
  <c r="G71" i="12"/>
  <c r="G47" i="12"/>
  <c r="J47" i="12" s="1"/>
  <c r="G43" i="12"/>
  <c r="J43" i="12" s="1"/>
  <c r="G39" i="12"/>
  <c r="J39" i="12" s="1"/>
  <c r="G35" i="12"/>
  <c r="J35" i="12" s="1"/>
  <c r="G31" i="12"/>
  <c r="J31" i="12" s="1"/>
  <c r="G27" i="12"/>
  <c r="J27" i="12" s="1"/>
  <c r="G23" i="12"/>
  <c r="J23" i="12" s="1"/>
  <c r="G19" i="12"/>
  <c r="J19" i="12" s="1"/>
  <c r="G15" i="12"/>
  <c r="J15" i="12" s="1"/>
  <c r="G11" i="12"/>
  <c r="J11" i="12" s="1"/>
  <c r="G7" i="12"/>
  <c r="J7" i="12" s="1"/>
  <c r="J69" i="1"/>
  <c r="K127" i="1"/>
  <c r="G71" i="2" s="1"/>
  <c r="J33" i="1"/>
  <c r="AH4" i="3"/>
  <c r="G100" i="1"/>
  <c r="J68" i="1"/>
  <c r="K90" i="1"/>
  <c r="K99" i="1" s="1"/>
  <c r="G60" i="2" s="1"/>
  <c r="Q4" i="3"/>
  <c r="AJ4" i="3"/>
  <c r="AB4" i="3"/>
  <c r="AY4" i="3"/>
  <c r="AE4" i="3"/>
  <c r="J23" i="1"/>
  <c r="AC4" i="3"/>
  <c r="J67" i="1"/>
  <c r="J70" i="1"/>
  <c r="AF4" i="3"/>
  <c r="J63" i="1"/>
  <c r="M131" i="1"/>
  <c r="BZ3" i="3"/>
  <c r="V3" i="3"/>
  <c r="J61" i="1"/>
  <c r="K134" i="1"/>
  <c r="G72" i="2" s="1"/>
  <c r="J21" i="1"/>
  <c r="J132" i="1"/>
  <c r="C5" i="3"/>
  <c r="I134" i="1"/>
  <c r="CC4" i="3" s="1"/>
  <c r="J133" i="1"/>
  <c r="J30" i="1"/>
  <c r="J125" i="1"/>
  <c r="J130" i="1"/>
  <c r="G127" i="1"/>
  <c r="BX6" i="3" s="1"/>
  <c r="O4" i="3"/>
  <c r="J90" i="1"/>
  <c r="AS4" i="3"/>
  <c r="H4" i="3"/>
  <c r="AX4" i="3"/>
  <c r="J127" i="1"/>
  <c r="J52" i="1"/>
  <c r="D20" i="3"/>
  <c r="D21" i="3" s="1"/>
  <c r="K35" i="1"/>
  <c r="X3" i="3" s="1"/>
  <c r="I71" i="1"/>
  <c r="BD4" i="3" s="1"/>
  <c r="BB4" i="3"/>
  <c r="AI4" i="3"/>
  <c r="J58" i="1"/>
  <c r="G35" i="1"/>
  <c r="G76" i="1" s="1"/>
  <c r="AR4" i="3"/>
  <c r="Z4" i="3"/>
  <c r="J42" i="1"/>
  <c r="G71" i="1"/>
  <c r="G77" i="1" s="1"/>
  <c r="AP4" i="3"/>
  <c r="M133" i="1"/>
  <c r="BV4" i="3"/>
  <c r="G134" i="1"/>
  <c r="CC6" i="3" s="1"/>
  <c r="L3" i="3"/>
  <c r="G90" i="1"/>
  <c r="BJ6" i="3" s="1"/>
  <c r="AW4" i="3"/>
  <c r="AO4" i="3"/>
  <c r="F6" i="3"/>
  <c r="AD4" i="3"/>
  <c r="BV6" i="3"/>
  <c r="AG4" i="3"/>
  <c r="K95" i="1"/>
  <c r="J95" i="1" s="1"/>
  <c r="K71" i="1"/>
  <c r="K77" i="1" s="1"/>
  <c r="E28" i="1"/>
  <c r="Q5" i="3" s="1"/>
  <c r="C17" i="1"/>
  <c r="C46" i="1"/>
  <c r="E67" i="1"/>
  <c r="M67" i="1" s="1"/>
  <c r="E54" i="1"/>
  <c r="M54" i="1" s="1"/>
  <c r="E23" i="1"/>
  <c r="M23" i="1" s="1"/>
  <c r="C49" i="1"/>
  <c r="E60" i="1"/>
  <c r="M60" i="1" s="1"/>
  <c r="M6" i="3"/>
  <c r="Z6" i="3"/>
  <c r="AL4" i="3"/>
  <c r="J27" i="1"/>
  <c r="C6" i="3"/>
  <c r="C26" i="1"/>
  <c r="E94" i="1"/>
  <c r="BL5" i="3" s="1"/>
  <c r="E137" i="1"/>
  <c r="G137" i="1" s="1"/>
  <c r="K137" i="1" s="1"/>
  <c r="E47" i="1"/>
  <c r="M47" i="1" s="1"/>
  <c r="E50" i="1"/>
  <c r="M50" i="1" s="1"/>
  <c r="E68" i="1"/>
  <c r="M68" i="1" s="1"/>
  <c r="E63" i="1"/>
  <c r="AV5" i="3" s="1"/>
  <c r="C34" i="1"/>
  <c r="D4" i="3"/>
  <c r="C4" i="3"/>
  <c r="C94" i="1"/>
  <c r="C50" i="2"/>
  <c r="K111" i="24"/>
  <c r="K113" i="24"/>
  <c r="K114" i="24" s="1"/>
  <c r="P3" i="3"/>
  <c r="I35" i="1"/>
  <c r="X4" i="3" s="1"/>
  <c r="C88" i="1"/>
  <c r="C130" i="1"/>
  <c r="E46" i="1"/>
  <c r="M46" i="1" s="1"/>
  <c r="C124" i="1"/>
  <c r="F21" i="3"/>
  <c r="F15" i="3" s="1"/>
  <c r="C28" i="1"/>
  <c r="E56" i="1"/>
  <c r="M56" i="1" s="1"/>
  <c r="C67" i="1"/>
  <c r="E32" i="1"/>
  <c r="E41" i="1"/>
  <c r="E58" i="1"/>
  <c r="C68" i="1"/>
  <c r="C132" i="1"/>
  <c r="C131" i="1"/>
  <c r="E25" i="1"/>
  <c r="E40" i="1"/>
  <c r="C41" i="1"/>
  <c r="E89" i="1"/>
  <c r="C55" i="1"/>
  <c r="E27" i="1"/>
  <c r="C93" i="1"/>
  <c r="C43" i="1"/>
  <c r="C125" i="1"/>
  <c r="C133" i="1"/>
  <c r="C102" i="1"/>
  <c r="D5" i="3"/>
  <c r="E126" i="1"/>
  <c r="M126" i="1" s="1"/>
  <c r="H15" i="14"/>
  <c r="F17" i="14" s="1"/>
  <c r="CV3" i="3" s="1"/>
  <c r="C18" i="1"/>
  <c r="E79" i="1"/>
  <c r="BF5" i="3" s="1"/>
  <c r="E48" i="1"/>
  <c r="C57" i="1"/>
  <c r="E49" i="1"/>
  <c r="C62" i="1"/>
  <c r="E34" i="1"/>
  <c r="C21" i="1"/>
  <c r="E21" i="1"/>
  <c r="E30" i="1"/>
  <c r="C63" i="1"/>
  <c r="E22" i="1"/>
  <c r="C23" i="1"/>
  <c r="E102" i="1"/>
  <c r="E1" i="13"/>
  <c r="E13" i="13" s="1"/>
  <c r="C47" i="1"/>
  <c r="C65" i="1"/>
  <c r="E55" i="1"/>
  <c r="M55" i="1" s="1"/>
  <c r="C29" i="1"/>
  <c r="E66" i="1"/>
  <c r="C22" i="1"/>
  <c r="C31" i="1"/>
  <c r="E31" i="1"/>
  <c r="C45" i="1"/>
  <c r="E45" i="1"/>
  <c r="E16" i="1"/>
  <c r="C79" i="1"/>
  <c r="C19" i="1"/>
  <c r="E64" i="1"/>
  <c r="C89" i="1"/>
  <c r="E57" i="1"/>
  <c r="E33" i="1"/>
  <c r="C27" i="1"/>
  <c r="C42" i="1"/>
  <c r="E29" i="1"/>
  <c r="E93" i="1"/>
  <c r="E59" i="1"/>
  <c r="C30" i="1"/>
  <c r="E43" i="1"/>
  <c r="C44" i="1"/>
  <c r="C53" i="1"/>
  <c r="E108" i="1"/>
  <c r="BS5" i="3" s="1"/>
  <c r="C33" i="1"/>
  <c r="C40" i="1"/>
  <c r="E88" i="1"/>
  <c r="C48" i="1"/>
  <c r="C50" i="1"/>
  <c r="E42" i="1"/>
  <c r="C54" i="1"/>
  <c r="C16" i="1"/>
  <c r="C51" i="1"/>
  <c r="C52" i="1"/>
  <c r="E44" i="1"/>
  <c r="C61" i="1"/>
  <c r="E69" i="1"/>
  <c r="C137" i="1"/>
  <c r="G102" i="1"/>
  <c r="K102" i="1" s="1"/>
  <c r="A3" i="3"/>
  <c r="A4" i="3" s="1"/>
  <c r="A5" i="3" s="1"/>
  <c r="A6" i="3" s="1"/>
  <c r="C70" i="1"/>
  <c r="E26" i="1"/>
  <c r="C56" i="1"/>
  <c r="C20" i="1"/>
  <c r="E65" i="1"/>
  <c r="E70" i="1"/>
  <c r="C64" i="1"/>
  <c r="C58" i="1"/>
  <c r="E62" i="1"/>
  <c r="M62" i="1" s="1"/>
  <c r="C25" i="1"/>
  <c r="C59" i="1"/>
  <c r="E51" i="1"/>
  <c r="C60" i="1"/>
  <c r="E52" i="1"/>
  <c r="C69" i="1"/>
  <c r="D3" i="3"/>
  <c r="D6" i="3"/>
  <c r="E132" i="1"/>
  <c r="E124" i="1"/>
  <c r="E20" i="1"/>
  <c r="E107" i="1"/>
  <c r="BR5" i="3" s="1"/>
  <c r="E53" i="1"/>
  <c r="H6" i="2"/>
  <c r="E133" i="1"/>
  <c r="CB5" i="3" s="1"/>
  <c r="E131" i="1"/>
  <c r="BZ5" i="3" s="1"/>
  <c r="E19" i="1"/>
  <c r="E106" i="1"/>
  <c r="C24" i="1"/>
  <c r="E18" i="1"/>
  <c r="C32" i="1"/>
  <c r="E24" i="1"/>
  <c r="E61" i="1"/>
  <c r="E130" i="1"/>
  <c r="E125" i="1"/>
  <c r="E17" i="1"/>
  <c r="CC3" i="3" l="1"/>
  <c r="K136" i="1"/>
  <c r="CD3" i="3" s="1"/>
  <c r="BX3" i="3"/>
  <c r="C11" i="25"/>
  <c r="C29" i="25" s="1"/>
  <c r="I24" i="25"/>
  <c r="L40" i="26"/>
  <c r="M40" i="26"/>
  <c r="L34" i="26"/>
  <c r="M34" i="26"/>
  <c r="G30" i="25"/>
  <c r="I9" i="25"/>
  <c r="J12" i="25" s="1"/>
  <c r="I23" i="25"/>
  <c r="G24" i="25"/>
  <c r="G31" i="25"/>
  <c r="I33" i="25"/>
  <c r="H34" i="25"/>
  <c r="H35" i="25"/>
  <c r="BJ3" i="3"/>
  <c r="I30" i="25"/>
  <c r="I31" i="25"/>
  <c r="G23" i="25"/>
  <c r="G9" i="25"/>
  <c r="H13" i="25" s="1"/>
  <c r="G14" i="25"/>
  <c r="G33" i="25"/>
  <c r="J35" i="25"/>
  <c r="J34" i="25"/>
  <c r="E8" i="25"/>
  <c r="E24" i="25" s="1"/>
  <c r="C12" i="25"/>
  <c r="C30" i="25" s="1"/>
  <c r="C15" i="25"/>
  <c r="C33" i="25" s="1"/>
  <c r="C8" i="25"/>
  <c r="C24" i="25" s="1"/>
  <c r="E15" i="25"/>
  <c r="E33" i="25" s="1"/>
  <c r="C7" i="25"/>
  <c r="E7" i="25"/>
  <c r="C13" i="25"/>
  <c r="C31" i="25" s="1"/>
  <c r="M40" i="1"/>
  <c r="E11" i="25"/>
  <c r="E12" i="25"/>
  <c r="E30" i="25" s="1"/>
  <c r="E13" i="25"/>
  <c r="E31" i="25" s="1"/>
  <c r="BF6" i="3"/>
  <c r="G13" i="13"/>
  <c r="L5" i="3"/>
  <c r="M94" i="1"/>
  <c r="CE6" i="3"/>
  <c r="AS5" i="3"/>
  <c r="M28" i="1"/>
  <c r="J71" i="1"/>
  <c r="G99" i="1"/>
  <c r="G101" i="1" s="1"/>
  <c r="BN6" i="3" s="1"/>
  <c r="J134" i="1"/>
  <c r="G53" i="2"/>
  <c r="BD3" i="3"/>
  <c r="G54" i="2"/>
  <c r="AI5" i="3"/>
  <c r="AM5" i="3"/>
  <c r="K100" i="1"/>
  <c r="G61" i="2" s="1"/>
  <c r="BM3" i="3"/>
  <c r="K76" i="1"/>
  <c r="K78" i="1" s="1"/>
  <c r="G78" i="1"/>
  <c r="G80" i="1" s="1"/>
  <c r="G107" i="1" s="1"/>
  <c r="G136" i="1"/>
  <c r="CD6" i="3" s="1"/>
  <c r="BD6" i="3"/>
  <c r="X6" i="3"/>
  <c r="AF5" i="3"/>
  <c r="AZ5" i="3"/>
  <c r="C35" i="1"/>
  <c r="C76" i="1" s="1"/>
  <c r="BA5" i="3"/>
  <c r="J35" i="1"/>
  <c r="M63" i="1"/>
  <c r="F74" i="2"/>
  <c r="CE5" i="3"/>
  <c r="BO3" i="3"/>
  <c r="C127" i="1"/>
  <c r="C71" i="1"/>
  <c r="C77" i="1" s="1"/>
  <c r="BO6" i="3"/>
  <c r="G63" i="2"/>
  <c r="C90" i="1"/>
  <c r="C99" i="1" s="1"/>
  <c r="C95" i="1"/>
  <c r="C100" i="1" s="1"/>
  <c r="C134" i="1"/>
  <c r="E71" i="1"/>
  <c r="E77" i="1" s="1"/>
  <c r="BW5" i="3"/>
  <c r="AE5" i="3"/>
  <c r="AU5" i="3"/>
  <c r="M58" i="1"/>
  <c r="AQ5" i="3"/>
  <c r="F56" i="2"/>
  <c r="M41" i="1"/>
  <c r="Z5" i="3"/>
  <c r="AO5" i="3"/>
  <c r="M32" i="1"/>
  <c r="U5" i="3"/>
  <c r="AJ5" i="3"/>
  <c r="M51" i="1"/>
  <c r="M22" i="1"/>
  <c r="K5" i="3"/>
  <c r="M69" i="1"/>
  <c r="BB5" i="3"/>
  <c r="AB5" i="3"/>
  <c r="M43" i="1"/>
  <c r="M57" i="1"/>
  <c r="AP5" i="3"/>
  <c r="AD5" i="3"/>
  <c r="M45" i="1"/>
  <c r="M30" i="1"/>
  <c r="S5" i="3"/>
  <c r="AN5" i="3"/>
  <c r="M26" i="1"/>
  <c r="O5" i="3"/>
  <c r="M44" i="1"/>
  <c r="AC5" i="3"/>
  <c r="J5" i="3"/>
  <c r="M21" i="1"/>
  <c r="N5" i="3"/>
  <c r="M25" i="1"/>
  <c r="M48" i="1"/>
  <c r="AG5" i="3"/>
  <c r="M88" i="1"/>
  <c r="BH5" i="3"/>
  <c r="E90" i="1"/>
  <c r="AR5" i="3"/>
  <c r="M59" i="1"/>
  <c r="AW5" i="3"/>
  <c r="M64" i="1"/>
  <c r="T5" i="3"/>
  <c r="M31" i="1"/>
  <c r="E15" i="13"/>
  <c r="G14" i="13"/>
  <c r="G11" i="13"/>
  <c r="G17" i="13" s="1"/>
  <c r="F11" i="13"/>
  <c r="F17" i="13" s="1"/>
  <c r="F12" i="13"/>
  <c r="G16" i="13"/>
  <c r="E12" i="13"/>
  <c r="E11" i="13"/>
  <c r="E17" i="13" s="1"/>
  <c r="D37" i="8" s="1"/>
  <c r="F15" i="13"/>
  <c r="G15" i="13"/>
  <c r="G12" i="13"/>
  <c r="F14" i="13"/>
  <c r="E16" i="13"/>
  <c r="F16" i="13"/>
  <c r="E14" i="13"/>
  <c r="F13" i="13"/>
  <c r="V5" i="3"/>
  <c r="M33" i="1"/>
  <c r="Y5" i="3"/>
  <c r="M93" i="1"/>
  <c r="E95" i="1"/>
  <c r="BK5" i="3"/>
  <c r="M34" i="1"/>
  <c r="W5" i="3"/>
  <c r="M27" i="1"/>
  <c r="P5" i="3"/>
  <c r="M52" i="1"/>
  <c r="AK5" i="3"/>
  <c r="BC5" i="3"/>
  <c r="M70" i="1"/>
  <c r="R5" i="3"/>
  <c r="M29" i="1"/>
  <c r="BO5" i="3"/>
  <c r="F63" i="2"/>
  <c r="M42" i="1"/>
  <c r="AA5" i="3"/>
  <c r="M16" i="1"/>
  <c r="E5" i="3"/>
  <c r="AX5" i="3"/>
  <c r="M65" i="1"/>
  <c r="AY5" i="3"/>
  <c r="M66" i="1"/>
  <c r="M49" i="1"/>
  <c r="AH5" i="3"/>
  <c r="BI5" i="3"/>
  <c r="M89" i="1"/>
  <c r="BU5" i="3"/>
  <c r="E127" i="1"/>
  <c r="M124" i="1"/>
  <c r="E134" i="1"/>
  <c r="M130" i="1"/>
  <c r="M134" i="1" s="1"/>
  <c r="BY5" i="3"/>
  <c r="M5" i="3"/>
  <c r="M24" i="1"/>
  <c r="BQ5" i="3"/>
  <c r="E109" i="1"/>
  <c r="M19" i="1"/>
  <c r="H5" i="3"/>
  <c r="CE3" i="3"/>
  <c r="G74" i="2"/>
  <c r="AL5" i="3"/>
  <c r="M53" i="1"/>
  <c r="BV5" i="3"/>
  <c r="M125" i="1"/>
  <c r="M18" i="1"/>
  <c r="G5" i="3"/>
  <c r="G56" i="2"/>
  <c r="BF3" i="3"/>
  <c r="M61" i="1"/>
  <c r="AT5" i="3"/>
  <c r="F5" i="3"/>
  <c r="M17" i="1"/>
  <c r="E35" i="1"/>
  <c r="M20" i="1"/>
  <c r="I5" i="3"/>
  <c r="H15" i="25" l="1"/>
  <c r="D16" i="25"/>
  <c r="H8" i="25"/>
  <c r="K138" i="1"/>
  <c r="CF3" i="3" s="1"/>
  <c r="D17" i="25"/>
  <c r="G103" i="1"/>
  <c r="G108" i="1" s="1"/>
  <c r="BS6" i="3" s="1"/>
  <c r="D13" i="3"/>
  <c r="H7" i="25"/>
  <c r="H9" i="25" s="1"/>
  <c r="G73" i="2"/>
  <c r="E9" i="25"/>
  <c r="F7" i="25" s="1"/>
  <c r="S15" i="25"/>
  <c r="T15" i="25"/>
  <c r="V12" i="25"/>
  <c r="U12" i="25"/>
  <c r="T13" i="25"/>
  <c r="S13" i="25"/>
  <c r="G32" i="25"/>
  <c r="H14" i="25"/>
  <c r="J7" i="25"/>
  <c r="I25" i="25"/>
  <c r="J14" i="25"/>
  <c r="J11" i="25"/>
  <c r="G25" i="25"/>
  <c r="H11" i="25"/>
  <c r="J13" i="25"/>
  <c r="J15" i="25"/>
  <c r="H12" i="25"/>
  <c r="J8" i="25"/>
  <c r="C9" i="25"/>
  <c r="D7" i="25" s="1"/>
  <c r="C14" i="25"/>
  <c r="C32" i="25" s="1"/>
  <c r="E14" i="25"/>
  <c r="E32" i="25" s="1"/>
  <c r="F17" i="25"/>
  <c r="F16" i="25"/>
  <c r="E29" i="25"/>
  <c r="D35" i="25"/>
  <c r="D34" i="25"/>
  <c r="E23" i="25"/>
  <c r="C23" i="25"/>
  <c r="M95" i="1"/>
  <c r="BE3" i="3"/>
  <c r="D13" i="8"/>
  <c r="EA3" i="3" s="1"/>
  <c r="C136" i="1"/>
  <c r="C138" i="1" s="1"/>
  <c r="BD5" i="3"/>
  <c r="K80" i="1"/>
  <c r="K82" i="1" s="1"/>
  <c r="K101" i="1"/>
  <c r="D16" i="8" s="1"/>
  <c r="EB3" i="3" s="1"/>
  <c r="G55" i="2"/>
  <c r="D12" i="3"/>
  <c r="BE6" i="3"/>
  <c r="BG6" i="3"/>
  <c r="G82" i="1"/>
  <c r="G138" i="1"/>
  <c r="CF6" i="3" s="1"/>
  <c r="C78" i="1"/>
  <c r="C80" i="1" s="1"/>
  <c r="C82" i="1" s="1"/>
  <c r="C101" i="1"/>
  <c r="C103" i="1" s="1"/>
  <c r="C108" i="1" s="1"/>
  <c r="M71" i="1"/>
  <c r="D71" i="1"/>
  <c r="F54" i="2"/>
  <c r="H54" i="2" s="1"/>
  <c r="BM5" i="3"/>
  <c r="E100" i="1"/>
  <c r="F61" i="2" s="1"/>
  <c r="H61" i="2" s="1"/>
  <c r="BJ5" i="3"/>
  <c r="E99" i="1"/>
  <c r="CU3" i="3"/>
  <c r="EI3" i="3"/>
  <c r="M90" i="1"/>
  <c r="BR6" i="3"/>
  <c r="F66" i="2"/>
  <c r="E111" i="1"/>
  <c r="BT5" i="3"/>
  <c r="BX5" i="3"/>
  <c r="E136" i="1"/>
  <c r="F71" i="2"/>
  <c r="H71" i="2" s="1"/>
  <c r="E76" i="1"/>
  <c r="E78" i="1" s="1"/>
  <c r="X5" i="3"/>
  <c r="F53" i="2"/>
  <c r="H53" i="2" s="1"/>
  <c r="F72" i="2"/>
  <c r="H72" i="2" s="1"/>
  <c r="CC5" i="3"/>
  <c r="M35" i="1"/>
  <c r="M127" i="1"/>
  <c r="BP6" i="3" l="1"/>
  <c r="G109" i="1"/>
  <c r="D17" i="3" s="1"/>
  <c r="D31" i="8"/>
  <c r="EG3" i="3" s="1"/>
  <c r="G75" i="2"/>
  <c r="J9" i="25"/>
  <c r="I27" i="25"/>
  <c r="J25" i="25" s="1"/>
  <c r="S12" i="25"/>
  <c r="T12" i="25"/>
  <c r="U11" i="25"/>
  <c r="V11" i="25"/>
  <c r="V14" i="25"/>
  <c r="U14" i="25"/>
  <c r="V15" i="25"/>
  <c r="U15" i="25"/>
  <c r="V13" i="25"/>
  <c r="U13" i="25"/>
  <c r="T11" i="25"/>
  <c r="S11" i="25"/>
  <c r="G27" i="25"/>
  <c r="H25" i="25" s="1"/>
  <c r="T14" i="25"/>
  <c r="S14" i="25"/>
  <c r="F34" i="25"/>
  <c r="F35" i="25"/>
  <c r="C25" i="25"/>
  <c r="D11" i="25"/>
  <c r="D15" i="25"/>
  <c r="D8" i="25"/>
  <c r="D9" i="25" s="1"/>
  <c r="D13" i="25"/>
  <c r="D12" i="25"/>
  <c r="D14" i="25"/>
  <c r="E25" i="25"/>
  <c r="F13" i="25"/>
  <c r="F11" i="25"/>
  <c r="F8" i="25"/>
  <c r="F9" i="25" s="1"/>
  <c r="F14" i="25"/>
  <c r="F15" i="25"/>
  <c r="F12" i="25"/>
  <c r="C107" i="1"/>
  <c r="C109" i="1" s="1"/>
  <c r="C111" i="1" s="1"/>
  <c r="K107" i="1"/>
  <c r="BR3" i="3" s="1"/>
  <c r="G57" i="2"/>
  <c r="D22" i="8"/>
  <c r="ED3" i="3" s="1"/>
  <c r="D25" i="8"/>
  <c r="EE3" i="3" s="1"/>
  <c r="BG3" i="3"/>
  <c r="K103" i="1"/>
  <c r="G62" i="2"/>
  <c r="BN3" i="3"/>
  <c r="F60" i="2"/>
  <c r="H60" i="2" s="1"/>
  <c r="E101" i="1"/>
  <c r="BE5" i="3"/>
  <c r="E80" i="1"/>
  <c r="F55" i="2"/>
  <c r="H55" i="2" s="1"/>
  <c r="E138" i="1"/>
  <c r="CD5" i="3"/>
  <c r="F73" i="2"/>
  <c r="H73" i="2" s="1"/>
  <c r="BT6" i="3" l="1"/>
  <c r="D14" i="3"/>
  <c r="D15" i="3"/>
  <c r="D16" i="3"/>
  <c r="G111" i="1"/>
  <c r="H32" i="25"/>
  <c r="T32" i="25"/>
  <c r="S32" i="25"/>
  <c r="J29" i="25"/>
  <c r="J27" i="25"/>
  <c r="J32" i="25"/>
  <c r="J26" i="25"/>
  <c r="J33" i="25"/>
  <c r="J24" i="25"/>
  <c r="J23" i="25"/>
  <c r="J31" i="25"/>
  <c r="J30" i="25"/>
  <c r="H31" i="25"/>
  <c r="H27" i="25"/>
  <c r="H26" i="25"/>
  <c r="H29" i="25"/>
  <c r="H30" i="25"/>
  <c r="H23" i="25"/>
  <c r="H33" i="25"/>
  <c r="H24" i="25"/>
  <c r="P12" i="25"/>
  <c r="O12" i="25"/>
  <c r="P15" i="25"/>
  <c r="O15" i="25"/>
  <c r="O13" i="25"/>
  <c r="P13" i="25"/>
  <c r="P11" i="25"/>
  <c r="O11" i="25"/>
  <c r="P14" i="25"/>
  <c r="O14" i="25"/>
  <c r="R12" i="25"/>
  <c r="Q12" i="25"/>
  <c r="C27" i="25"/>
  <c r="D25" i="25" s="1"/>
  <c r="Q14" i="25"/>
  <c r="R14" i="25"/>
  <c r="R11" i="25"/>
  <c r="Q11" i="25"/>
  <c r="R13" i="25"/>
  <c r="Q13" i="25"/>
  <c r="E27" i="25"/>
  <c r="F25" i="25" s="1"/>
  <c r="Q15" i="25"/>
  <c r="R15" i="25"/>
  <c r="G64" i="2"/>
  <c r="BP3" i="3"/>
  <c r="K108" i="1"/>
  <c r="D28" i="8"/>
  <c r="EF3" i="3" s="1"/>
  <c r="D40" i="8"/>
  <c r="BN5" i="3"/>
  <c r="F62" i="2"/>
  <c r="H62" i="2" s="1"/>
  <c r="E103" i="1"/>
  <c r="F75" i="2"/>
  <c r="H75" i="2" s="1"/>
  <c r="CF5" i="3"/>
  <c r="F57" i="2"/>
  <c r="H57" i="2" s="1"/>
  <c r="E82" i="1"/>
  <c r="BG5" i="3"/>
  <c r="T30" i="25" l="1"/>
  <c r="S30" i="25"/>
  <c r="T29" i="25"/>
  <c r="S29" i="25"/>
  <c r="V33" i="25"/>
  <c r="U33" i="25"/>
  <c r="V32" i="25"/>
  <c r="U32" i="25"/>
  <c r="T31" i="25"/>
  <c r="S31" i="25"/>
  <c r="V30" i="25"/>
  <c r="U30" i="25"/>
  <c r="V29" i="25"/>
  <c r="U29" i="25"/>
  <c r="T33" i="25"/>
  <c r="S33" i="25"/>
  <c r="V31" i="25"/>
  <c r="U31" i="25"/>
  <c r="D24" i="25"/>
  <c r="D27" i="25"/>
  <c r="D31" i="25"/>
  <c r="D33" i="25"/>
  <c r="D30" i="25"/>
  <c r="D26" i="25"/>
  <c r="D32" i="25"/>
  <c r="D29" i="25"/>
  <c r="D23" i="25"/>
  <c r="F33" i="25"/>
  <c r="F30" i="25"/>
  <c r="F29" i="25"/>
  <c r="F31" i="25"/>
  <c r="F24" i="25"/>
  <c r="F26" i="25"/>
  <c r="F32" i="25"/>
  <c r="F27" i="25"/>
  <c r="F23" i="25"/>
  <c r="BS3" i="3"/>
  <c r="K109" i="1"/>
  <c r="K111" i="1" s="1"/>
  <c r="CT3" i="3"/>
  <c r="EJ3" i="3"/>
  <c r="F64" i="2"/>
  <c r="H64" i="2" s="1"/>
  <c r="BP5" i="3"/>
  <c r="R32" i="25" l="1"/>
  <c r="Q32" i="25"/>
  <c r="P32" i="25"/>
  <c r="O32" i="25"/>
  <c r="P29" i="25"/>
  <c r="O29" i="25"/>
  <c r="Q31" i="25"/>
  <c r="R31" i="25"/>
  <c r="O30" i="25"/>
  <c r="P30" i="25"/>
  <c r="P33" i="25"/>
  <c r="O33" i="25"/>
  <c r="R29" i="25"/>
  <c r="Q29" i="25"/>
  <c r="R30" i="25"/>
  <c r="Q30" i="25"/>
  <c r="P31" i="25"/>
  <c r="O31" i="25"/>
  <c r="R33" i="25"/>
  <c r="Q33" i="25"/>
  <c r="K116" i="1"/>
  <c r="B116" i="1" s="1"/>
  <c r="K113" i="1"/>
  <c r="K114" i="1" s="1"/>
  <c r="G66" i="2"/>
  <c r="H66" i="2" s="1"/>
  <c r="BT3" i="3"/>
  <c r="F15" i="14"/>
  <c r="F20" i="14" s="1"/>
  <c r="CW3" i="3" l="1"/>
  <c r="D19" i="8"/>
  <c r="EC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 Walker</author>
    <author>andrew.redding</author>
    <author>Stephanie Kirbyshire</author>
    <author>tc={7CDE45E0-F5A2-4222-85FC-D42E85A95957}</author>
    <author>tc={36BB96CD-7366-48F3-98F2-E64BB911264E}</author>
  </authors>
  <commentList>
    <comment ref="O16" authorId="0" shapeId="0" xr:uid="{DFA7D2DD-3D1F-4CBD-BF1A-4E42C14840FC}">
      <text>
        <r>
          <rPr>
            <sz val="10"/>
            <rFont val="Arial"/>
          </rPr>
          <t>Sam Walker:
With the words received but not budgeted for?</t>
        </r>
      </text>
    </comment>
    <comment ref="K17" authorId="1" shapeId="0" xr:uid="{803DCD69-98A7-49ED-82F7-445A3551291F}">
      <text>
        <r>
          <rPr>
            <sz val="8"/>
            <color indexed="81"/>
            <rFont val="Tahoma"/>
            <family val="2"/>
          </rPr>
          <t>This cell will highlight in red where your forecast is lower than your actual to date - please revise or comment if correct</t>
        </r>
      </text>
    </comment>
    <comment ref="K18" authorId="1" shapeId="0" xr:uid="{CA5DFD1B-6526-4B4C-BFEA-C9E830CEC390}">
      <text>
        <r>
          <rPr>
            <sz val="8"/>
            <color indexed="81"/>
            <rFont val="Tahoma"/>
            <family val="2"/>
          </rPr>
          <t>This cell will highlight in red where your forecast is lower than your actual to date - please revise or comment if correct</t>
        </r>
      </text>
    </comment>
    <comment ref="O18" authorId="0" shapeId="0" xr:uid="{04AB2ECB-E3F3-495C-A506-AC1849CBFE10}">
      <text>
        <r>
          <rPr>
            <sz val="10"/>
            <rFont val="Arial"/>
          </rPr>
          <t>Sam Walker:
New admission since budget setting with EHCP already in place</t>
        </r>
      </text>
    </comment>
    <comment ref="K19" authorId="1" shapeId="0" xr:uid="{55F50DAB-0491-4C21-A3BA-76D22ED1C08B}">
      <text>
        <r>
          <rPr>
            <sz val="8"/>
            <color indexed="81"/>
            <rFont val="Tahoma"/>
            <family val="2"/>
          </rPr>
          <t>This cell will highlight in red where your forecast is lower than your actual to date - please revise or comment if correct</t>
        </r>
      </text>
    </comment>
    <comment ref="K20" authorId="1" shapeId="0" xr:uid="{17A2ECCB-3101-44A4-84F8-5DD6F3567B0D}">
      <text>
        <r>
          <rPr>
            <sz val="8"/>
            <color indexed="81"/>
            <rFont val="Tahoma"/>
            <family val="2"/>
          </rPr>
          <t>This cell will highlight in red where your forecast is lower than your actual to date - please revise or comment if correct</t>
        </r>
      </text>
    </comment>
    <comment ref="K21" authorId="1" shapeId="0" xr:uid="{DA0BD966-D87D-4E51-82DC-8301C33384F4}">
      <text>
        <r>
          <rPr>
            <sz val="8"/>
            <color indexed="81"/>
            <rFont val="Tahoma"/>
            <family val="2"/>
          </rPr>
          <t>This cell will highlight in red where your forecast is lower than your actual to date - please revise or comment if correct</t>
        </r>
      </text>
    </comment>
    <comment ref="K22" authorId="1" shapeId="0" xr:uid="{DDF99B64-1E0B-4976-BFB7-6783739A7E6A}">
      <text>
        <r>
          <rPr>
            <sz val="8"/>
            <color indexed="81"/>
            <rFont val="Tahoma"/>
            <family val="2"/>
          </rPr>
          <t>This cell will highlight in red where your forecast is lower than your actual to date - please revise or comment if correct</t>
        </r>
      </text>
    </comment>
    <comment ref="K23" authorId="1" shapeId="0" xr:uid="{28BFE129-743A-42D1-86C0-7331086BAD11}">
      <text>
        <r>
          <rPr>
            <sz val="8"/>
            <color indexed="81"/>
            <rFont val="Tahoma"/>
            <family val="2"/>
          </rPr>
          <t>This cell will highlight in red where your forecast is lower than your actual to date - please revise or comment if correct</t>
        </r>
      </text>
    </comment>
    <comment ref="O23" authorId="0" shapeId="0" xr:uid="{CFA1D776-2EE7-4208-8863-9B21CA237AE5}">
      <text>
        <r>
          <rPr>
            <sz val="10"/>
            <rFont val="Arial"/>
          </rPr>
          <t>Sam Walker:
Term? Should we encourage them to add periods of invoices not raised affecting the % so that we can check that the forecast calculations then look reasonable for remaining periods?</t>
        </r>
      </text>
    </comment>
    <comment ref="K24" authorId="1" shapeId="0" xr:uid="{854100E9-33C2-4E80-A4A0-08848C051581}">
      <text>
        <r>
          <rPr>
            <sz val="8"/>
            <color indexed="81"/>
            <rFont val="Tahoma"/>
            <family val="2"/>
          </rPr>
          <t>This cell will highlight in red where your forecast is lower than your actual to date - please revise or comment if correct</t>
        </r>
      </text>
    </comment>
    <comment ref="O24" authorId="0" shapeId="0" xr:uid="{767864B9-E226-441C-85E6-3F5E942F5277}">
      <text>
        <r>
          <rPr>
            <sz val="10"/>
            <rFont val="Arial"/>
          </rPr>
          <t>Sam Walker:
would we expect school to say no further amounts expected for remainder of the year?</t>
        </r>
      </text>
    </comment>
    <comment ref="K25" authorId="1" shapeId="0" xr:uid="{48519C06-768B-4172-9F7C-E2D81454C4E8}">
      <text>
        <r>
          <rPr>
            <sz val="8"/>
            <color indexed="81"/>
            <rFont val="Tahoma"/>
            <family val="2"/>
          </rPr>
          <t>This cell will highlight in red where your forecast is lower than your actual to date - please revise or comment if correct</t>
        </r>
      </text>
    </comment>
    <comment ref="K26" authorId="1" shapeId="0" xr:uid="{A31E3F3E-F445-4A03-BB36-D1A7D0E752EB}">
      <text>
        <r>
          <rPr>
            <sz val="8"/>
            <color indexed="81"/>
            <rFont val="Tahoma"/>
            <family val="2"/>
          </rPr>
          <t>This cell will highlight in red where your forecast is lower than your actual to date - please revise or comment if correct</t>
        </r>
      </text>
    </comment>
    <comment ref="O26" authorId="0" shapeId="0" xr:uid="{917CA4BA-F422-4AA3-B326-650029DFFB82}">
      <text>
        <r>
          <rPr>
            <sz val="10"/>
            <rFont val="Arial"/>
          </rPr>
          <t>Sam Walker:
If this was the case, would we expect them to add an estimate based on the period they think this person will be off, if they have a sick note for a period exceeding this Qtr?</t>
        </r>
      </text>
    </comment>
    <comment ref="K27" authorId="1" shapeId="0" xr:uid="{2734882A-7591-4D13-962A-C3655E2B805A}">
      <text>
        <r>
          <rPr>
            <sz val="8"/>
            <color indexed="81"/>
            <rFont val="Tahoma"/>
            <family val="2"/>
          </rPr>
          <t>This cell will highlight in red where your forecast is lower than your actual to date - please revise or comment if correct</t>
        </r>
      </text>
    </comment>
    <comment ref="K28" authorId="1" shapeId="0" xr:uid="{75EEFAAE-B651-46EF-BCA5-66EC325704C6}">
      <text>
        <r>
          <rPr>
            <sz val="8"/>
            <color indexed="81"/>
            <rFont val="Tahoma"/>
            <family val="2"/>
          </rPr>
          <t>This cell will highlight in red where your forecast is lower than your actual to date - please revise or comment if correct</t>
        </r>
      </text>
    </comment>
    <comment ref="K29" authorId="1" shapeId="0" xr:uid="{6C6C3856-15C2-4562-ABD1-568B8C1B4704}">
      <text>
        <r>
          <rPr>
            <sz val="8"/>
            <color indexed="81"/>
            <rFont val="Tahoma"/>
            <family val="2"/>
          </rPr>
          <t>This cell will highlight in red where your forecast is lower than your actual to date - please revise or comment if correct</t>
        </r>
      </text>
    </comment>
    <comment ref="O29" authorId="0" shapeId="0" xr:uid="{5BC71BAD-5F3B-4E6F-86C9-D227509D0C48}">
      <text>
        <r>
          <rPr>
            <sz val="10"/>
            <rFont val="Arial"/>
          </rPr>
          <t>Sam Walker:
would we encourage them at this point to say what the PTA donation is for and if they have budgeted expenditure and if so on what line?</t>
        </r>
      </text>
    </comment>
    <comment ref="K30" authorId="1" shapeId="0" xr:uid="{D571E553-0B48-454B-8FD7-3EF5644534BE}">
      <text>
        <r>
          <rPr>
            <sz val="8"/>
            <color indexed="81"/>
            <rFont val="Tahoma"/>
            <family val="2"/>
          </rPr>
          <t>This cell will highlight in red where your forecast is lower than your actual to date - please revise or comment if correct</t>
        </r>
      </text>
    </comment>
    <comment ref="K31" authorId="1" shapeId="0" xr:uid="{72E0587D-C360-4FCD-8411-4F06BE54AE7E}">
      <text>
        <r>
          <rPr>
            <sz val="8"/>
            <color indexed="81"/>
            <rFont val="Tahoma"/>
            <family val="2"/>
          </rPr>
          <t>This cell will highlight in red where your forecast is lower than your actual to date - please revise or comment if correct</t>
        </r>
      </text>
    </comment>
    <comment ref="K32" authorId="1" shapeId="0" xr:uid="{51F75463-3CA1-481D-96D1-54B7D5ABE40C}">
      <text>
        <r>
          <rPr>
            <sz val="8"/>
            <color indexed="81"/>
            <rFont val="Tahoma"/>
            <family val="2"/>
          </rPr>
          <t>This cell will highlight in red where your forecast is lower than your actual to date - please revise or comment if correct</t>
        </r>
      </text>
    </comment>
    <comment ref="K33" authorId="1" shapeId="0" xr:uid="{31B2CE3D-C05A-4F63-9F0F-9A59C39F988A}">
      <text>
        <r>
          <rPr>
            <sz val="8"/>
            <color indexed="81"/>
            <rFont val="Tahoma"/>
            <family val="2"/>
          </rPr>
          <t>This cell will highlight in red where your forecast is lower than your actual to date - please revise or comment if correct</t>
        </r>
      </text>
    </comment>
    <comment ref="K34" authorId="1" shapeId="0" xr:uid="{32F349C7-2CE9-4F1C-AD11-81B43584502E}">
      <text>
        <r>
          <rPr>
            <sz val="8"/>
            <color indexed="81"/>
            <rFont val="Tahoma"/>
            <family val="2"/>
          </rPr>
          <t>This cell will highlight in red where your forecast is lower than your actual to date - please revise or comment if correct</t>
        </r>
      </text>
    </comment>
    <comment ref="K40" authorId="1" shapeId="0" xr:uid="{2E3883A2-E3A6-4783-B4AC-538138B8E3EE}">
      <text>
        <r>
          <rPr>
            <sz val="8"/>
            <color indexed="81"/>
            <rFont val="Tahoma"/>
            <family val="2"/>
          </rPr>
          <t>This cell will highlight in red where your forecast is lower than your actual to date - please revise or comment if correct</t>
        </r>
      </text>
    </comment>
    <comment ref="K41" authorId="1" shapeId="0" xr:uid="{570F2942-2D9B-4736-BC0F-8B06BA38FDC0}">
      <text>
        <r>
          <rPr>
            <sz val="8"/>
            <color indexed="81"/>
            <rFont val="Tahoma"/>
            <family val="2"/>
          </rPr>
          <t>This cell will highlight in red where your forecast is lower than your actual to date - please revise or comment if correct</t>
        </r>
      </text>
    </comment>
    <comment ref="K42" authorId="1" shapeId="0" xr:uid="{6BA71ACB-03EE-4991-8FAF-58010FD88996}">
      <text>
        <r>
          <rPr>
            <sz val="8"/>
            <color indexed="81"/>
            <rFont val="Tahoma"/>
            <family val="2"/>
          </rPr>
          <t>This cell will highlight in red where your forecast is lower than your actual to date - please revise or comment if correct</t>
        </r>
      </text>
    </comment>
    <comment ref="K43" authorId="1" shapeId="0" xr:uid="{EB651907-7282-4EC0-AFFB-782B27E0CC96}">
      <text>
        <r>
          <rPr>
            <sz val="8"/>
            <color indexed="81"/>
            <rFont val="Tahoma"/>
            <family val="2"/>
          </rPr>
          <t>This cell will highlight in red where your forecast is lower than your actual to date - please revise or comment if correct</t>
        </r>
      </text>
    </comment>
    <comment ref="K44" authorId="1" shapeId="0" xr:uid="{5A534BC7-6118-4B64-8A47-9EDE3F2C2AC7}">
      <text>
        <r>
          <rPr>
            <sz val="8"/>
            <color indexed="81"/>
            <rFont val="Tahoma"/>
            <family val="2"/>
          </rPr>
          <t>This cell will highlight in red where your forecast is lower than your actual to date - please revise or comment if correct</t>
        </r>
      </text>
    </comment>
    <comment ref="K45" authorId="1" shapeId="0" xr:uid="{A2634BE4-4488-41D8-ADC1-B32CC14D68D7}">
      <text>
        <r>
          <rPr>
            <sz val="8"/>
            <color indexed="81"/>
            <rFont val="Tahoma"/>
            <family val="2"/>
          </rPr>
          <t>This cell will highlight in red where your forecast is lower than your actual to date - please revise or comment if correct</t>
        </r>
      </text>
    </comment>
    <comment ref="O45" authorId="0" shapeId="0" xr:uid="{E033E205-8776-4A3F-A566-2DABCA6048EB}">
      <text>
        <r>
          <rPr>
            <sz val="10"/>
            <rFont val="Arial"/>
          </rPr>
          <t>Sam Walker:
even though forecast is less than budgeted?</t>
        </r>
      </text>
    </comment>
    <comment ref="K46" authorId="1" shapeId="0" xr:uid="{E66B50DB-4DC1-4741-A229-F05668574BDD}">
      <text>
        <r>
          <rPr>
            <sz val="8"/>
            <color indexed="81"/>
            <rFont val="Tahoma"/>
            <family val="2"/>
          </rPr>
          <t>This cell will highlight in red where your forecast is lower than your actual to date - please revise or comment if correct</t>
        </r>
      </text>
    </comment>
    <comment ref="O46" authorId="0" shapeId="0" xr:uid="{288085F6-AFAE-4C98-95BC-B1A66BD2E5FC}">
      <text>
        <r>
          <rPr>
            <sz val="10"/>
            <rFont val="Arial"/>
          </rPr>
          <t>Sam Walker:
even though forecast is less than budgeted?</t>
        </r>
      </text>
    </comment>
    <comment ref="K47" authorId="1" shapeId="0" xr:uid="{9D2351F6-48E8-473B-B5A1-86C63598F9EE}">
      <text>
        <r>
          <rPr>
            <sz val="8"/>
            <color indexed="81"/>
            <rFont val="Tahoma"/>
            <family val="2"/>
          </rPr>
          <t>This cell will highlight in red where your forecast is lower than your actual to date - please revise or comment if correct</t>
        </r>
      </text>
    </comment>
    <comment ref="K48" authorId="1" shapeId="0" xr:uid="{E3B1E484-0B6D-4C62-9EB0-30607FA33C83}">
      <text>
        <r>
          <rPr>
            <sz val="8"/>
            <color indexed="81"/>
            <rFont val="Tahoma"/>
            <family val="2"/>
          </rPr>
          <t>This cell will highlight in red where your forecast is lower than your actual to date - please revise or comment if correct</t>
        </r>
      </text>
    </comment>
    <comment ref="K49" authorId="1" shapeId="0" xr:uid="{25AA0B13-D678-443C-9463-7CF73A988F9A}">
      <text>
        <r>
          <rPr>
            <sz val="8"/>
            <color indexed="81"/>
            <rFont val="Tahoma"/>
            <family val="2"/>
          </rPr>
          <t>This cell will highlight in red where your forecast is lower than your actual to date - please revise or comment if correct</t>
        </r>
      </text>
    </comment>
    <comment ref="K50" authorId="1" shapeId="0" xr:uid="{9A5D4A3E-7FFE-41C5-BC27-C97FD4620385}">
      <text>
        <r>
          <rPr>
            <sz val="8"/>
            <color indexed="81"/>
            <rFont val="Tahoma"/>
            <family val="2"/>
          </rPr>
          <t>This cell will highlight in red where your forecast is lower than your actual to date - please revise or comment if correct</t>
        </r>
      </text>
    </comment>
    <comment ref="K51" authorId="1" shapeId="0" xr:uid="{434F701F-AF4E-4281-82F0-B8CF8F2D5528}">
      <text>
        <r>
          <rPr>
            <sz val="8"/>
            <color indexed="81"/>
            <rFont val="Tahoma"/>
            <family val="2"/>
          </rPr>
          <t>This cell will highlight in red where your forecast is lower than your actual to date - please revise or comment if correct</t>
        </r>
      </text>
    </comment>
    <comment ref="K52" authorId="1" shapeId="0" xr:uid="{71561D22-82F0-44C1-99BA-0EEF44DE46B6}">
      <text>
        <r>
          <rPr>
            <sz val="8"/>
            <color indexed="81"/>
            <rFont val="Tahoma"/>
            <family val="2"/>
          </rPr>
          <t>This cell will highlight in red where your forecast is lower than your actual to date - please revise or comment if correct</t>
        </r>
      </text>
    </comment>
    <comment ref="K53" authorId="1" shapeId="0" xr:uid="{F58BB6A5-041F-461C-A2D4-236B37CAE89A}">
      <text>
        <r>
          <rPr>
            <sz val="8"/>
            <color indexed="81"/>
            <rFont val="Tahoma"/>
            <family val="2"/>
          </rPr>
          <t>This cell will highlight in red where your forecast is lower than your actual to date - please revise or comment if correct</t>
        </r>
      </text>
    </comment>
    <comment ref="K54" authorId="1" shapeId="0" xr:uid="{AE1A1A33-77F9-491F-9169-F646F2AF45BA}">
      <text>
        <r>
          <rPr>
            <sz val="8"/>
            <color indexed="81"/>
            <rFont val="Tahoma"/>
            <family val="2"/>
          </rPr>
          <t>This cell will highlight in red where your forecast is lower than your actual to date - please revise or comment if correct</t>
        </r>
      </text>
    </comment>
    <comment ref="K55" authorId="1" shapeId="0" xr:uid="{59CE95C5-A39F-4EFF-B47C-FE1D5E7673A4}">
      <text>
        <r>
          <rPr>
            <sz val="8"/>
            <color indexed="81"/>
            <rFont val="Tahoma"/>
            <family val="2"/>
          </rPr>
          <t>This cell will highlight in red where your forecast is lower than your actual to date - please revise or comment if correct</t>
        </r>
      </text>
    </comment>
    <comment ref="K56" authorId="1" shapeId="0" xr:uid="{E7A9D169-8BC5-4D62-A1E1-EE0672A528C0}">
      <text>
        <r>
          <rPr>
            <sz val="8"/>
            <color indexed="81"/>
            <rFont val="Tahoma"/>
            <family val="2"/>
          </rPr>
          <t>This cell will highlight in red where your forecast is lower than your actual to date - please revise or comment if correct</t>
        </r>
      </text>
    </comment>
    <comment ref="K57" authorId="1" shapeId="0" xr:uid="{AE3C71D8-DD58-4B33-8CCD-D9566608878B}">
      <text>
        <r>
          <rPr>
            <sz val="8"/>
            <color indexed="81"/>
            <rFont val="Tahoma"/>
            <family val="2"/>
          </rPr>
          <t>This cell will highlight in red where your forecast is lower than your actual to date - please revise or comment if correct</t>
        </r>
      </text>
    </comment>
    <comment ref="K58" authorId="1" shapeId="0" xr:uid="{697CAB3E-1485-4267-9241-6BBDA2D7D7F5}">
      <text>
        <r>
          <rPr>
            <sz val="8"/>
            <color indexed="81"/>
            <rFont val="Tahoma"/>
            <family val="2"/>
          </rPr>
          <t>This cell will highlight in red where your forecast is lower than your actual to date - please revise or comment if correct</t>
        </r>
      </text>
    </comment>
    <comment ref="O58" authorId="0" shapeId="0" xr:uid="{E4DF937F-C390-4EE9-98D0-EDB47F9B2A35}">
      <text>
        <r>
          <rPr>
            <sz val="10"/>
            <rFont val="Arial"/>
          </rPr>
          <t>Sam Walker:
would we encourage amounts to be included in comment for trips?</t>
        </r>
      </text>
    </comment>
    <comment ref="K60" authorId="1" shapeId="0" xr:uid="{C8AD53D3-E2D7-4B6B-9977-D0DCA5B48637}">
      <text>
        <r>
          <rPr>
            <sz val="8"/>
            <color indexed="81"/>
            <rFont val="Tahoma"/>
            <family val="2"/>
          </rPr>
          <t>This cell will highlight in red where your forecast is lower than your actual to date - please revise or comment if correct</t>
        </r>
      </text>
    </comment>
    <comment ref="K61" authorId="1" shapeId="0" xr:uid="{E711968B-9CEC-41B4-A5D8-67961E6FBFB3}">
      <text>
        <r>
          <rPr>
            <sz val="8"/>
            <color indexed="81"/>
            <rFont val="Tahoma"/>
            <family val="2"/>
          </rPr>
          <t>This cell will highlight in red where your forecast is lower than your actual to date - please revise or comment if correct</t>
        </r>
      </text>
    </comment>
    <comment ref="K62" authorId="1" shapeId="0" xr:uid="{BF8CC97C-0845-4739-8857-2D19BDBA1FB7}">
      <text>
        <r>
          <rPr>
            <sz val="8"/>
            <color indexed="81"/>
            <rFont val="Tahoma"/>
            <family val="2"/>
          </rPr>
          <t>This cell will highlight in red where your forecast is lower than your actual to date - please revise or comment if correct</t>
        </r>
      </text>
    </comment>
    <comment ref="K63" authorId="1" shapeId="0" xr:uid="{D152F8B9-6ADF-49EB-9DE0-C3BC87CE8729}">
      <text>
        <r>
          <rPr>
            <sz val="8"/>
            <color indexed="81"/>
            <rFont val="Tahoma"/>
            <family val="2"/>
          </rPr>
          <t>This cell will highlight in red where your forecast is lower than your actual to date - please revise or comment if correct</t>
        </r>
      </text>
    </comment>
    <comment ref="K64" authorId="1" shapeId="0" xr:uid="{37944783-A7A2-4B37-8862-DC5C1DD342BA}">
      <text>
        <r>
          <rPr>
            <sz val="8"/>
            <color indexed="81"/>
            <rFont val="Tahoma"/>
            <family val="2"/>
          </rPr>
          <t>This cell will highlight in red where your forecast is lower than your actual to date - please revise or comment if correct</t>
        </r>
      </text>
    </comment>
    <comment ref="K65" authorId="1" shapeId="0" xr:uid="{7FFB7EEE-DC74-4FF1-A2CB-43ED95E75F9D}">
      <text>
        <r>
          <rPr>
            <sz val="8"/>
            <color indexed="81"/>
            <rFont val="Tahoma"/>
            <family val="2"/>
          </rPr>
          <t>This cell will highlight in red where your forecast is lower than your actual to date - please revise or comment if correct</t>
        </r>
      </text>
    </comment>
    <comment ref="K66" authorId="1" shapeId="0" xr:uid="{1B3B917F-402F-440E-BB29-FE4F9E743E30}">
      <text>
        <r>
          <rPr>
            <sz val="8"/>
            <color indexed="81"/>
            <rFont val="Tahoma"/>
            <family val="2"/>
          </rPr>
          <t>This cell will highlight in red where your forecast is lower than your actual to date - please revise or comment if correct</t>
        </r>
      </text>
    </comment>
    <comment ref="K67" authorId="1" shapeId="0" xr:uid="{D073B694-B0E4-4BB6-8643-DEB5E664FD59}">
      <text>
        <r>
          <rPr>
            <sz val="8"/>
            <color indexed="81"/>
            <rFont val="Tahoma"/>
            <family val="2"/>
          </rPr>
          <t>This cell will highlight in red where your forecast is lower than your actual to date - please revise or comment if correct</t>
        </r>
      </text>
    </comment>
    <comment ref="K68" authorId="1" shapeId="0" xr:uid="{16AE536A-0331-450F-BF63-BB5E0EEDBD69}">
      <text>
        <r>
          <rPr>
            <sz val="8"/>
            <color indexed="81"/>
            <rFont val="Tahoma"/>
            <family val="2"/>
          </rPr>
          <t>This cell will highlight in red where your forecast is lower than your actual to date - please revise or comment if correct</t>
        </r>
      </text>
    </comment>
    <comment ref="K69" authorId="1" shapeId="0" xr:uid="{A852278A-7E6E-46CC-8A85-98E89AEF87F7}">
      <text>
        <r>
          <rPr>
            <sz val="8"/>
            <color indexed="81"/>
            <rFont val="Tahoma"/>
            <family val="2"/>
          </rPr>
          <t>This cell will highlight in red where your forecast is lower than your actual to date - please revise or comment if correct</t>
        </r>
      </text>
    </comment>
    <comment ref="K70" authorId="1" shapeId="0" xr:uid="{71C03654-E8A6-4C63-92ED-B98A0C18C5C6}">
      <text>
        <r>
          <rPr>
            <sz val="8"/>
            <color indexed="81"/>
            <rFont val="Tahoma"/>
            <family val="2"/>
          </rPr>
          <t>This cell will highlight in red where the value does not match the value in CI04 - please revise</t>
        </r>
      </text>
    </comment>
    <comment ref="C79" authorId="1" shapeId="0" xr:uid="{CE17E0CD-C4E5-4B37-9F0F-31055DC82094}">
      <text>
        <r>
          <rPr>
            <sz val="8"/>
            <color indexed="81"/>
            <rFont val="Tahoma"/>
            <family val="2"/>
          </rPr>
          <t>Pre-populated</t>
        </r>
        <r>
          <rPr>
            <sz val="8"/>
            <color indexed="81"/>
            <rFont val="Tahoma"/>
            <family val="2"/>
          </rPr>
          <t xml:space="preserve">
</t>
        </r>
      </text>
    </comment>
    <comment ref="E79" authorId="1" shapeId="0" xr:uid="{525537DD-B31D-4A12-AF35-A85DC5EF53D1}">
      <text>
        <r>
          <rPr>
            <sz val="8"/>
            <color indexed="81"/>
            <rFont val="Tahoma"/>
            <family val="2"/>
          </rPr>
          <t>Pre-populated from Approved Budget</t>
        </r>
        <r>
          <rPr>
            <sz val="8"/>
            <color indexed="81"/>
            <rFont val="Tahoma"/>
            <family val="2"/>
          </rPr>
          <t xml:space="preserve">
</t>
        </r>
      </text>
    </comment>
    <comment ref="G79" authorId="1" shapeId="0" xr:uid="{63E00857-2284-44E0-92A5-FFC904A9E2E3}">
      <text>
        <r>
          <rPr>
            <sz val="8"/>
            <color indexed="81"/>
            <rFont val="Tahoma"/>
            <family val="2"/>
          </rPr>
          <t>Pre-populated - this is the actual final revenue balance taken from CFR returns, which may be different from the balance estimated in the Approved Budget</t>
        </r>
        <r>
          <rPr>
            <sz val="8"/>
            <color indexed="81"/>
            <rFont val="Tahoma"/>
            <family val="2"/>
          </rPr>
          <t xml:space="preserve">
</t>
        </r>
      </text>
    </comment>
    <comment ref="K80" authorId="1" shapeId="0" xr:uid="{3447BED3-5BF1-47F7-A0E5-50106E4EB323}">
      <text>
        <r>
          <rPr>
            <sz val="8"/>
            <color indexed="81"/>
            <rFont val="Tahoma"/>
            <family val="2"/>
          </rPr>
          <t xml:space="preserve">This cell will highlight in red where the cumulative balance is a deficit
</t>
        </r>
      </text>
    </comment>
    <comment ref="K88" authorId="1" shapeId="0" xr:uid="{F44D4DAD-67EB-4FC5-9795-19AB491534D2}">
      <text>
        <r>
          <rPr>
            <sz val="8"/>
            <color indexed="81"/>
            <rFont val="Tahoma"/>
            <family val="2"/>
          </rPr>
          <t>This cell will highlight in red where the value does not match the value in CI04 - please revise</t>
        </r>
      </text>
    </comment>
    <comment ref="K89" authorId="1" shapeId="0" xr:uid="{84F507A7-B588-47F6-89AE-919A0BB3F8E1}">
      <text>
        <r>
          <rPr>
            <sz val="8"/>
            <color indexed="81"/>
            <rFont val="Tahoma"/>
            <family val="2"/>
          </rPr>
          <t>This cell will highlight in red where the value does not match the value in CI04 - please revise</t>
        </r>
      </text>
    </comment>
    <comment ref="K93" authorId="1" shapeId="0" xr:uid="{BC63EA53-0368-4E1D-8F9B-AC7FF4B81F76}">
      <text>
        <r>
          <rPr>
            <sz val="8"/>
            <color indexed="81"/>
            <rFont val="Tahoma"/>
            <family val="2"/>
          </rPr>
          <t>This cell will highlight in red where the value does not match the value in CI04 - please revise</t>
        </r>
      </text>
    </comment>
    <comment ref="K94" authorId="1" shapeId="0" xr:uid="{5C657232-852B-467C-832B-1559B8E8C93A}">
      <text>
        <r>
          <rPr>
            <sz val="8"/>
            <color indexed="81"/>
            <rFont val="Tahoma"/>
            <family val="2"/>
          </rPr>
          <t>This cell will highlight in red where the value does not match the value in CI04 - please revise</t>
        </r>
      </text>
    </comment>
    <comment ref="C102" authorId="1" shapeId="0" xr:uid="{47BF85CB-36C7-4247-8349-A127424EACB3}">
      <text>
        <r>
          <rPr>
            <sz val="8"/>
            <color indexed="81"/>
            <rFont val="Tahoma"/>
            <family val="2"/>
          </rPr>
          <t>Pre-populated</t>
        </r>
        <r>
          <rPr>
            <sz val="8"/>
            <color indexed="81"/>
            <rFont val="Tahoma"/>
            <family val="2"/>
          </rPr>
          <t xml:space="preserve">
</t>
        </r>
      </text>
    </comment>
    <comment ref="E102" authorId="1" shapeId="0" xr:uid="{AB5B4A12-9187-46D5-8C90-015EFCDAAD15}">
      <text>
        <r>
          <rPr>
            <sz val="8"/>
            <color indexed="81"/>
            <rFont val="Tahoma"/>
            <family val="2"/>
          </rPr>
          <t>Pre-populated from Approved Budget</t>
        </r>
        <r>
          <rPr>
            <sz val="8"/>
            <color indexed="81"/>
            <rFont val="Tahoma"/>
            <family val="2"/>
          </rPr>
          <t xml:space="preserve">
</t>
        </r>
      </text>
    </comment>
    <comment ref="G102" authorId="1" shapeId="0" xr:uid="{708DFF1D-F0D2-46AC-B68A-831D798DC255}">
      <text>
        <r>
          <rPr>
            <sz val="8"/>
            <color indexed="81"/>
            <rFont val="Tahoma"/>
            <family val="2"/>
          </rPr>
          <t>Pre-populated - this is the actual final revenue balance taken from CFR returns, which may be different from the balance estimated in the Approved Budget</t>
        </r>
        <r>
          <rPr>
            <sz val="8"/>
            <color indexed="81"/>
            <rFont val="Tahoma"/>
            <family val="2"/>
          </rPr>
          <t xml:space="preserve">
</t>
        </r>
      </text>
    </comment>
    <comment ref="K103" authorId="1" shapeId="0" xr:uid="{88D1E4A9-E256-446A-99A3-BE8D62C32049}">
      <text>
        <r>
          <rPr>
            <sz val="8"/>
            <color indexed="81"/>
            <rFont val="Tahoma"/>
            <family val="2"/>
          </rPr>
          <t xml:space="preserve">This cell will highlight in red where the cumulative balance is a deficit
</t>
        </r>
      </text>
    </comment>
    <comment ref="C106" authorId="1" shapeId="0" xr:uid="{B87EAB60-AB77-47C1-B2A5-E6AA0F79CA59}">
      <text>
        <r>
          <rPr>
            <sz val="8"/>
            <color indexed="81"/>
            <rFont val="Tahoma"/>
            <family val="2"/>
          </rPr>
          <t>Pre-populated</t>
        </r>
        <r>
          <rPr>
            <sz val="8"/>
            <color indexed="81"/>
            <rFont val="Tahoma"/>
            <family val="2"/>
          </rPr>
          <t xml:space="preserve">
</t>
        </r>
      </text>
    </comment>
    <comment ref="E106" authorId="1" shapeId="0" xr:uid="{DDE0079D-164A-4484-B8C1-3DB45388D559}">
      <text>
        <r>
          <rPr>
            <sz val="8"/>
            <color indexed="81"/>
            <rFont val="Tahoma"/>
            <family val="2"/>
          </rPr>
          <t>Pre-populated from Approved Budget</t>
        </r>
        <r>
          <rPr>
            <sz val="8"/>
            <color indexed="81"/>
            <rFont val="Tahoma"/>
            <family val="2"/>
          </rPr>
          <t xml:space="preserve">
</t>
        </r>
      </text>
    </comment>
    <comment ref="K106" authorId="1" shapeId="0" xr:uid="{C961D8AC-385C-4834-AC5E-08AE5C1C70A8}">
      <text>
        <r>
          <rPr>
            <sz val="8"/>
            <color indexed="81"/>
            <rFont val="Tahoma"/>
            <family val="2"/>
          </rPr>
          <t>please enter here the value of your forecasted carry forward at March 20134 committed to specific schemes</t>
        </r>
      </text>
    </comment>
    <comment ref="C107" authorId="1" shapeId="0" xr:uid="{B4DADA01-AAA7-4DFD-84B3-C05B2389398F}">
      <text>
        <r>
          <rPr>
            <sz val="8"/>
            <color indexed="81"/>
            <rFont val="Tahoma"/>
            <family val="2"/>
          </rPr>
          <t>Pre-populated</t>
        </r>
        <r>
          <rPr>
            <sz val="8"/>
            <color indexed="81"/>
            <rFont val="Tahoma"/>
            <family val="2"/>
          </rPr>
          <t xml:space="preserve">
</t>
        </r>
      </text>
    </comment>
    <comment ref="E107" authorId="1" shapeId="0" xr:uid="{C9388EBD-7BEB-455E-927D-48D32BC47E87}">
      <text>
        <r>
          <rPr>
            <sz val="8"/>
            <color indexed="81"/>
            <rFont val="Tahoma"/>
            <family val="2"/>
          </rPr>
          <t>Pre-populated from Approved Budget</t>
        </r>
        <r>
          <rPr>
            <sz val="8"/>
            <color indexed="81"/>
            <rFont val="Tahoma"/>
            <family val="2"/>
          </rPr>
          <t xml:space="preserve">
</t>
        </r>
      </text>
    </comment>
    <comment ref="K107" authorId="1" shapeId="0" xr:uid="{A2CBFA8F-042D-4212-B167-063F3C2FFC48}">
      <text>
        <r>
          <rPr>
            <sz val="8"/>
            <color indexed="81"/>
            <rFont val="Tahoma"/>
            <family val="2"/>
          </rPr>
          <t>this is the remaining balance not recorded as B01 or B06</t>
        </r>
      </text>
    </comment>
    <comment ref="C108" authorId="1" shapeId="0" xr:uid="{29B9EF2E-1CC1-4549-85AA-603480A313A8}">
      <text>
        <r>
          <rPr>
            <sz val="8"/>
            <color indexed="81"/>
            <rFont val="Tahoma"/>
            <family val="2"/>
          </rPr>
          <t>Pre-populated</t>
        </r>
        <r>
          <rPr>
            <sz val="8"/>
            <color indexed="81"/>
            <rFont val="Tahoma"/>
            <family val="2"/>
          </rPr>
          <t xml:space="preserve">
</t>
        </r>
      </text>
    </comment>
    <comment ref="E108" authorId="1" shapeId="0" xr:uid="{4A3B1AF6-C818-486D-93D1-AEAF3C4C07A4}">
      <text>
        <r>
          <rPr>
            <sz val="8"/>
            <color indexed="81"/>
            <rFont val="Tahoma"/>
            <family val="2"/>
          </rPr>
          <t>Pre-populated from Approved Budget</t>
        </r>
        <r>
          <rPr>
            <sz val="8"/>
            <color indexed="81"/>
            <rFont val="Tahoma"/>
            <family val="2"/>
          </rPr>
          <t xml:space="preserve">
</t>
        </r>
      </text>
    </comment>
    <comment ref="K109" authorId="1" shapeId="0" xr:uid="{26A8E1F9-C87E-41D1-893B-D222EEE3A937}">
      <text>
        <r>
          <rPr>
            <sz val="8"/>
            <color indexed="81"/>
            <rFont val="Tahoma"/>
            <family val="2"/>
          </rPr>
          <t xml:space="preserve">This cell will highlight in red where the cumulative balance is a deficit
</t>
        </r>
      </text>
    </comment>
    <comment ref="K124" authorId="1" shapeId="0" xr:uid="{93C53195-8C53-46FD-BF2A-657996B81126}">
      <text>
        <r>
          <rPr>
            <sz val="8"/>
            <color indexed="81"/>
            <rFont val="Tahoma"/>
            <family val="2"/>
          </rPr>
          <t>This cell will highlight in red where your forecast is lower than your actual to date - please revise or comment if correct</t>
        </r>
      </text>
    </comment>
    <comment ref="K125" authorId="1" shapeId="0" xr:uid="{949481E8-67FC-40B9-B06D-6C1641ACBF94}">
      <text>
        <r>
          <rPr>
            <sz val="8"/>
            <color indexed="81"/>
            <rFont val="Tahoma"/>
            <family val="2"/>
          </rPr>
          <t>This cell will highlight in red where your forecast is lower than your actual to date - please revise or comment if correct</t>
        </r>
      </text>
    </comment>
    <comment ref="K126" authorId="1" shapeId="0" xr:uid="{25B9BC35-D48B-4C79-BA6D-CAD4ECBC78C1}">
      <text>
        <r>
          <rPr>
            <sz val="8"/>
            <color indexed="81"/>
            <rFont val="Tahoma"/>
            <family val="2"/>
          </rPr>
          <t>This cell will highlight in red where your forecast is lower than your actual to date - please revise or comment if correct</t>
        </r>
      </text>
    </comment>
    <comment ref="K130" authorId="1" shapeId="0" xr:uid="{52E626EA-4C4C-4034-B09E-1655DF924C88}">
      <text>
        <r>
          <rPr>
            <sz val="8"/>
            <color indexed="81"/>
            <rFont val="Tahoma"/>
            <family val="2"/>
          </rPr>
          <t>This cell will highlight in red where your forecast is lower than your actual to date - please revise or comment if correct</t>
        </r>
      </text>
    </comment>
    <comment ref="K131" authorId="1" shapeId="0" xr:uid="{BF61D490-2B34-49E0-87CD-6F13F9B45F78}">
      <text>
        <r>
          <rPr>
            <sz val="8"/>
            <color indexed="81"/>
            <rFont val="Tahoma"/>
            <family val="2"/>
          </rPr>
          <t>This cell will highlight in red where your forecast is lower than your actual to date - please revise or comment if correct</t>
        </r>
      </text>
    </comment>
    <comment ref="K132" authorId="1" shapeId="0" xr:uid="{E70D6E26-4C6C-4321-8867-28C180121C4F}">
      <text>
        <r>
          <rPr>
            <sz val="8"/>
            <color indexed="81"/>
            <rFont val="Tahoma"/>
            <family val="2"/>
          </rPr>
          <t>This cell will highlight in red where your forecast is lower than your actual to date - please revise or comment if correct</t>
        </r>
      </text>
    </comment>
    <comment ref="O133" authorId="0" shapeId="0" xr:uid="{3795FD29-2AFF-451C-87B0-EEE72AB69D79}">
      <text>
        <r>
          <rPr>
            <b/>
            <sz val="9"/>
            <color indexed="81"/>
            <rFont val="Tahoma"/>
            <charset val="1"/>
          </rPr>
          <t>Sam Walker:</t>
        </r>
        <r>
          <rPr>
            <sz val="9"/>
            <color indexed="81"/>
            <rFont val="Tahoma"/>
            <charset val="1"/>
          </rPr>
          <t xml:space="preserve">
Do they need to add what they plan to do with this overspend? Eg asking for capitalisation of revenue? Do we ask them in comment below eg Capital budgets cannot be in deficit at year end, Please check coded expenditure, can some of this be coded to Revenue to take you out of a deficit position?</t>
        </r>
      </text>
    </comment>
    <comment ref="C137" authorId="1" shapeId="0" xr:uid="{8DC6E43A-39B0-492D-833A-0E83F03DC8CA}">
      <text>
        <r>
          <rPr>
            <sz val="8"/>
            <color indexed="81"/>
            <rFont val="Tahoma"/>
            <family val="2"/>
          </rPr>
          <t>Pre-populated</t>
        </r>
        <r>
          <rPr>
            <sz val="8"/>
            <color indexed="81"/>
            <rFont val="Tahoma"/>
            <family val="2"/>
          </rPr>
          <t xml:space="preserve">
</t>
        </r>
      </text>
    </comment>
    <comment ref="E137" authorId="1" shapeId="0" xr:uid="{BDB74353-6F77-4A6B-A87A-563E1B0B374A}">
      <text>
        <r>
          <rPr>
            <sz val="8"/>
            <color indexed="81"/>
            <rFont val="Tahoma"/>
            <family val="2"/>
          </rPr>
          <t>Pre-populated from Approved Budget</t>
        </r>
        <r>
          <rPr>
            <sz val="8"/>
            <color indexed="81"/>
            <rFont val="Tahoma"/>
            <family val="2"/>
          </rPr>
          <t xml:space="preserve">
</t>
        </r>
      </text>
    </comment>
    <comment ref="G137" authorId="1" shapeId="0" xr:uid="{B028F733-2662-4C3E-8BDC-600E4CADAEC5}">
      <text>
        <r>
          <rPr>
            <sz val="8"/>
            <color indexed="81"/>
            <rFont val="Tahoma"/>
            <family val="2"/>
          </rPr>
          <t>Pre-populated - this is the actual final capital balance on the Council's ledger, which may be different from the balance estimated in the Approved Budget</t>
        </r>
        <r>
          <rPr>
            <sz val="8"/>
            <color indexed="81"/>
            <rFont val="Tahoma"/>
            <family val="2"/>
          </rPr>
          <t xml:space="preserve">
</t>
        </r>
      </text>
    </comment>
    <comment ref="A278" authorId="2" shapeId="0" xr:uid="{4909ADD4-C29B-44F6-98E7-A57F6EBEEEB0}">
      <text>
        <r>
          <rPr>
            <b/>
            <sz val="9"/>
            <color indexed="81"/>
            <rFont val="Tahoma"/>
            <family val="2"/>
          </rPr>
          <t>Stephanie Kirbyshire:</t>
        </r>
        <r>
          <rPr>
            <sz val="9"/>
            <color indexed="81"/>
            <rFont val="Tahoma"/>
            <family val="2"/>
          </rPr>
          <t xml:space="preserve">
Changed from …and Preschool in Oct 24 at GP's request.
</t>
        </r>
      </text>
    </comment>
    <comment ref="A294" authorId="3" shapeId="0" xr:uid="{7CDE45E0-F5A2-4222-85FC-D42E85A95957}">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A300" authorId="4" shapeId="0" xr:uid="{36BB96CD-7366-48F3-98F2-E64BB911264E}">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andrew.redding</author>
    <author>Stephanie Kirbyshire</author>
    <author>tc={92E5C62F-3FA0-4190-B1DC-CE77736A49D0}</author>
    <author>tc={FCE614A8-2D96-4724-B2FB-0C27B7908858}</author>
  </authors>
  <commentList>
    <comment ref="K17" authorId="0" shapeId="0" xr:uid="{00000000-0006-0000-0400-000002000000}">
      <text>
        <r>
          <rPr>
            <sz val="8"/>
            <color indexed="81"/>
            <rFont val="Tahoma"/>
            <family val="2"/>
          </rPr>
          <t>This cell will highlight in red where your forecast is lower than your actual to date - please revise or comment if correct</t>
        </r>
      </text>
    </comment>
    <comment ref="K18" authorId="0" shapeId="0" xr:uid="{00000000-0006-0000-0400-000003000000}">
      <text>
        <r>
          <rPr>
            <sz val="8"/>
            <color indexed="81"/>
            <rFont val="Tahoma"/>
            <family val="2"/>
          </rPr>
          <t>This cell will highlight in red where your forecast is lower than your actual to date - please revise or comment if correct</t>
        </r>
      </text>
    </comment>
    <comment ref="K19" authorId="0" shapeId="0" xr:uid="{00000000-0006-0000-0400-000004000000}">
      <text>
        <r>
          <rPr>
            <sz val="8"/>
            <color indexed="81"/>
            <rFont val="Tahoma"/>
            <family val="2"/>
          </rPr>
          <t>This cell will highlight in red where your forecast is lower than your actual to date - please revise or comment if correct</t>
        </r>
      </text>
    </comment>
    <comment ref="K20" authorId="0" shapeId="0" xr:uid="{00000000-0006-0000-0400-000005000000}">
      <text>
        <r>
          <rPr>
            <sz val="8"/>
            <color indexed="81"/>
            <rFont val="Tahoma"/>
            <family val="2"/>
          </rPr>
          <t>This cell will highlight in red where your forecast is lower than your actual to date - please revise or comment if correct</t>
        </r>
      </text>
    </comment>
    <comment ref="K21" authorId="0" shapeId="0" xr:uid="{00000000-0006-0000-0400-000006000000}">
      <text>
        <r>
          <rPr>
            <sz val="8"/>
            <color indexed="81"/>
            <rFont val="Tahoma"/>
            <family val="2"/>
          </rPr>
          <t>This cell will highlight in red where your forecast is lower than your actual to date - please revise or comment if correct</t>
        </r>
      </text>
    </comment>
    <comment ref="K22" authorId="0" shapeId="0" xr:uid="{00000000-0006-0000-0400-000007000000}">
      <text>
        <r>
          <rPr>
            <sz val="8"/>
            <color indexed="81"/>
            <rFont val="Tahoma"/>
            <family val="2"/>
          </rPr>
          <t>This cell will highlight in red where your forecast is lower than your actual to date - please revise or comment if correct</t>
        </r>
      </text>
    </comment>
    <comment ref="K23" authorId="0" shapeId="0" xr:uid="{00000000-0006-0000-0400-000008000000}">
      <text>
        <r>
          <rPr>
            <sz val="8"/>
            <color indexed="81"/>
            <rFont val="Tahoma"/>
            <family val="2"/>
          </rPr>
          <t>This cell will highlight in red where your forecast is lower than your actual to date - please revise or comment if correct</t>
        </r>
      </text>
    </comment>
    <comment ref="K24" authorId="0" shapeId="0" xr:uid="{00000000-0006-0000-0400-000009000000}">
      <text>
        <r>
          <rPr>
            <sz val="8"/>
            <color indexed="81"/>
            <rFont val="Tahoma"/>
            <family val="2"/>
          </rPr>
          <t>This cell will highlight in red where your forecast is lower than your actual to date - please revise or comment if correct</t>
        </r>
      </text>
    </comment>
    <comment ref="K25" authorId="0" shapeId="0" xr:uid="{00000000-0006-0000-0400-00000A000000}">
      <text>
        <r>
          <rPr>
            <sz val="8"/>
            <color indexed="81"/>
            <rFont val="Tahoma"/>
            <family val="2"/>
          </rPr>
          <t>This cell will highlight in red where your forecast is lower than your actual to date - please revise or comment if correct</t>
        </r>
      </text>
    </comment>
    <comment ref="K26" authorId="0" shapeId="0" xr:uid="{00000000-0006-0000-0400-00000B000000}">
      <text>
        <r>
          <rPr>
            <sz val="8"/>
            <color indexed="81"/>
            <rFont val="Tahoma"/>
            <family val="2"/>
          </rPr>
          <t>This cell will highlight in red where your forecast is lower than your actual to date - please revise or comment if correct</t>
        </r>
      </text>
    </comment>
    <comment ref="K27" authorId="0" shapeId="0" xr:uid="{00000000-0006-0000-0400-00000C000000}">
      <text>
        <r>
          <rPr>
            <sz val="8"/>
            <color indexed="81"/>
            <rFont val="Tahoma"/>
            <family val="2"/>
          </rPr>
          <t>This cell will highlight in red where your forecast is lower than your actual to date - please revise or comment if correct</t>
        </r>
      </text>
    </comment>
    <comment ref="K28" authorId="0" shapeId="0" xr:uid="{00000000-0006-0000-0400-00000D000000}">
      <text>
        <r>
          <rPr>
            <sz val="8"/>
            <color indexed="81"/>
            <rFont val="Tahoma"/>
            <family val="2"/>
          </rPr>
          <t>This cell will highlight in red where your forecast is lower than your actual to date - please revise or comment if correct</t>
        </r>
      </text>
    </comment>
    <comment ref="K29" authorId="0" shapeId="0" xr:uid="{00000000-0006-0000-0400-00000E000000}">
      <text>
        <r>
          <rPr>
            <sz val="8"/>
            <color indexed="81"/>
            <rFont val="Tahoma"/>
            <family val="2"/>
          </rPr>
          <t>This cell will highlight in red where your forecast is lower than your actual to date - please revise or comment if correct</t>
        </r>
      </text>
    </comment>
    <comment ref="K30" authorId="0" shapeId="0" xr:uid="{00000000-0006-0000-0400-00000F000000}">
      <text>
        <r>
          <rPr>
            <sz val="8"/>
            <color indexed="81"/>
            <rFont val="Tahoma"/>
            <family val="2"/>
          </rPr>
          <t>This cell will highlight in red where your forecast is lower than your actual to date - please revise or comment if correct</t>
        </r>
      </text>
    </comment>
    <comment ref="K31" authorId="0" shapeId="0" xr:uid="{00000000-0006-0000-0400-000010000000}">
      <text>
        <r>
          <rPr>
            <sz val="8"/>
            <color indexed="81"/>
            <rFont val="Tahoma"/>
            <family val="2"/>
          </rPr>
          <t>This cell will highlight in red where your forecast is lower than your actual to date - please revise or comment if correct</t>
        </r>
      </text>
    </comment>
    <comment ref="K32" authorId="0" shapeId="0" xr:uid="{00000000-0006-0000-0400-000011000000}">
      <text>
        <r>
          <rPr>
            <sz val="8"/>
            <color indexed="81"/>
            <rFont val="Tahoma"/>
            <family val="2"/>
          </rPr>
          <t>This cell will highlight in red where your forecast is lower than your actual to date - please revise or comment if correct</t>
        </r>
      </text>
    </comment>
    <comment ref="K33" authorId="0" shapeId="0" xr:uid="{00000000-0006-0000-0400-000012000000}">
      <text>
        <r>
          <rPr>
            <sz val="8"/>
            <color indexed="81"/>
            <rFont val="Tahoma"/>
            <family val="2"/>
          </rPr>
          <t>This cell will highlight in red where your forecast is lower than your actual to date - please revise or comment if correct</t>
        </r>
      </text>
    </comment>
    <comment ref="K34" authorId="0" shapeId="0" xr:uid="{00000000-0006-0000-0400-000013000000}">
      <text>
        <r>
          <rPr>
            <sz val="8"/>
            <color indexed="81"/>
            <rFont val="Tahoma"/>
            <family val="2"/>
          </rPr>
          <t>This cell will highlight in red where your forecast is lower than your actual to date - please revise or comment if correct</t>
        </r>
      </text>
    </comment>
    <comment ref="K40" authorId="0" shapeId="0" xr:uid="{A5DCA3D8-24C0-4F8E-B3A2-8C1C7DCFFE55}">
      <text>
        <r>
          <rPr>
            <sz val="8"/>
            <color indexed="81"/>
            <rFont val="Tahoma"/>
            <family val="2"/>
          </rPr>
          <t>This cell will highlight in red where your forecast is lower than your actual to date - please revise or comment if correct</t>
        </r>
      </text>
    </comment>
    <comment ref="K41" authorId="0" shapeId="0" xr:uid="{00000000-0006-0000-0400-000015000000}">
      <text>
        <r>
          <rPr>
            <sz val="8"/>
            <color indexed="81"/>
            <rFont val="Tahoma"/>
            <family val="2"/>
          </rPr>
          <t>This cell will highlight in red where your forecast is lower than your actual to date - please revise or comment if correct</t>
        </r>
      </text>
    </comment>
    <comment ref="K42" authorId="0" shapeId="0" xr:uid="{00000000-0006-0000-0400-000016000000}">
      <text>
        <r>
          <rPr>
            <sz val="8"/>
            <color indexed="81"/>
            <rFont val="Tahoma"/>
            <family val="2"/>
          </rPr>
          <t>This cell will highlight in red where your forecast is lower than your actual to date - please revise or comment if correct</t>
        </r>
      </text>
    </comment>
    <comment ref="K43" authorId="0" shapeId="0" xr:uid="{00000000-0006-0000-0400-000017000000}">
      <text>
        <r>
          <rPr>
            <sz val="8"/>
            <color indexed="81"/>
            <rFont val="Tahoma"/>
            <family val="2"/>
          </rPr>
          <t>This cell will highlight in red where your forecast is lower than your actual to date - please revise or comment if correct</t>
        </r>
      </text>
    </comment>
    <comment ref="K44" authorId="0" shapeId="0" xr:uid="{00000000-0006-0000-0400-000018000000}">
      <text>
        <r>
          <rPr>
            <sz val="8"/>
            <color indexed="81"/>
            <rFont val="Tahoma"/>
            <family val="2"/>
          </rPr>
          <t>This cell will highlight in red where your forecast is lower than your actual to date - please revise or comment if correct</t>
        </r>
      </text>
    </comment>
    <comment ref="K45" authorId="0" shapeId="0" xr:uid="{00000000-0006-0000-0400-000019000000}">
      <text>
        <r>
          <rPr>
            <sz val="8"/>
            <color indexed="81"/>
            <rFont val="Tahoma"/>
            <family val="2"/>
          </rPr>
          <t>This cell will highlight in red where your forecast is lower than your actual to date - please revise or comment if correct</t>
        </r>
      </text>
    </comment>
    <comment ref="K46" authorId="0" shapeId="0" xr:uid="{00000000-0006-0000-0400-00001A000000}">
      <text>
        <r>
          <rPr>
            <sz val="8"/>
            <color indexed="81"/>
            <rFont val="Tahoma"/>
            <family val="2"/>
          </rPr>
          <t>This cell will highlight in red where your forecast is lower than your actual to date - please revise or comment if correct</t>
        </r>
      </text>
    </comment>
    <comment ref="K47" authorId="0" shapeId="0" xr:uid="{00000000-0006-0000-0400-00001B000000}">
      <text>
        <r>
          <rPr>
            <sz val="8"/>
            <color indexed="81"/>
            <rFont val="Tahoma"/>
            <family val="2"/>
          </rPr>
          <t>This cell will highlight in red where your forecast is lower than your actual to date - please revise or comment if correct</t>
        </r>
      </text>
    </comment>
    <comment ref="K48" authorId="0" shapeId="0" xr:uid="{00000000-0006-0000-0400-00001C000000}">
      <text>
        <r>
          <rPr>
            <sz val="8"/>
            <color indexed="81"/>
            <rFont val="Tahoma"/>
            <family val="2"/>
          </rPr>
          <t>This cell will highlight in red where your forecast is lower than your actual to date - please revise or comment if correct</t>
        </r>
      </text>
    </comment>
    <comment ref="K49" authorId="0" shapeId="0" xr:uid="{00000000-0006-0000-0400-00001D000000}">
      <text>
        <r>
          <rPr>
            <sz val="8"/>
            <color indexed="81"/>
            <rFont val="Tahoma"/>
            <family val="2"/>
          </rPr>
          <t>This cell will highlight in red where your forecast is lower than your actual to date - please revise or comment if correct</t>
        </r>
      </text>
    </comment>
    <comment ref="K50" authorId="0" shapeId="0" xr:uid="{00000000-0006-0000-0400-00001E000000}">
      <text>
        <r>
          <rPr>
            <sz val="8"/>
            <color indexed="81"/>
            <rFont val="Tahoma"/>
            <family val="2"/>
          </rPr>
          <t>This cell will highlight in red where your forecast is lower than your actual to date - please revise or comment if correct</t>
        </r>
      </text>
    </comment>
    <comment ref="K51" authorId="0" shapeId="0" xr:uid="{00000000-0006-0000-0400-00001F000000}">
      <text>
        <r>
          <rPr>
            <sz val="8"/>
            <color indexed="81"/>
            <rFont val="Tahoma"/>
            <family val="2"/>
          </rPr>
          <t>This cell will highlight in red where your forecast is lower than your actual to date - please revise or comment if correct</t>
        </r>
      </text>
    </comment>
    <comment ref="K52" authorId="0" shapeId="0" xr:uid="{00000000-0006-0000-0400-000020000000}">
      <text>
        <r>
          <rPr>
            <sz val="8"/>
            <color indexed="81"/>
            <rFont val="Tahoma"/>
            <family val="2"/>
          </rPr>
          <t>This cell will highlight in red where your forecast is lower than your actual to date - please revise or comment if correct</t>
        </r>
      </text>
    </comment>
    <comment ref="K53" authorId="0" shapeId="0" xr:uid="{00000000-0006-0000-0400-000021000000}">
      <text>
        <r>
          <rPr>
            <sz val="8"/>
            <color indexed="81"/>
            <rFont val="Tahoma"/>
            <family val="2"/>
          </rPr>
          <t>This cell will highlight in red where your forecast is lower than your actual to date - please revise or comment if correct</t>
        </r>
      </text>
    </comment>
    <comment ref="K54" authorId="0" shapeId="0" xr:uid="{00000000-0006-0000-0400-000022000000}">
      <text>
        <r>
          <rPr>
            <sz val="8"/>
            <color indexed="81"/>
            <rFont val="Tahoma"/>
            <family val="2"/>
          </rPr>
          <t>This cell will highlight in red where your forecast is lower than your actual to date - please revise or comment if correct</t>
        </r>
      </text>
    </comment>
    <comment ref="K55" authorId="0" shapeId="0" xr:uid="{00000000-0006-0000-0400-000023000000}">
      <text>
        <r>
          <rPr>
            <sz val="8"/>
            <color indexed="81"/>
            <rFont val="Tahoma"/>
            <family val="2"/>
          </rPr>
          <t>This cell will highlight in red where your forecast is lower than your actual to date - please revise or comment if correct</t>
        </r>
      </text>
    </comment>
    <comment ref="K56" authorId="0" shapeId="0" xr:uid="{00000000-0006-0000-0400-000024000000}">
      <text>
        <r>
          <rPr>
            <sz val="8"/>
            <color indexed="81"/>
            <rFont val="Tahoma"/>
            <family val="2"/>
          </rPr>
          <t>This cell will highlight in red where your forecast is lower than your actual to date - please revise or comment if correct</t>
        </r>
      </text>
    </comment>
    <comment ref="K57" authorId="0" shapeId="0" xr:uid="{00000000-0006-0000-0400-000025000000}">
      <text>
        <r>
          <rPr>
            <sz val="8"/>
            <color indexed="81"/>
            <rFont val="Tahoma"/>
            <family val="2"/>
          </rPr>
          <t>This cell will highlight in red where your forecast is lower than your actual to date - please revise or comment if correct</t>
        </r>
      </text>
    </comment>
    <comment ref="K58" authorId="0" shapeId="0" xr:uid="{00000000-0006-0000-0400-000026000000}">
      <text>
        <r>
          <rPr>
            <sz val="8"/>
            <color indexed="81"/>
            <rFont val="Tahoma"/>
            <family val="2"/>
          </rPr>
          <t>This cell will highlight in red where your forecast is lower than your actual to date - please revise or comment if correct</t>
        </r>
      </text>
    </comment>
    <comment ref="K60" authorId="0" shapeId="0" xr:uid="{D47D1127-3CDF-47BF-9687-0CAEC9A5F341}">
      <text>
        <r>
          <rPr>
            <sz val="8"/>
            <color indexed="81"/>
            <rFont val="Tahoma"/>
            <family val="2"/>
          </rPr>
          <t>This cell will highlight in red where your forecast is lower than your actual to date - please revise or comment if correct</t>
        </r>
      </text>
    </comment>
    <comment ref="K61" authorId="0" shapeId="0" xr:uid="{00000000-0006-0000-0400-000029000000}">
      <text>
        <r>
          <rPr>
            <sz val="8"/>
            <color indexed="81"/>
            <rFont val="Tahoma"/>
            <family val="2"/>
          </rPr>
          <t>This cell will highlight in red where your forecast is lower than your actual to date - please revise or comment if correct</t>
        </r>
      </text>
    </comment>
    <comment ref="K62" authorId="0" shapeId="0" xr:uid="{00000000-0006-0000-0400-00002A000000}">
      <text>
        <r>
          <rPr>
            <sz val="8"/>
            <color indexed="81"/>
            <rFont val="Tahoma"/>
            <family val="2"/>
          </rPr>
          <t>This cell will highlight in red where your forecast is lower than your actual to date - please revise or comment if correct</t>
        </r>
      </text>
    </comment>
    <comment ref="K63" authorId="0" shapeId="0" xr:uid="{00000000-0006-0000-0400-00002B000000}">
      <text>
        <r>
          <rPr>
            <sz val="8"/>
            <color indexed="81"/>
            <rFont val="Tahoma"/>
            <family val="2"/>
          </rPr>
          <t>This cell will highlight in red where your forecast is lower than your actual to date - please revise or comment if correct</t>
        </r>
      </text>
    </comment>
    <comment ref="K64" authorId="0" shapeId="0" xr:uid="{00000000-0006-0000-0400-00002C000000}">
      <text>
        <r>
          <rPr>
            <sz val="8"/>
            <color indexed="81"/>
            <rFont val="Tahoma"/>
            <family val="2"/>
          </rPr>
          <t>This cell will highlight in red where your forecast is lower than your actual to date - please revise or comment if correct</t>
        </r>
      </text>
    </comment>
    <comment ref="K65" authorId="0" shapeId="0" xr:uid="{00000000-0006-0000-0400-00002D000000}">
      <text>
        <r>
          <rPr>
            <sz val="8"/>
            <color indexed="81"/>
            <rFont val="Tahoma"/>
            <family val="2"/>
          </rPr>
          <t>This cell will highlight in red where your forecast is lower than your actual to date - please revise or comment if correct</t>
        </r>
      </text>
    </comment>
    <comment ref="K66" authorId="0" shapeId="0" xr:uid="{00000000-0006-0000-0400-00002E000000}">
      <text>
        <r>
          <rPr>
            <sz val="8"/>
            <color indexed="81"/>
            <rFont val="Tahoma"/>
            <family val="2"/>
          </rPr>
          <t>This cell will highlight in red where your forecast is lower than your actual to date - please revise or comment if correct</t>
        </r>
      </text>
    </comment>
    <comment ref="K67" authorId="0" shapeId="0" xr:uid="{00000000-0006-0000-0400-00002F000000}">
      <text>
        <r>
          <rPr>
            <sz val="8"/>
            <color indexed="81"/>
            <rFont val="Tahoma"/>
            <family val="2"/>
          </rPr>
          <t>This cell will highlight in red where your forecast is lower than your actual to date - please revise or comment if correct</t>
        </r>
      </text>
    </comment>
    <comment ref="K68" authorId="0" shapeId="0" xr:uid="{00000000-0006-0000-0400-000030000000}">
      <text>
        <r>
          <rPr>
            <sz val="8"/>
            <color indexed="81"/>
            <rFont val="Tahoma"/>
            <family val="2"/>
          </rPr>
          <t>This cell will highlight in red where your forecast is lower than your actual to date - please revise or comment if correct</t>
        </r>
      </text>
    </comment>
    <comment ref="K69" authorId="0" shapeId="0" xr:uid="{00000000-0006-0000-0400-000031000000}">
      <text>
        <r>
          <rPr>
            <sz val="8"/>
            <color indexed="81"/>
            <rFont val="Tahoma"/>
            <family val="2"/>
          </rPr>
          <t>This cell will highlight in red where your forecast is lower than your actual to date - please revise or comment if correct</t>
        </r>
      </text>
    </comment>
    <comment ref="K70" authorId="0" shapeId="0" xr:uid="{00000000-0006-0000-0400-000032000000}">
      <text>
        <r>
          <rPr>
            <sz val="8"/>
            <color indexed="81"/>
            <rFont val="Tahoma"/>
            <family val="2"/>
          </rPr>
          <t>This cell will highlight in red where the value does not match the value in CI04 - please revise</t>
        </r>
      </text>
    </comment>
    <comment ref="C79" authorId="0" shapeId="0" xr:uid="{00000000-0006-0000-0400-000033000000}">
      <text>
        <r>
          <rPr>
            <sz val="8"/>
            <color indexed="81"/>
            <rFont val="Tahoma"/>
            <family val="2"/>
          </rPr>
          <t>Pre-populated</t>
        </r>
        <r>
          <rPr>
            <sz val="8"/>
            <color indexed="81"/>
            <rFont val="Tahoma"/>
            <family val="2"/>
          </rPr>
          <t xml:space="preserve">
</t>
        </r>
      </text>
    </comment>
    <comment ref="E79" authorId="0" shapeId="0" xr:uid="{00000000-0006-0000-0400-000034000000}">
      <text>
        <r>
          <rPr>
            <sz val="8"/>
            <color indexed="81"/>
            <rFont val="Tahoma"/>
            <family val="2"/>
          </rPr>
          <t>Pre-populated from Approved Budget</t>
        </r>
        <r>
          <rPr>
            <sz val="8"/>
            <color indexed="81"/>
            <rFont val="Tahoma"/>
            <family val="2"/>
          </rPr>
          <t xml:space="preserve">
</t>
        </r>
      </text>
    </comment>
    <comment ref="G79" authorId="0" shapeId="0" xr:uid="{00000000-0006-0000-0400-000035000000}">
      <text>
        <r>
          <rPr>
            <sz val="8"/>
            <color indexed="81"/>
            <rFont val="Tahoma"/>
            <family val="2"/>
          </rPr>
          <t>Pre-populated - this is the actual final revenue balance taken from CFR returns, which may be different from the balance estimated in the Approved Budget</t>
        </r>
        <r>
          <rPr>
            <sz val="8"/>
            <color indexed="81"/>
            <rFont val="Tahoma"/>
            <family val="2"/>
          </rPr>
          <t xml:space="preserve">
</t>
        </r>
      </text>
    </comment>
    <comment ref="K80" authorId="0" shapeId="0" xr:uid="{00000000-0006-0000-0400-000036000000}">
      <text>
        <r>
          <rPr>
            <sz val="8"/>
            <color indexed="81"/>
            <rFont val="Tahoma"/>
            <family val="2"/>
          </rPr>
          <t xml:space="preserve">This cell will highlight in red where the cumulative balance is a deficit
</t>
        </r>
      </text>
    </comment>
    <comment ref="K88" authorId="0" shapeId="0" xr:uid="{5B849A01-43B4-495A-98F2-5C13009569F4}">
      <text>
        <r>
          <rPr>
            <sz val="8"/>
            <color indexed="81"/>
            <rFont val="Tahoma"/>
            <family val="2"/>
          </rPr>
          <t>This cell will highlight in red where the value does not match the value in CI04 - please revise</t>
        </r>
      </text>
    </comment>
    <comment ref="K89" authorId="0" shapeId="0" xr:uid="{F1D05563-7CDD-43F7-A87F-8332F17C93F0}">
      <text>
        <r>
          <rPr>
            <sz val="8"/>
            <color indexed="81"/>
            <rFont val="Tahoma"/>
            <family val="2"/>
          </rPr>
          <t>This cell will highlight in red where the value does not match the value in CI04 - please revise</t>
        </r>
      </text>
    </comment>
    <comment ref="K93" authorId="0" shapeId="0" xr:uid="{9833415E-D4A9-490C-B129-99D131B95C19}">
      <text>
        <r>
          <rPr>
            <sz val="8"/>
            <color indexed="81"/>
            <rFont val="Tahoma"/>
            <family val="2"/>
          </rPr>
          <t>This cell will highlight in red where the value does not match the value in CI04 - please revise</t>
        </r>
      </text>
    </comment>
    <comment ref="K94" authorId="0" shapeId="0" xr:uid="{43F00962-81BB-4A9E-B184-101AE160DED0}">
      <text>
        <r>
          <rPr>
            <sz val="8"/>
            <color indexed="81"/>
            <rFont val="Tahoma"/>
            <family val="2"/>
          </rPr>
          <t>This cell will highlight in red where the value does not match the value in CI04 - please revise</t>
        </r>
      </text>
    </comment>
    <comment ref="C102" authorId="0" shapeId="0" xr:uid="{00000000-0006-0000-0400-00003B000000}">
      <text>
        <r>
          <rPr>
            <sz val="8"/>
            <color indexed="81"/>
            <rFont val="Tahoma"/>
            <family val="2"/>
          </rPr>
          <t>Pre-populated</t>
        </r>
        <r>
          <rPr>
            <sz val="8"/>
            <color indexed="81"/>
            <rFont val="Tahoma"/>
            <family val="2"/>
          </rPr>
          <t xml:space="preserve">
</t>
        </r>
      </text>
    </comment>
    <comment ref="E102" authorId="0" shapeId="0" xr:uid="{00000000-0006-0000-0400-00003C000000}">
      <text>
        <r>
          <rPr>
            <sz val="8"/>
            <color indexed="81"/>
            <rFont val="Tahoma"/>
            <family val="2"/>
          </rPr>
          <t>Pre-populated from Approved Budget</t>
        </r>
        <r>
          <rPr>
            <sz val="8"/>
            <color indexed="81"/>
            <rFont val="Tahoma"/>
            <family val="2"/>
          </rPr>
          <t xml:space="preserve">
</t>
        </r>
      </text>
    </comment>
    <comment ref="G102" authorId="0" shapeId="0" xr:uid="{00000000-0006-0000-0400-00003D000000}">
      <text>
        <r>
          <rPr>
            <sz val="8"/>
            <color indexed="81"/>
            <rFont val="Tahoma"/>
            <family val="2"/>
          </rPr>
          <t>Pre-populated - this is the actual final revenue balance taken from CFR returns, which may be different from the balance estimated in the Approved Budget</t>
        </r>
        <r>
          <rPr>
            <sz val="8"/>
            <color indexed="81"/>
            <rFont val="Tahoma"/>
            <family val="2"/>
          </rPr>
          <t xml:space="preserve">
</t>
        </r>
      </text>
    </comment>
    <comment ref="K103" authorId="0" shapeId="0" xr:uid="{00000000-0006-0000-0400-00003E000000}">
      <text>
        <r>
          <rPr>
            <sz val="8"/>
            <color indexed="81"/>
            <rFont val="Tahoma"/>
            <family val="2"/>
          </rPr>
          <t xml:space="preserve">This cell will highlight in red where the cumulative balance is a deficit
</t>
        </r>
      </text>
    </comment>
    <comment ref="C106" authorId="0" shapeId="0" xr:uid="{00000000-0006-0000-0400-00003F000000}">
      <text>
        <r>
          <rPr>
            <sz val="8"/>
            <color indexed="81"/>
            <rFont val="Tahoma"/>
            <family val="2"/>
          </rPr>
          <t>Pre-populated</t>
        </r>
        <r>
          <rPr>
            <sz val="8"/>
            <color indexed="81"/>
            <rFont val="Tahoma"/>
            <family val="2"/>
          </rPr>
          <t xml:space="preserve">
</t>
        </r>
      </text>
    </comment>
    <comment ref="E106" authorId="0" shapeId="0" xr:uid="{00000000-0006-0000-0400-000040000000}">
      <text>
        <r>
          <rPr>
            <sz val="8"/>
            <color indexed="81"/>
            <rFont val="Tahoma"/>
            <family val="2"/>
          </rPr>
          <t>Pre-populated from Approved Budget</t>
        </r>
        <r>
          <rPr>
            <sz val="8"/>
            <color indexed="81"/>
            <rFont val="Tahoma"/>
            <family val="2"/>
          </rPr>
          <t xml:space="preserve">
</t>
        </r>
      </text>
    </comment>
    <comment ref="K106" authorId="0" shapeId="0" xr:uid="{00000000-0006-0000-0400-000041000000}">
      <text>
        <r>
          <rPr>
            <sz val="8"/>
            <color indexed="81"/>
            <rFont val="Tahoma"/>
            <family val="2"/>
          </rPr>
          <t>please enter here the value of your forecasted carry forward at March 20134 committed to specific schemes</t>
        </r>
      </text>
    </comment>
    <comment ref="C107" authorId="0" shapeId="0" xr:uid="{00000000-0006-0000-0400-000042000000}">
      <text>
        <r>
          <rPr>
            <sz val="8"/>
            <color indexed="81"/>
            <rFont val="Tahoma"/>
            <family val="2"/>
          </rPr>
          <t>Pre-populated</t>
        </r>
        <r>
          <rPr>
            <sz val="8"/>
            <color indexed="81"/>
            <rFont val="Tahoma"/>
            <family val="2"/>
          </rPr>
          <t xml:space="preserve">
</t>
        </r>
      </text>
    </comment>
    <comment ref="E107" authorId="0" shapeId="0" xr:uid="{00000000-0006-0000-0400-000043000000}">
      <text>
        <r>
          <rPr>
            <sz val="8"/>
            <color indexed="81"/>
            <rFont val="Tahoma"/>
            <family val="2"/>
          </rPr>
          <t>Pre-populated from Approved Budget</t>
        </r>
        <r>
          <rPr>
            <sz val="8"/>
            <color indexed="81"/>
            <rFont val="Tahoma"/>
            <family val="2"/>
          </rPr>
          <t xml:space="preserve">
</t>
        </r>
      </text>
    </comment>
    <comment ref="K107" authorId="0" shapeId="0" xr:uid="{00000000-0006-0000-0400-000044000000}">
      <text>
        <r>
          <rPr>
            <sz val="8"/>
            <color indexed="81"/>
            <rFont val="Tahoma"/>
            <family val="2"/>
          </rPr>
          <t>this is the remaining balance not recorded as B01 or B06</t>
        </r>
      </text>
    </comment>
    <comment ref="C108" authorId="0" shapeId="0" xr:uid="{00000000-0006-0000-0400-000045000000}">
      <text>
        <r>
          <rPr>
            <sz val="8"/>
            <color indexed="81"/>
            <rFont val="Tahoma"/>
            <family val="2"/>
          </rPr>
          <t>Pre-populated</t>
        </r>
        <r>
          <rPr>
            <sz val="8"/>
            <color indexed="81"/>
            <rFont val="Tahoma"/>
            <family val="2"/>
          </rPr>
          <t xml:space="preserve">
</t>
        </r>
      </text>
    </comment>
    <comment ref="E108" authorId="0" shapeId="0" xr:uid="{00000000-0006-0000-0400-000046000000}">
      <text>
        <r>
          <rPr>
            <sz val="8"/>
            <color indexed="81"/>
            <rFont val="Tahoma"/>
            <family val="2"/>
          </rPr>
          <t>Pre-populated from Approved Budget</t>
        </r>
        <r>
          <rPr>
            <sz val="8"/>
            <color indexed="81"/>
            <rFont val="Tahoma"/>
            <family val="2"/>
          </rPr>
          <t xml:space="preserve">
</t>
        </r>
      </text>
    </comment>
    <comment ref="K109" authorId="0" shapeId="0" xr:uid="{00000000-0006-0000-0400-000047000000}">
      <text>
        <r>
          <rPr>
            <sz val="8"/>
            <color indexed="81"/>
            <rFont val="Tahoma"/>
            <family val="2"/>
          </rPr>
          <t xml:space="preserve">This cell will highlight in red where the cumulative balance is a deficit
</t>
        </r>
      </text>
    </comment>
    <comment ref="K124" authorId="0" shapeId="0" xr:uid="{01D7A014-716D-48CF-BFF6-A4EB34F2847C}">
      <text>
        <r>
          <rPr>
            <sz val="8"/>
            <color indexed="81"/>
            <rFont val="Tahoma"/>
            <family val="2"/>
          </rPr>
          <t>This cell will highlight in red where your forecast is lower than your actual to date - please revise or comment if correct</t>
        </r>
      </text>
    </comment>
    <comment ref="K125" authorId="0" shapeId="0" xr:uid="{AC15D93B-85D0-413B-8DE6-59277B4914ED}">
      <text>
        <r>
          <rPr>
            <sz val="8"/>
            <color indexed="81"/>
            <rFont val="Tahoma"/>
            <family val="2"/>
          </rPr>
          <t>This cell will highlight in red where your forecast is lower than your actual to date - please revise or comment if correct</t>
        </r>
      </text>
    </comment>
    <comment ref="K126" authorId="0" shapeId="0" xr:uid="{018CAEB4-15D5-4F00-BB0F-0AEF56236633}">
      <text>
        <r>
          <rPr>
            <sz val="8"/>
            <color indexed="81"/>
            <rFont val="Tahoma"/>
            <family val="2"/>
          </rPr>
          <t>This cell will highlight in red where your forecast is lower than your actual to date - please revise or comment if correct</t>
        </r>
      </text>
    </comment>
    <comment ref="K130" authorId="0" shapeId="0" xr:uid="{0CA9ED04-B65C-4891-9F28-AAD072DF25EB}">
      <text>
        <r>
          <rPr>
            <sz val="8"/>
            <color indexed="81"/>
            <rFont val="Tahoma"/>
            <family val="2"/>
          </rPr>
          <t>This cell will highlight in red where your forecast is lower than your actual to date - please revise or comment if correct</t>
        </r>
      </text>
    </comment>
    <comment ref="K131" authorId="0" shapeId="0" xr:uid="{EF817F6E-C531-4779-8249-F9D84002509F}">
      <text>
        <r>
          <rPr>
            <sz val="8"/>
            <color indexed="81"/>
            <rFont val="Tahoma"/>
            <family val="2"/>
          </rPr>
          <t>This cell will highlight in red where your forecast is lower than your actual to date - please revise or comment if correct</t>
        </r>
      </text>
    </comment>
    <comment ref="K132" authorId="0" shapeId="0" xr:uid="{15D5E6D1-7471-437B-B489-C58280849F65}">
      <text>
        <r>
          <rPr>
            <sz val="8"/>
            <color indexed="81"/>
            <rFont val="Tahoma"/>
            <family val="2"/>
          </rPr>
          <t>This cell will highlight in red where your forecast is lower than your actual to date - please revise or comment if correct</t>
        </r>
      </text>
    </comment>
    <comment ref="C137" authorId="0" shapeId="0" xr:uid="{00000000-0006-0000-0400-000049000000}">
      <text>
        <r>
          <rPr>
            <sz val="8"/>
            <color indexed="81"/>
            <rFont val="Tahoma"/>
            <family val="2"/>
          </rPr>
          <t>Pre-populated</t>
        </r>
        <r>
          <rPr>
            <sz val="8"/>
            <color indexed="81"/>
            <rFont val="Tahoma"/>
            <family val="2"/>
          </rPr>
          <t xml:space="preserve">
</t>
        </r>
      </text>
    </comment>
    <comment ref="E137" authorId="0" shapeId="0" xr:uid="{00000000-0006-0000-0400-00004A000000}">
      <text>
        <r>
          <rPr>
            <sz val="8"/>
            <color indexed="81"/>
            <rFont val="Tahoma"/>
            <family val="2"/>
          </rPr>
          <t>Pre-populated from Approved Budget</t>
        </r>
        <r>
          <rPr>
            <sz val="8"/>
            <color indexed="81"/>
            <rFont val="Tahoma"/>
            <family val="2"/>
          </rPr>
          <t xml:space="preserve">
</t>
        </r>
      </text>
    </comment>
    <comment ref="G137" authorId="0" shapeId="0" xr:uid="{00000000-0006-0000-0400-00004B000000}">
      <text>
        <r>
          <rPr>
            <sz val="8"/>
            <color indexed="81"/>
            <rFont val="Tahoma"/>
            <family val="2"/>
          </rPr>
          <t>Pre-populated - this is the actual final capital balance on the Council's ledger, which may be different from the balance estimated in the Approved Budget</t>
        </r>
        <r>
          <rPr>
            <sz val="8"/>
            <color indexed="81"/>
            <rFont val="Tahoma"/>
            <family val="2"/>
          </rPr>
          <t xml:space="preserve">
</t>
        </r>
      </text>
    </comment>
    <comment ref="A278" authorId="1" shapeId="0" xr:uid="{B7D4B292-E4AC-49AE-873C-1B60487E2982}">
      <text>
        <r>
          <rPr>
            <b/>
            <sz val="9"/>
            <color indexed="81"/>
            <rFont val="Tahoma"/>
            <family val="2"/>
          </rPr>
          <t>Stephanie Kirbyshire:</t>
        </r>
        <r>
          <rPr>
            <sz val="9"/>
            <color indexed="81"/>
            <rFont val="Tahoma"/>
            <family val="2"/>
          </rPr>
          <t xml:space="preserve">
Changed from …and Preschool in Oct 24 at GP's request.
</t>
        </r>
      </text>
    </comment>
    <comment ref="A294" authorId="2" shapeId="0" xr:uid="{92E5C62F-3FA0-4190-B1DC-CE77736A49D0}">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A300" authorId="3" shapeId="0" xr:uid="{FCE614A8-2D96-4724-B2FB-0C27B7908858}">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Jonty Holden</author>
  </authors>
  <commentList>
    <comment ref="A1" authorId="0" shapeId="0" xr:uid="{6ED325EC-139B-43AE-906D-D6F8CBB9E1E9}">
      <text>
        <r>
          <rPr>
            <b/>
            <sz val="9"/>
            <color indexed="81"/>
            <rFont val="Tahoma"/>
            <family val="2"/>
          </rPr>
          <t>Jonty Holden:</t>
        </r>
        <r>
          <rPr>
            <sz val="9"/>
            <color indexed="81"/>
            <rFont val="Tahoma"/>
            <family val="2"/>
          </rPr>
          <t xml:space="preserve">
Paste Here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Jonty Holden</author>
  </authors>
  <commentList>
    <comment ref="B16" authorId="0" shapeId="0" xr:uid="{85B865F4-53AF-4DA3-893C-143AC43A18A4}">
      <text>
        <r>
          <rPr>
            <b/>
            <sz val="9"/>
            <color indexed="81"/>
            <rFont val="Tahoma"/>
            <charset val="1"/>
          </rPr>
          <t>Total Salary Cost of all SLT members</t>
        </r>
        <r>
          <rPr>
            <sz val="9"/>
            <color indexed="81"/>
            <rFont val="Tahoma"/>
            <charset val="1"/>
          </rPr>
          <t xml:space="preserve">
</t>
        </r>
      </text>
    </comment>
    <comment ref="B17" authorId="0" shapeId="0" xr:uid="{52CB95B8-1A4B-4D15-BB45-3BEB1565DE0C}">
      <text>
        <r>
          <rPr>
            <b/>
            <sz val="9"/>
            <color indexed="81"/>
            <rFont val="Tahoma"/>
            <charset val="1"/>
          </rPr>
          <t xml:space="preserve">Total Cost of all SLT members plus Gross TLR values for other staff
</t>
        </r>
      </text>
    </comment>
    <comment ref="B34" authorId="0" shapeId="0" xr:uid="{3048098B-AE7C-4F7E-A984-D7FEAA54FDEB}">
      <text>
        <r>
          <rPr>
            <b/>
            <sz val="9"/>
            <color indexed="81"/>
            <rFont val="Tahoma"/>
            <charset val="1"/>
          </rPr>
          <t>Total Salary Cost of all SLT members</t>
        </r>
        <r>
          <rPr>
            <sz val="9"/>
            <color indexed="81"/>
            <rFont val="Tahoma"/>
            <charset val="1"/>
          </rPr>
          <t xml:space="preserve">
</t>
        </r>
      </text>
    </comment>
    <comment ref="B35" authorId="0" shapeId="0" xr:uid="{F47F6FED-2728-43F2-8792-2151902C90BD}">
      <text>
        <r>
          <rPr>
            <b/>
            <sz val="9"/>
            <color indexed="81"/>
            <rFont val="Tahoma"/>
            <charset val="1"/>
          </rPr>
          <t xml:space="preserve">Total Cost of all SLT members plus Gross TLR values for other staff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Jonty Holden</author>
  </authors>
  <commentList>
    <comment ref="B34" authorId="0" shapeId="0" xr:uid="{2D9EF2C2-F4CA-4FBC-BA1B-A29F33FA3D8F}">
      <text>
        <r>
          <rPr>
            <b/>
            <sz val="9"/>
            <color indexed="81"/>
            <rFont val="Tahoma"/>
            <charset val="1"/>
          </rPr>
          <t>Based on Forecast Budget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Stephanie Kirbyshire</author>
    <author>tc={FD13AE66-691A-413D-9358-9CFE955C0491}</author>
    <author>tc={281FB432-6AE7-413A-9699-873069EA536E}</author>
  </authors>
  <commentList>
    <comment ref="C90" authorId="0" shapeId="0" xr:uid="{36C09097-4181-4F16-A625-EE23737ED15F}">
      <text>
        <r>
          <rPr>
            <b/>
            <sz val="9"/>
            <color indexed="81"/>
            <rFont val="Tahoma"/>
            <family val="2"/>
          </rPr>
          <t>Stephanie Kirbyshire:</t>
        </r>
        <r>
          <rPr>
            <sz val="9"/>
            <color indexed="81"/>
            <rFont val="Tahoma"/>
            <family val="2"/>
          </rPr>
          <t xml:space="preserve">
Changed from …and Preschool in Oct 24 at GP's request.
</t>
        </r>
      </text>
    </comment>
    <comment ref="C106" authorId="1" shapeId="0" xr:uid="{FD13AE66-691A-413D-9358-9CFE955C0491}">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C112" authorId="2" shapeId="0" xr:uid="{281FB432-6AE7-413A-9699-873069EA536E}">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Stephanie Kirbyshire</author>
    <author>tc={FA607035-3CE1-483D-98C5-9BEC146B9B81}</author>
    <author>tc={BEDBB9C9-C03A-4EAC-B175-BA54B09569A8}</author>
  </authors>
  <commentList>
    <comment ref="C88" authorId="0" shapeId="0" xr:uid="{412491C5-F303-4B8D-B5C6-F8FEC1BC4F0E}">
      <text>
        <r>
          <rPr>
            <b/>
            <sz val="9"/>
            <color indexed="81"/>
            <rFont val="Tahoma"/>
            <family val="2"/>
          </rPr>
          <t>Stephanie Kirbyshire:</t>
        </r>
        <r>
          <rPr>
            <sz val="9"/>
            <color indexed="81"/>
            <rFont val="Tahoma"/>
            <family val="2"/>
          </rPr>
          <t xml:space="preserve">
Changed from …and Preschool in Oct 24 at GP's request.
</t>
        </r>
      </text>
    </comment>
    <comment ref="C104" authorId="1" shapeId="0" xr:uid="{FA607035-3CE1-483D-98C5-9BEC146B9B81}">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C110" authorId="2" shapeId="0" xr:uid="{BEDBB9C9-C03A-4EAC-B175-BA54B09569A8}">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Stephanie Kirbyshire</author>
    <author>tc={8380C2DC-1C54-4797-872A-17F729331925}</author>
    <author>tc={1FBFAD6E-B8C2-4FA7-A34A-B8928FBD32F1}</author>
  </authors>
  <commentList>
    <comment ref="B90" authorId="0" shapeId="0" xr:uid="{D116BEB6-291A-4311-A817-C5D69C282DFA}">
      <text>
        <r>
          <rPr>
            <b/>
            <sz val="9"/>
            <color indexed="81"/>
            <rFont val="Tahoma"/>
            <family val="2"/>
          </rPr>
          <t>Stephanie Kirbyshire:</t>
        </r>
        <r>
          <rPr>
            <sz val="9"/>
            <color indexed="81"/>
            <rFont val="Tahoma"/>
            <family val="2"/>
          </rPr>
          <t xml:space="preserve">
Changed from …and Preschool in Oct 24 at GP's request.
</t>
        </r>
      </text>
    </comment>
    <comment ref="B106" authorId="1" shapeId="0" xr:uid="{8380C2DC-1C54-4797-872A-17F729331925}">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B112" authorId="2" shapeId="0" xr:uid="{1FBFAD6E-B8C2-4FA7-A34A-B8928FBD32F1}">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Stephanie Kirbyshire</author>
    <author>tc={0E23AB42-B1D1-4D16-8175-8588C296BAAD}</author>
    <author>tc={C65E3089-8192-4960-AFBD-8E04CBAEE0F5}</author>
  </authors>
  <commentList>
    <comment ref="C88" authorId="0" shapeId="0" xr:uid="{4EBE3980-6608-4F49-8FFF-F25C32AC8CFA}">
      <text>
        <r>
          <rPr>
            <b/>
            <sz val="9"/>
            <color indexed="81"/>
            <rFont val="Tahoma"/>
            <family val="2"/>
          </rPr>
          <t>Stephanie Kirbyshire:</t>
        </r>
        <r>
          <rPr>
            <sz val="9"/>
            <color indexed="81"/>
            <rFont val="Tahoma"/>
            <family val="2"/>
          </rPr>
          <t xml:space="preserve">
Changed from …and Preschool in Oct 24 at GP's request.
</t>
        </r>
      </text>
    </comment>
    <comment ref="C104" authorId="1" shapeId="0" xr:uid="{0E23AB42-B1D1-4D16-8175-8588C296BAAD}">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C110" authorId="2" shapeId="0" xr:uid="{C65E3089-8192-4960-AFBD-8E04CBAEE0F5}">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sharedStrings.xml><?xml version="1.0" encoding="utf-8"?>
<sst xmlns="http://schemas.openxmlformats.org/spreadsheetml/2006/main" count="4764" uniqueCount="1605">
  <si>
    <t>30E10001</t>
  </si>
  <si>
    <t>Pilgrim Pathways School</t>
  </si>
  <si>
    <t>Active</t>
  </si>
  <si>
    <t>30EN1000</t>
  </si>
  <si>
    <t>Kings Hedges Nursery; (1000)</t>
  </si>
  <si>
    <t>30EN1001</t>
  </si>
  <si>
    <t>The Fields EYC Nursery; (1001)</t>
  </si>
  <si>
    <t>30EN1002</t>
  </si>
  <si>
    <t>Homerton Nursery; (1002)</t>
  </si>
  <si>
    <t>30EN1003</t>
  </si>
  <si>
    <t>Histon EYC - Nursery; (1003)</t>
  </si>
  <si>
    <t>30EN1005</t>
  </si>
  <si>
    <t>Brunswick Nursery; (1005)</t>
  </si>
  <si>
    <t>30EN1006</t>
  </si>
  <si>
    <t>Colleges Nursery; (1006)</t>
  </si>
  <si>
    <t>30EN1007</t>
  </si>
  <si>
    <t>Huntingdon Nursery; (1007)</t>
  </si>
  <si>
    <t>30EP2000</t>
  </si>
  <si>
    <t>Trumpington Meadows Primary School; (2000)</t>
  </si>
  <si>
    <t>30EP2001</t>
  </si>
  <si>
    <t>Thorndown Primary School; (2001)</t>
  </si>
  <si>
    <t>30EP2002</t>
  </si>
  <si>
    <t>Bassingbourn Primary School; (2002)</t>
  </si>
  <si>
    <t>30EP2004</t>
  </si>
  <si>
    <t>Caldecote Primary School; (2004)</t>
  </si>
  <si>
    <t>30EP2006</t>
  </si>
  <si>
    <t>Cottenham Primary School; (2006)</t>
  </si>
  <si>
    <t>30EP2009</t>
  </si>
  <si>
    <t>Fen Ditton Comm Primary School; (2009)</t>
  </si>
  <si>
    <t>30EP2010</t>
  </si>
  <si>
    <t>Fen Drayton Primary School; (2010)</t>
  </si>
  <si>
    <t>30EP2011</t>
  </si>
  <si>
    <t>Fowlmere Primary School; (2011)</t>
  </si>
  <si>
    <t>30EP2012</t>
  </si>
  <si>
    <t>Foxton Primary School; (2012)</t>
  </si>
  <si>
    <t>30EP2014</t>
  </si>
  <si>
    <t>Gamlingay First School; Sandy ;(2014)</t>
  </si>
  <si>
    <t>30EP2015</t>
  </si>
  <si>
    <t>Girton Glebe Primary School; (2015)</t>
  </si>
  <si>
    <t>30EP2016</t>
  </si>
  <si>
    <t>Great Abington Primary School; (2016)</t>
  </si>
  <si>
    <t>30EP2018</t>
  </si>
  <si>
    <t>Harston &amp; Newton Comm Primary School; (2018)</t>
  </si>
  <si>
    <t>30EP2019</t>
  </si>
  <si>
    <t>The Roundhouse</t>
  </si>
  <si>
    <t>30EP2026</t>
  </si>
  <si>
    <t>Kingsfield Primary School</t>
  </si>
  <si>
    <t>30EP2028</t>
  </si>
  <si>
    <t>Melbourn Primary School; (2028)</t>
  </si>
  <si>
    <t>30EP2029</t>
  </si>
  <si>
    <t>Meldreth Primary School; (2029)</t>
  </si>
  <si>
    <t>30EP2031</t>
  </si>
  <si>
    <t>Over Primary School; (2031)</t>
  </si>
  <si>
    <t>30EP2032</t>
  </si>
  <si>
    <t>St Peter's CofE Aided Junior School; Wisbech ;(3365)</t>
  </si>
  <si>
    <t>30EP2033</t>
  </si>
  <si>
    <t>Pendragon Comm Primary School; (2033)</t>
  </si>
  <si>
    <t>30EP2040</t>
  </si>
  <si>
    <t>Wisbech St Mary CofE Aided Primary School; Wisbech ;(3363)</t>
  </si>
  <si>
    <t>30EP2041</t>
  </si>
  <si>
    <t>Stapleford Comm Primary School; (2041)</t>
  </si>
  <si>
    <t>30EP2046</t>
  </si>
  <si>
    <t>Swavesey Primary School; (2046)</t>
  </si>
  <si>
    <t>30EP2048</t>
  </si>
  <si>
    <t>Waterbeach Comm Primary School; (2048)</t>
  </si>
  <si>
    <t>30EP2054</t>
  </si>
  <si>
    <t>Willingham Primary School; (2054)</t>
  </si>
  <si>
    <t>30EP2057</t>
  </si>
  <si>
    <t>Ditton Lodge Community Primary School; Newmarket ;(2057)</t>
  </si>
  <si>
    <t>30EP2058</t>
  </si>
  <si>
    <t>Bar Hill Comm Primary School; (2058)</t>
  </si>
  <si>
    <t>30EP2059</t>
  </si>
  <si>
    <t>The Meridian Primary School; (2059)</t>
  </si>
  <si>
    <t>30EP2060</t>
  </si>
  <si>
    <t>Benwick Primary School; (2060)</t>
  </si>
  <si>
    <t>30EP2064</t>
  </si>
  <si>
    <t>Townley Primary School; (2064)</t>
  </si>
  <si>
    <t>30EP2065</t>
  </si>
  <si>
    <t>Coates Primary School; ; (2065)</t>
  </si>
  <si>
    <t>30EP2066</t>
  </si>
  <si>
    <t>Lionel Walden Primary School;(2066)</t>
  </si>
  <si>
    <t>30EP2068</t>
  </si>
  <si>
    <t>Friday Bridge Comm Primary School; (2068)</t>
  </si>
  <si>
    <t>30EP2069</t>
  </si>
  <si>
    <t>Gorefield Primary School; (2069)</t>
  </si>
  <si>
    <t>30EP2070</t>
  </si>
  <si>
    <t>Robert Arkenstall Primary School; (2070)</t>
  </si>
  <si>
    <t>30EP2074</t>
  </si>
  <si>
    <t>Littleport Comm Primary School; (2074)</t>
  </si>
  <si>
    <t>30EP2075</t>
  </si>
  <si>
    <t>Manea Comm Primary School; (2075)</t>
  </si>
  <si>
    <t>30EP2077</t>
  </si>
  <si>
    <t>Maple Grove Infant School; March ;(2077)</t>
  </si>
  <si>
    <t>30EP2079</t>
  </si>
  <si>
    <t>Westwood Primary; (2079)</t>
  </si>
  <si>
    <t>30EP2082</t>
  </si>
  <si>
    <t>Beaupre Comm Primary School; (2082)</t>
  </si>
  <si>
    <t>30EP2083</t>
  </si>
  <si>
    <t>Payne Primary School; (2083)</t>
  </si>
  <si>
    <t>30EP2084</t>
  </si>
  <si>
    <t>Stretham Comm Primary School; (2084)</t>
  </si>
  <si>
    <t>30EP2090</t>
  </si>
  <si>
    <t>Thomas Eaton Primary School; March ;(2090)</t>
  </si>
  <si>
    <t>30EP2091</t>
  </si>
  <si>
    <t>Clarkson Infant School; (2091)</t>
  </si>
  <si>
    <t>30EP2107</t>
  </si>
  <si>
    <t>Morley Memorial Primary School; (2107)</t>
  </si>
  <si>
    <t>30EP2109</t>
  </si>
  <si>
    <t>Newnham Croft Primary School; (2109)</t>
  </si>
  <si>
    <t>30EP2115</t>
  </si>
  <si>
    <t>Shirley Community Nursery &amp; Primary School; (2115)</t>
  </si>
  <si>
    <t>30EP2118</t>
  </si>
  <si>
    <t>Arbury Primary School; (2118)</t>
  </si>
  <si>
    <t>30EP2119</t>
  </si>
  <si>
    <t>Colville Primary School; (2119)</t>
  </si>
  <si>
    <t>30EP2121</t>
  </si>
  <si>
    <t>Mayfield Primary School; (2121)</t>
  </si>
  <si>
    <t>30EP2123</t>
  </si>
  <si>
    <t>The Grove Primary School; (2123)</t>
  </si>
  <si>
    <t>30EP2200</t>
  </si>
  <si>
    <t>Bottisham Comm Primary School; (2200)</t>
  </si>
  <si>
    <t>30EP2202</t>
  </si>
  <si>
    <t>The Icknield Primary School; (2202)</t>
  </si>
  <si>
    <t>30EP2204</t>
  </si>
  <si>
    <t>Linton Heights Junior School; Cambridge ;(3317)</t>
  </si>
  <si>
    <t>30EP2205</t>
  </si>
  <si>
    <t>Hauxton Primary School; (2205)</t>
  </si>
  <si>
    <t>30EP2206</t>
  </si>
  <si>
    <t>Cavalry Primary School; March ;(2206)</t>
  </si>
  <si>
    <t>30EP2208</t>
  </si>
  <si>
    <t>Fenstanton and Hilton Primary School; (2208)</t>
  </si>
  <si>
    <t>30EP2211</t>
  </si>
  <si>
    <t>Hemingford Grey Primary School; (2211)</t>
  </si>
  <si>
    <t>30EP2212</t>
  </si>
  <si>
    <t>Houghton Primary School; (2212)</t>
  </si>
  <si>
    <t>30EP2214</t>
  </si>
  <si>
    <t>Offord Primary School; (2214)</t>
  </si>
  <si>
    <t>30EP2216</t>
  </si>
  <si>
    <t>Spinning Infant School; Huntingdon ;(2216)</t>
  </si>
  <si>
    <t>30EP2217</t>
  </si>
  <si>
    <t>The Ashbeach Primary School; (2217)</t>
  </si>
  <si>
    <t>30EP2218</t>
  </si>
  <si>
    <t>Ramsey Junior School; Huntingdon ;(2218)</t>
  </si>
  <si>
    <t>30EP2219</t>
  </si>
  <si>
    <t>Priory Park Infant School; (2219)</t>
  </si>
  <si>
    <t>30EP2220</t>
  </si>
  <si>
    <t>Sawtry Junior School; Huntingdon ;(2220)</t>
  </si>
  <si>
    <t>30EP2221</t>
  </si>
  <si>
    <t>Somersham Primary School; (2221)</t>
  </si>
  <si>
    <t>30EP2222</t>
  </si>
  <si>
    <t>Spaldwick Primary School; (2222)</t>
  </si>
  <si>
    <t>30EP2226</t>
  </si>
  <si>
    <t>Upwood Primary School; (2226)</t>
  </si>
  <si>
    <t>30EP2229</t>
  </si>
  <si>
    <t>Hartford Junior School; Huntingdon ;(2229)</t>
  </si>
  <si>
    <t>30EP2232</t>
  </si>
  <si>
    <t>Westfield Junior School; (2232)</t>
  </si>
  <si>
    <t>30EP2239</t>
  </si>
  <si>
    <t>Priory Junior School; (2239)</t>
  </si>
  <si>
    <t>30EP2240</t>
  </si>
  <si>
    <t>Wyton Primary School; (2240)</t>
  </si>
  <si>
    <t>30EP2246</t>
  </si>
  <si>
    <t>Eastfield Infant and Nursery School; (2246)</t>
  </si>
  <si>
    <t>30EP2252</t>
  </si>
  <si>
    <t>Hartford Infants' School; Huntingdon ;(2252)</t>
  </si>
  <si>
    <t>30EP2254</t>
  </si>
  <si>
    <t>Yaxley Infant School; (2254)</t>
  </si>
  <si>
    <t>30EP2255</t>
  </si>
  <si>
    <t>Sawtry Infants' School; (2255)</t>
  </si>
  <si>
    <t>30EP2256</t>
  </si>
  <si>
    <t>Warboys Comm Primary School; (2256)</t>
  </si>
  <si>
    <t>30EP2260</t>
  </si>
  <si>
    <t>The Newton Primary School; (2260)</t>
  </si>
  <si>
    <t>30EP2293</t>
  </si>
  <si>
    <t>Little Paxton Primary School; (2293)</t>
  </si>
  <si>
    <t>30EP2299</t>
  </si>
  <si>
    <t>Earith Primary School; Huntingdon ;(2299)</t>
  </si>
  <si>
    <t>30EP2312</t>
  </si>
  <si>
    <t>Bewick Bridge Community Primary School; (2312)</t>
  </si>
  <si>
    <t>30EP2315</t>
  </si>
  <si>
    <t>Hardwick and Cambourne Comm Primary School; (2315)</t>
  </si>
  <si>
    <t>30EP2317</t>
  </si>
  <si>
    <t>St Matthew's Primary School; (2317)</t>
  </si>
  <si>
    <t>30EP2321</t>
  </si>
  <si>
    <t>Fourfields Primary School; (2321)</t>
  </si>
  <si>
    <t>30EP2327</t>
  </si>
  <si>
    <t>Burwell VC (Primary); (2327)</t>
  </si>
  <si>
    <t>30EP2328</t>
  </si>
  <si>
    <t>Fulbourn Primary School; (2328)</t>
  </si>
  <si>
    <t>30EP2329</t>
  </si>
  <si>
    <t>Spring Meadow Infant School; (2329)</t>
  </si>
  <si>
    <t>30EP2331</t>
  </si>
  <si>
    <t>Kinderley Primary School; (2331)</t>
  </si>
  <si>
    <t>30EP2333</t>
  </si>
  <si>
    <t>Queen Edith Comm Primary School; (2333)</t>
  </si>
  <si>
    <t>30EP2335</t>
  </si>
  <si>
    <t>The Spinney Primary School; (2335)</t>
  </si>
  <si>
    <t>30EP2336</t>
  </si>
  <si>
    <t>Fawcett Primary School; (2336)</t>
  </si>
  <si>
    <t>30EP2339</t>
  </si>
  <si>
    <t>The Weatheralls Primary School; Ely ;(2339)</t>
  </si>
  <si>
    <t>30EP2442</t>
  </si>
  <si>
    <t>Kettlefields Primary School; (2442)</t>
  </si>
  <si>
    <t>30EP2443</t>
  </si>
  <si>
    <t>Stukeley Meadows Primary School; (2443)</t>
  </si>
  <si>
    <t>30EP2444</t>
  </si>
  <si>
    <t>Ely St John's Comm Primary School; (2444)</t>
  </si>
  <si>
    <t>30EP2446</t>
  </si>
  <si>
    <t>Kings Hedges Primary School; (2446)</t>
  </si>
  <si>
    <t>30EP2447</t>
  </si>
  <si>
    <t>The Millfield Primary School; Ely ;(2447)</t>
  </si>
  <si>
    <t>30EP2448</t>
  </si>
  <si>
    <t>Glebelands Primary School; Chatteris; (2448)</t>
  </si>
  <si>
    <t>30EP2449</t>
  </si>
  <si>
    <t>Monkfield Park Primary School; (2449)</t>
  </si>
  <si>
    <t>30EP2450</t>
  </si>
  <si>
    <t>Abbey Meadows Community Primary School; (2450)</t>
  </si>
  <si>
    <t>30EP2452</t>
  </si>
  <si>
    <t>Bushmead Primary School; (2452)</t>
  </si>
  <si>
    <t>30EP2453</t>
  </si>
  <si>
    <t>Ridgefield; (2113)</t>
  </si>
  <si>
    <t>30EP2454</t>
  </si>
  <si>
    <t>Thongsley Fields Nursery &amp; Primary School; (2248)</t>
  </si>
  <si>
    <t>30EP3000</t>
  </si>
  <si>
    <t>Babraham CofE Primary School; Cambridge; (3000)</t>
  </si>
  <si>
    <t>30EP3001</t>
  </si>
  <si>
    <t>Barrington CofE VC Primary School; (3001)</t>
  </si>
  <si>
    <t>30EP3004</t>
  </si>
  <si>
    <t>Burrough Green CofE Primary School; (3004)</t>
  </si>
  <si>
    <t>30EP3008</t>
  </si>
  <si>
    <t>Castle Camps CofE VC Primary School; (3008)</t>
  </si>
  <si>
    <t>30EP3009</t>
  </si>
  <si>
    <t>Cheveley CofE Primary School; (3009)</t>
  </si>
  <si>
    <t>30EP3011</t>
  </si>
  <si>
    <t>Coton CofE VC Primary School; (3011)</t>
  </si>
  <si>
    <t>30EP3012</t>
  </si>
  <si>
    <t>Dry Drayton CofE (C) Primary School; (3012)</t>
  </si>
  <si>
    <t>30EP3014</t>
  </si>
  <si>
    <t>Fordham CofE Primary School; (3014)</t>
  </si>
  <si>
    <t>30EP3017</t>
  </si>
  <si>
    <t>Great Wilbraham CofE Primary School; (3017)</t>
  </si>
  <si>
    <t>30EP3018</t>
  </si>
  <si>
    <t>Guilden Morden CofE Primary School; Royston ;(3018)</t>
  </si>
  <si>
    <t>30EP3022</t>
  </si>
  <si>
    <t>Isleham Church of England Primary School; (3022)</t>
  </si>
  <si>
    <t>30EP3026</t>
  </si>
  <si>
    <t>Milton CofE VC Primary School; Cambridge ;(3026)</t>
  </si>
  <si>
    <t>30EP3029</t>
  </si>
  <si>
    <t>Steeple Morden CofE VC Primary School; (3029)</t>
  </si>
  <si>
    <t>30EP3030</t>
  </si>
  <si>
    <t>Swaffham Prior CofE Primary School; (3030)</t>
  </si>
  <si>
    <t>30EP3032</t>
  </si>
  <si>
    <t>William Westley CofE VC Primary School; (3032)</t>
  </si>
  <si>
    <t>30EP3035</t>
  </si>
  <si>
    <t>Haslingfield Endowed Primary School; (3035)</t>
  </si>
  <si>
    <t>30EP3037</t>
  </si>
  <si>
    <t>Swaffham Bulbeck CofE Primary School; (3037)</t>
  </si>
  <si>
    <t>30EP3041</t>
  </si>
  <si>
    <t>Duxford CofE Comm Primary School; (3041)</t>
  </si>
  <si>
    <t>30EP3044</t>
  </si>
  <si>
    <t>Downham Feoffees Primary School; Ely ;(3044)</t>
  </si>
  <si>
    <t>30EP3046</t>
  </si>
  <si>
    <t>Elm CofE Primary School; Wisbech ;(3046)</t>
  </si>
  <si>
    <t>30EP3050</t>
  </si>
  <si>
    <t>Cherry Hinton CofE Primary School; (3050)</t>
  </si>
  <si>
    <t>30EP3052</t>
  </si>
  <si>
    <t>Sutton CofE VC Primary School; (3052)</t>
  </si>
  <si>
    <t>30EP3053</t>
  </si>
  <si>
    <t>Little Thetford CofE VC Primary School; (3053)</t>
  </si>
  <si>
    <t>30EP3054</t>
  </si>
  <si>
    <t>Wilburton CofE Primary School; (3054)</t>
  </si>
  <si>
    <t>30EP3056</t>
  </si>
  <si>
    <t>Guyhirn CofE VC Primary School; Wisbech ;(3056)</t>
  </si>
  <si>
    <t>30EP3058</t>
  </si>
  <si>
    <t>The Rackham CofE Primary School; (3058)</t>
  </si>
  <si>
    <t>30EP3061</t>
  </si>
  <si>
    <t>Alconbury CofE Primary School; (3061)</t>
  </si>
  <si>
    <t>30EP3064</t>
  </si>
  <si>
    <t>Farcet CofE Primary School; (3064)</t>
  </si>
  <si>
    <t>30EP3065</t>
  </si>
  <si>
    <t>Folksworth CofE Primary School; (3065)</t>
  </si>
  <si>
    <t>30EP3066</t>
  </si>
  <si>
    <t>Great Gidding CofE Primary School; (3066)</t>
  </si>
  <si>
    <t>30EP3067</t>
  </si>
  <si>
    <t>Barnabas Oley CofE Primary School;(3067)</t>
  </si>
  <si>
    <t>30EP3068</t>
  </si>
  <si>
    <t>Great Paxton CofE VC Primary School; (3068)</t>
  </si>
  <si>
    <t>30EP3070</t>
  </si>
  <si>
    <t>Holme CofE Primary School; (3070)</t>
  </si>
  <si>
    <t>30EP3071</t>
  </si>
  <si>
    <t>Holywell CofE Primary School ;(3071)</t>
  </si>
  <si>
    <t>30EP3072</t>
  </si>
  <si>
    <t>St John's CofE Primary School; Huntingdon ;(3072)</t>
  </si>
  <si>
    <t>30EP3074</t>
  </si>
  <si>
    <t>Eynesbury CofE C Primary School; (3074)</t>
  </si>
  <si>
    <t>30EP3075</t>
  </si>
  <si>
    <t>Stilton CofE VC Primary School; (3075)</t>
  </si>
  <si>
    <t>30EP3081</t>
  </si>
  <si>
    <t>Brington CofE Primary School; (3081)</t>
  </si>
  <si>
    <t>30EP3083</t>
  </si>
  <si>
    <t>St Andrew's CofE Primary School; Ely; (3083)</t>
  </si>
  <si>
    <t>30EP3301</t>
  </si>
  <si>
    <t>Barton CofE VA Primary School; (3301)</t>
  </si>
  <si>
    <t>30EP3302</t>
  </si>
  <si>
    <t>Northstowe First Primary School - Primary</t>
  </si>
  <si>
    <t>30EP3308</t>
  </si>
  <si>
    <t>Elsworth CofE VA Primary School; (3308)</t>
  </si>
  <si>
    <t>30EP3310</t>
  </si>
  <si>
    <t>Great and Little Shelford CofE Primary School; (3310)</t>
  </si>
  <si>
    <t>30EP3317</t>
  </si>
  <si>
    <t>Linton Infants School; (2204)</t>
  </si>
  <si>
    <t>30EP3321</t>
  </si>
  <si>
    <t>Oakington CofE VA Primary School; (3321)</t>
  </si>
  <si>
    <t>30EP3325</t>
  </si>
  <si>
    <t>Teversham CofE VA Primary School; (3325)</t>
  </si>
  <si>
    <t>30EP3326</t>
  </si>
  <si>
    <t>Thriplow CofE VA Primary School; Royston ;(3326)</t>
  </si>
  <si>
    <t>30EP3331</t>
  </si>
  <si>
    <t>Petersfield CofE Aided Primary School; (3331)</t>
  </si>
  <si>
    <t>30EP3350</t>
  </si>
  <si>
    <t>Park Street CofE Primary School; (3350)</t>
  </si>
  <si>
    <t>30EP3352</t>
  </si>
  <si>
    <t>St Luke's CofE Primary School; (3352)</t>
  </si>
  <si>
    <t>30EP3356</t>
  </si>
  <si>
    <t>St Pauls CofE VA Primary School; (3356)</t>
  </si>
  <si>
    <t>30EP3358</t>
  </si>
  <si>
    <t>St Philip's CofE Aided Primary School; (3358)</t>
  </si>
  <si>
    <t>30EP3360</t>
  </si>
  <si>
    <t>St Alban's RC Primary School; (3360)</t>
  </si>
  <si>
    <t>30EP3366</t>
  </si>
  <si>
    <t>St Laurence's RC Primary School; (3366)</t>
  </si>
  <si>
    <t>30EP3368</t>
  </si>
  <si>
    <t>The Elton CofE Primary School; (3368)</t>
  </si>
  <si>
    <t>30EP3373</t>
  </si>
  <si>
    <t>Abbots Ripton CofE Primary School; (3373)</t>
  </si>
  <si>
    <t>30EP3384</t>
  </si>
  <si>
    <t>St Anne's CofE Primary School; (3384)</t>
  </si>
  <si>
    <t>30EP3386</t>
  </si>
  <si>
    <t>Milton Road Primary School;(3386)</t>
  </si>
  <si>
    <t>30EP3387</t>
  </si>
  <si>
    <t>The Lantern (Ely)</t>
  </si>
  <si>
    <t>30EP3389</t>
  </si>
  <si>
    <t>THE VINE; (3389)</t>
  </si>
  <si>
    <t>30EP3390</t>
  </si>
  <si>
    <t>Orchard Park Primary School; (3390)</t>
  </si>
  <si>
    <t>30EP3392</t>
  </si>
  <si>
    <t>Wheatfields Primary School; (3392)</t>
  </si>
  <si>
    <t>30EP3885</t>
  </si>
  <si>
    <t>Orchards C of E Primary</t>
  </si>
  <si>
    <t>30EP3942</t>
  </si>
  <si>
    <t>Brampton Primary; (3942)</t>
  </si>
  <si>
    <t>30EP3943</t>
  </si>
  <si>
    <t>Bellbird Primary School; (3943)</t>
  </si>
  <si>
    <t>30EP3945</t>
  </si>
  <si>
    <t>Huntingdon Primary School; (3945)</t>
  </si>
  <si>
    <t>30EP3946</t>
  </si>
  <si>
    <t>Queen Emma Primary School; (2333)</t>
  </si>
  <si>
    <t>30EP5200</t>
  </si>
  <si>
    <t>St Helen's Primary School; (5200)</t>
  </si>
  <si>
    <t>30EP5201</t>
  </si>
  <si>
    <t>The Park Lane (Foundation) Prim School; Peterborough; (5201)</t>
  </si>
  <si>
    <t>30EP5205</t>
  </si>
  <si>
    <t>Jeavon's Wood Primary School</t>
  </si>
  <si>
    <t>30EP6130</t>
  </si>
  <si>
    <t>New Cambourne Primary (adjacent to Cam VC)</t>
  </si>
  <si>
    <t>30ES4010</t>
  </si>
  <si>
    <t>Trumpington Community College; (4010)</t>
  </si>
  <si>
    <t>30ES4028</t>
  </si>
  <si>
    <t>Northstowe Secondary College ;(4028)</t>
  </si>
  <si>
    <t>30ES7000</t>
  </si>
  <si>
    <t>Trinity School</t>
  </si>
  <si>
    <t>30ES7001</t>
  </si>
  <si>
    <t>Harbour School; (7001)</t>
  </si>
  <si>
    <t>30ES7007</t>
  </si>
  <si>
    <t>Highfield Special School; Ely ;(7007)</t>
  </si>
  <si>
    <t>30ES7021</t>
  </si>
  <si>
    <t>Meadowgate School; Wisbech ;(7021)</t>
  </si>
  <si>
    <t>30ES7023</t>
  </si>
  <si>
    <t>Samuel Pepys School; (7023)</t>
  </si>
  <si>
    <t>30ES7025</t>
  </si>
  <si>
    <t>Granta Special School; (7025)</t>
  </si>
  <si>
    <t>30ES7026</t>
  </si>
  <si>
    <t>Castle Special School; (7026)</t>
  </si>
  <si>
    <t>30ZVBWEB</t>
  </si>
  <si>
    <t>IMS - Web Payments</t>
  </si>
  <si>
    <t>How to Print Screen a Proposed CFR Report</t>
  </si>
  <si>
    <t>The "Print Screen" function button can be found on the top row on every PC keypad.  Please use the 'Print Screen Sys Rq' key, shown here in pink.</t>
  </si>
  <si>
    <t>Esc</t>
  </si>
  <si>
    <t>F1</t>
  </si>
  <si>
    <t>F4</t>
  </si>
  <si>
    <t>F5</t>
  </si>
  <si>
    <t>F12</t>
  </si>
  <si>
    <t>Print</t>
  </si>
  <si>
    <t>Scroll</t>
  </si>
  <si>
    <t>Pause</t>
  </si>
  <si>
    <t>Screen</t>
  </si>
  <si>
    <t>Lock</t>
  </si>
  <si>
    <t>Break</t>
  </si>
  <si>
    <t>Sys Rq</t>
  </si>
  <si>
    <t>Within your finance system bring up the report "Proposed CFR" onto the screen.</t>
  </si>
  <si>
    <t>Do not print the report, but press the Print Screen Sys Rq key on your key pad.</t>
  </si>
  <si>
    <t>Then go to the sheet in this file entitled 'PRINT SCREEN CFR' (yellow tab), click any cell at the top of the page, then right click the mouse and select paste.</t>
  </si>
  <si>
    <t>There will be 3 pages to this report, repeat this process and paste each page below the previous page.</t>
  </si>
  <si>
    <t>If this is successful, you do not need to send a paper copy to the School Funding Team.</t>
  </si>
  <si>
    <t>Authorisation of the School's Budget Monitoring Return</t>
  </si>
  <si>
    <t>Schools are not required to submit a signed hard copy authorisation form. However, schools are required to appropriately authorise budget monitoring returns prior to submission. Failure to do will result in the school being asked to resubmit. Therefore, please complete this authorisation form prior to emailing the full template file to SMER@cambrisgeshire.gov.uk</t>
  </si>
  <si>
    <t>School:</t>
  </si>
  <si>
    <t>DfE Number</t>
  </si>
  <si>
    <t>1) Month you are forecasting</t>
  </si>
  <si>
    <t>position at the end of</t>
  </si>
  <si>
    <t>2) How have you submitted the Proposed CFR Report?</t>
  </si>
  <si>
    <t>PLEASE CHOOSE</t>
  </si>
  <si>
    <t>(Choose from the drop-down menu to the right)</t>
  </si>
  <si>
    <t>3) Has the Governing Body authorised this Return?</t>
  </si>
  <si>
    <t>AUTHORISATION OF THE BUDGET MONITORING RETURN</t>
  </si>
  <si>
    <t>3) By Recording YES in the Box to the right (see drop down)</t>
  </si>
  <si>
    <t>You are confirming that this Budget Monitoring Return has been authorised, following the requirements of the Scheme for Financing Schools.</t>
  </si>
  <si>
    <t>You are also confirming that you are satisfied that this Return gives an accurate reflection of the school's budget position and are satisfied</t>
  </si>
  <si>
    <t>that all relevant sections of the return have been fully completed (please see "Alerts").</t>
  </si>
  <si>
    <t>Please provide details below - overtype  the green fields</t>
  </si>
  <si>
    <t>Name of Person Authorising this Return</t>
  </si>
  <si>
    <t>Position of Person Authorising this Return</t>
  </si>
  <si>
    <t>Date Authorised</t>
  </si>
  <si>
    <t>WHERE RELEVANT - AUTHORISATION OF BUDGET AMENDMENTS (REVISED BUDGET REQUIRES GOVERNOR APPROVAL)</t>
  </si>
  <si>
    <t>4) By Recording YES in the Box to the right (see drop down)</t>
  </si>
  <si>
    <t>You are confirming that the NEW budget revision shown in this Return (column G) have been authorised, following the requirements of the Scheme for Financing Schools.</t>
  </si>
  <si>
    <t>Name of Person Authorising Budget Amendments (Governor)</t>
  </si>
  <si>
    <t>Position of Person Authorising Budget Amendments (Governor)</t>
  </si>
  <si>
    <t>a) SCHOOL'S REVENUE BUDGET</t>
  </si>
  <si>
    <t>Forecast</t>
  </si>
  <si>
    <t>Total Income</t>
  </si>
  <si>
    <t>Total Expenditure</t>
  </si>
  <si>
    <t>In year Surplus/(Deficit)</t>
  </si>
  <si>
    <t>b) COMMUNITY FOCUSED ACTIVITIES REVENUE BUDGET</t>
  </si>
  <si>
    <t>In Year Surplus / Deficit</t>
  </si>
  <si>
    <t>c) SCHOOL'S CAPITAL BUDGET</t>
  </si>
  <si>
    <t>Total Capital Income</t>
  </si>
  <si>
    <t>Total Capital Expenditure</t>
  </si>
  <si>
    <t>In year Capital Surplus/(Deficit)</t>
  </si>
  <si>
    <t>Emailed in this Template</t>
  </si>
  <si>
    <t>Emailed separately</t>
  </si>
  <si>
    <t>GPO Post</t>
  </si>
  <si>
    <t>Caretaker Post</t>
  </si>
  <si>
    <t>Fax</t>
  </si>
  <si>
    <t>YES</t>
  </si>
  <si>
    <t>NO</t>
  </si>
  <si>
    <t>Not Applicable</t>
  </si>
  <si>
    <t>1 YEAR</t>
  </si>
  <si>
    <t>3 YEAR</t>
  </si>
  <si>
    <t>CHOOSE</t>
  </si>
  <si>
    <t>CENTRALLY FUNDED</t>
  </si>
  <si>
    <t>SELF FUNDED</t>
  </si>
  <si>
    <t>Alerts</t>
  </si>
  <si>
    <t>Does your Direct Revenue Financing Expenditure E30 equal your income figure shown in CI04?</t>
  </si>
  <si>
    <t>(you are increasing your carry forward balance - is this deliberate? Do you have a spending plan?)</t>
  </si>
  <si>
    <t>4)</t>
  </si>
  <si>
    <t>Is your forecasted total revenue carry forward balance at March 2025 in excess of the 4% / 6% or £60,000 threshold?</t>
  </si>
  <si>
    <t>Whats our IUB Threshold</t>
  </si>
  <si>
    <t>(you will be required to assign any excess to specific schemes - see sheet d))</t>
  </si>
  <si>
    <t>Is your forecasted School's revenue balance being depleted by more than 50% this year?</t>
  </si>
  <si>
    <t xml:space="preserve">Do you forecast that your School's revenue carry forward balance at March will be a deficit? </t>
  </si>
  <si>
    <t>(how is this position being resolved?)</t>
  </si>
  <si>
    <t>Do you forecast that your Community Focused revenue carry forward balance at March will be a deficit?</t>
  </si>
  <si>
    <t>9)</t>
  </si>
  <si>
    <t>Have the 'pay periods boxes' at the top of the main Budget Monitoring Template been completed?</t>
  </si>
  <si>
    <t>(please complete)</t>
  </si>
  <si>
    <t>10)</t>
  </si>
  <si>
    <t>If your school has IUB Schemes from March 2024 - is sheet c) 'IUB reporting March 2024' complete?</t>
  </si>
  <si>
    <t>Please check that the Budget Monitoring Template includes comments, which explain significant changes and variations</t>
  </si>
  <si>
    <t>CHECK</t>
  </si>
  <si>
    <t>Kings Hedges Educational Federation</t>
  </si>
  <si>
    <t>DfE Number:</t>
  </si>
  <si>
    <t>Phase:</t>
  </si>
  <si>
    <t>Unit4 CostC</t>
  </si>
  <si>
    <t>Position at the end of:</t>
  </si>
  <si>
    <t>Number of Pay Periods included in the Actual</t>
  </si>
  <si>
    <t>Monthly Paid (E01)</t>
  </si>
  <si>
    <t>4 Weekly Paid (E03 - E05)</t>
  </si>
  <si>
    <t>Weekly Paid (E06 - E07)</t>
  </si>
  <si>
    <t>2018/2019</t>
  </si>
  <si>
    <t>Previous Year (2024/25) Actual Outturn (Pre-Populated from CFR)</t>
  </si>
  <si>
    <t>Original  Approved Budget 2025/26 as submitted to SSCT (Pre-Populated)</t>
  </si>
  <si>
    <t>Revised Budget (Pre-populated from SBS Report Col E)</t>
  </si>
  <si>
    <t>Actual Income &amp; Expenditure to date (from SBS report Col F)</t>
  </si>
  <si>
    <t>Actual to Date as a % of Forecast</t>
  </si>
  <si>
    <t>Forecast to the end of the Financial Year (from SBS report Col K)</t>
  </si>
  <si>
    <t>IF BUDGETS ARE REVISED, PLEASE ENSURE ALL CELLS ARE COMPLETED IN COLUMN G FOR BOTH INCOME AND EXPENDITURE</t>
  </si>
  <si>
    <t>CFR</t>
  </si>
  <si>
    <t>TOTAL INCOME</t>
  </si>
  <si>
    <t>£</t>
  </si>
  <si>
    <t>CFR vs  Bud</t>
  </si>
  <si>
    <t>I01</t>
  </si>
  <si>
    <t>Funds Delegated by the Local Authority</t>
  </si>
  <si>
    <t>: Delegated Funds</t>
  </si>
  <si>
    <t>I02</t>
  </si>
  <si>
    <t>Funding for 6th Form Students</t>
  </si>
  <si>
    <t>: Sixth-Form Funding</t>
  </si>
  <si>
    <t>I03</t>
  </si>
  <si>
    <t>High Needs Top Up Funding</t>
  </si>
  <si>
    <t>: High Needs Funding</t>
  </si>
  <si>
    <t>I04</t>
  </si>
  <si>
    <t>Funding for Minority Ethnic Pupils</t>
  </si>
  <si>
    <t>: Funding for Minority Ethnic Pupils</t>
  </si>
  <si>
    <t>I05</t>
  </si>
  <si>
    <t>Pupil Premium</t>
  </si>
  <si>
    <t>: Pupil Premium</t>
  </si>
  <si>
    <t>I06</t>
  </si>
  <si>
    <t>Other Government Grants</t>
  </si>
  <si>
    <t>: Other Government Grants</t>
  </si>
  <si>
    <t>I07</t>
  </si>
  <si>
    <t xml:space="preserve">Other Grants &amp; Payments </t>
  </si>
  <si>
    <t>: Other Grants</t>
  </si>
  <si>
    <t>I08A</t>
  </si>
  <si>
    <t>Income from Letting Premises</t>
  </si>
  <si>
    <t>: Lettings Income</t>
  </si>
  <si>
    <t>I08B</t>
  </si>
  <si>
    <t>Other Income from Facilities and Services</t>
  </si>
  <si>
    <t>: Facilities &amp; Services Income</t>
  </si>
  <si>
    <t>I09</t>
  </si>
  <si>
    <t>Income From Catering</t>
  </si>
  <si>
    <t>: Catering Income</t>
  </si>
  <si>
    <t>I10</t>
  </si>
  <si>
    <t>Receipts from Supply Teachers Insurance Claims</t>
  </si>
  <si>
    <t>: Supply Teacher Insurance Claims</t>
  </si>
  <si>
    <t>I11</t>
  </si>
  <si>
    <t>Receipts from Other Insurance Claims</t>
  </si>
  <si>
    <t>: Other Insurance Claims</t>
  </si>
  <si>
    <t>I12</t>
  </si>
  <si>
    <t>Income from Contributions to Visits etc.</t>
  </si>
  <si>
    <t>: Contributions to visits</t>
  </si>
  <si>
    <t>I13</t>
  </si>
  <si>
    <t>Donations and/or Private Funds</t>
  </si>
  <si>
    <t>: Donations</t>
  </si>
  <si>
    <t>I15</t>
  </si>
  <si>
    <t>Pupil Focused Extended School Funding and/or Grants</t>
  </si>
  <si>
    <t>I18A</t>
  </si>
  <si>
    <t>Not Used in 2025/26</t>
  </si>
  <si>
    <t>: COVID Job Retention Scheme</t>
  </si>
  <si>
    <t>I18B</t>
  </si>
  <si>
    <t>: COVID Reimbursment</t>
  </si>
  <si>
    <t>I18C</t>
  </si>
  <si>
    <t>: COVID Catch Up Grants</t>
  </si>
  <si>
    <t>I18D</t>
  </si>
  <si>
    <t>Not Used in 2025/26 - Income now sits in I06</t>
  </si>
  <si>
    <t>: Additional Grants</t>
  </si>
  <si>
    <t>Total In Year Income</t>
  </si>
  <si>
    <r>
      <t xml:space="preserve">Comment, which explains the Reason for Variance, Budget Revision or substantial difference
</t>
    </r>
    <r>
      <rPr>
        <b/>
        <sz val="14"/>
        <rFont val="Arial"/>
        <family val="2"/>
      </rPr>
      <t>If there are notes in SBS Report, please state this</t>
    </r>
  </si>
  <si>
    <t>TOTAL EXPENDITURE</t>
  </si>
  <si>
    <t>E01</t>
  </si>
  <si>
    <t>Teaching Staff</t>
  </si>
  <si>
    <t>: Teaching Staff</t>
  </si>
  <si>
    <t>E02</t>
  </si>
  <si>
    <t>Supply Teaching Staff</t>
  </si>
  <si>
    <t>: Supply Teaching Staff</t>
  </si>
  <si>
    <t>E03</t>
  </si>
  <si>
    <t>Education Support Staff</t>
  </si>
  <si>
    <t>: Education Support Staff</t>
  </si>
  <si>
    <t>E04</t>
  </si>
  <si>
    <t>Premises Staff</t>
  </si>
  <si>
    <t>: Premises Staff</t>
  </si>
  <si>
    <t>E05</t>
  </si>
  <si>
    <t>Administrative &amp; Clerical Staff</t>
  </si>
  <si>
    <t>: Administrative &amp; Clerical Staff</t>
  </si>
  <si>
    <t>E06</t>
  </si>
  <si>
    <t>Catering Staff</t>
  </si>
  <si>
    <t>: Catering Staff</t>
  </si>
  <si>
    <t>E07</t>
  </si>
  <si>
    <t>Cost of Other Staff</t>
  </si>
  <si>
    <t>: Other Staff</t>
  </si>
  <si>
    <t>E08</t>
  </si>
  <si>
    <t>Indirect Employee Expenses</t>
  </si>
  <si>
    <t>: Indirect Employee Expenses</t>
  </si>
  <si>
    <t>E09</t>
  </si>
  <si>
    <t>Development &amp; Training</t>
  </si>
  <si>
    <t>: Staff Development &amp; Training</t>
  </si>
  <si>
    <t>E10</t>
  </si>
  <si>
    <t>Supply Teacher Insurance</t>
  </si>
  <si>
    <t>: Supply Teacher Insurance</t>
  </si>
  <si>
    <t>E11</t>
  </si>
  <si>
    <t>Staff Related Insurance</t>
  </si>
  <si>
    <t>: Staff Related Insurance</t>
  </si>
  <si>
    <t>E12</t>
  </si>
  <si>
    <t>Building Maintenance &amp; Improvement</t>
  </si>
  <si>
    <t>: Building Maintenance &amp; Improvement</t>
  </si>
  <si>
    <t>E13</t>
  </si>
  <si>
    <t>Grounds Maintenance &amp; Improvement</t>
  </si>
  <si>
    <t>: Grounds Maintenance &amp; Improvement</t>
  </si>
  <si>
    <t>E14</t>
  </si>
  <si>
    <t>Cleaning &amp; Caretaking</t>
  </si>
  <si>
    <t>: Cleaning &amp; Caretaking</t>
  </si>
  <si>
    <t>E15</t>
  </si>
  <si>
    <t>Water &amp; Sewerage</t>
  </si>
  <si>
    <t>: Water &amp; Sewerage</t>
  </si>
  <si>
    <t>E16</t>
  </si>
  <si>
    <t>Energy</t>
  </si>
  <si>
    <t>: Energy</t>
  </si>
  <si>
    <t>E17</t>
  </si>
  <si>
    <t>Rates</t>
  </si>
  <si>
    <t>: Rates</t>
  </si>
  <si>
    <t>E18</t>
  </si>
  <si>
    <t>Other Occupation Costs</t>
  </si>
  <si>
    <t>: Other Occupation Costs</t>
  </si>
  <si>
    <t>E19</t>
  </si>
  <si>
    <t>Learning Resources (not ICT equipment)</t>
  </si>
  <si>
    <t>: Learning Resources (not ICT)</t>
  </si>
  <si>
    <t>E20</t>
  </si>
  <si>
    <t>ICT Learning Resources (cumulative of all new CFR codes)</t>
  </si>
  <si>
    <t>E21</t>
  </si>
  <si>
    <t>Exam fees</t>
  </si>
  <si>
    <t>: Exam Fees</t>
  </si>
  <si>
    <t>E22</t>
  </si>
  <si>
    <t>Administrative Supplies</t>
  </si>
  <si>
    <t>: Administrative Supplies</t>
  </si>
  <si>
    <t>E23</t>
  </si>
  <si>
    <t>Other Insurance Premiums</t>
  </si>
  <si>
    <t>: Other Insurance Premiums</t>
  </si>
  <si>
    <t>E24</t>
  </si>
  <si>
    <t>Special facilities</t>
  </si>
  <si>
    <t>: Special Facilities</t>
  </si>
  <si>
    <t>E25</t>
  </si>
  <si>
    <t>Catering Supplies</t>
  </si>
  <si>
    <t>: Catering Supplies</t>
  </si>
  <si>
    <t>E26</t>
  </si>
  <si>
    <t>Agency Supply Teaching Staff</t>
  </si>
  <si>
    <t>: Agency Supply Teaching Staff</t>
  </si>
  <si>
    <t>E27</t>
  </si>
  <si>
    <t>Bought in Professional Services-Curriculum</t>
  </si>
  <si>
    <t>: Professional Services - Curriculum</t>
  </si>
  <si>
    <t>E28A</t>
  </si>
  <si>
    <t>Bought in Professional Services-Other (except PFI)</t>
  </si>
  <si>
    <t>: Professional Services - Other</t>
  </si>
  <si>
    <t>E28B</t>
  </si>
  <si>
    <t>Bought in Professional Services-Other (PFI)</t>
  </si>
  <si>
    <t>: Professional Services - Other PFI</t>
  </si>
  <si>
    <t>E29</t>
  </si>
  <si>
    <t>Loan Interest</t>
  </si>
  <si>
    <t>: Loan Interest</t>
  </si>
  <si>
    <t>E30</t>
  </si>
  <si>
    <t>Direct Revenue Financing (Includes Loan Repayments)</t>
  </si>
  <si>
    <t>: Contributions to Capital</t>
  </si>
  <si>
    <t>Total In Year Expenditure</t>
  </si>
  <si>
    <t>School's Revenue Balance</t>
  </si>
  <si>
    <t xml:space="preserve">Total In Year Income </t>
  </si>
  <si>
    <t>In Year Surplus/(Deficit) Position</t>
  </si>
  <si>
    <t xml:space="preserve"> </t>
  </si>
  <si>
    <t>Surplus / (Deficit) Brought Forward Revenue (OB01)</t>
  </si>
  <si>
    <t>Cumulative Surplus / (Deficit) Carry Forward (B01 + B02)</t>
  </si>
  <si>
    <t>School's Revenue Balance as a % of I01 - I05 Funding</t>
  </si>
  <si>
    <t>COMMUNITY FOCUSED ACTIVITIES INCOME</t>
  </si>
  <si>
    <t>I16</t>
  </si>
  <si>
    <t>Community Focused School Funding &amp;/or Grants</t>
  </si>
  <si>
    <t>: Community Focused Extended School Funding</t>
  </si>
  <si>
    <t>I17</t>
  </si>
  <si>
    <t>Community Focused School Facilities Income</t>
  </si>
  <si>
    <t>: Community Focused Extended School Facilities Income</t>
  </si>
  <si>
    <t>Total Community Focused Activities Income</t>
  </si>
  <si>
    <t>COMMUNITY FOCUSED ACTIVITIES EXPENDITURE</t>
  </si>
  <si>
    <t>E31</t>
  </si>
  <si>
    <t>Community Focused Schools Staff</t>
  </si>
  <si>
    <t>: Community Focused Extended School Staff</t>
  </si>
  <si>
    <t>E32</t>
  </si>
  <si>
    <t>Community Focused Schools Costs</t>
  </si>
  <si>
    <t>: Community Focused Extended School Costs</t>
  </si>
  <si>
    <t>Total Community Focused Activities Expenditure</t>
  </si>
  <si>
    <t>Community Focused Activities Balance</t>
  </si>
  <si>
    <t>Surplus / (Deficit) Brought Forward Revenue (OB02)</t>
  </si>
  <si>
    <t>Cumulative Surplus / (Deficit) Carry Forward (B06)</t>
  </si>
  <si>
    <t>Total Carry Forward Revenue &amp; Community Focused Balance</t>
  </si>
  <si>
    <t>B01</t>
  </si>
  <si>
    <t>Committed Revenue Balances</t>
  </si>
  <si>
    <t>B02</t>
  </si>
  <si>
    <t>Uncommitted Revenue Balances</t>
  </si>
  <si>
    <t>B06</t>
  </si>
  <si>
    <t>Community Focused Activities Balances</t>
  </si>
  <si>
    <t>Cumulative Surplus / Deficit Balance (B01 + B02 + B06)</t>
  </si>
  <si>
    <t>Total Revenue Balance as a % of I01 - I05 Funding</t>
  </si>
  <si>
    <t>This change expressed as a % of I01 - I05 Funding</t>
  </si>
  <si>
    <t>Capital Income</t>
  </si>
  <si>
    <t>CI01</t>
  </si>
  <si>
    <t xml:space="preserve">Capital Income </t>
  </si>
  <si>
    <t>: Capital Income</t>
  </si>
  <si>
    <t>CI03</t>
  </si>
  <si>
    <t>Voluntary or Private Income</t>
  </si>
  <si>
    <t>: Voluntary or Private Income</t>
  </si>
  <si>
    <t>CI04</t>
  </si>
  <si>
    <t>Direct Revenue Financing (Revenue Capitalisation including for Leases)</t>
  </si>
  <si>
    <t>: Contributions from Revenue</t>
  </si>
  <si>
    <t>Capital Expenditure</t>
  </si>
  <si>
    <t>CE01</t>
  </si>
  <si>
    <t>Acquisition of land and existing buildings</t>
  </si>
  <si>
    <t>: Acquisition of Land &amp; Buildings</t>
  </si>
  <si>
    <t>CE02</t>
  </si>
  <si>
    <t>New construction, conversion and renovation</t>
  </si>
  <si>
    <t>: New Construction &amp; Renovation</t>
  </si>
  <si>
    <t>CE03</t>
  </si>
  <si>
    <t>Vehicles, plant, equipment and machinery</t>
  </si>
  <si>
    <t>: Vehicles, Plant, Equipment &amp; Machinery</t>
  </si>
  <si>
    <t>CE04</t>
  </si>
  <si>
    <t>Information and communications technology (All new CFR Codes)</t>
  </si>
  <si>
    <t>In Year capital balance</t>
  </si>
  <si>
    <t xml:space="preserve">Capital Balance Brought Forward </t>
  </si>
  <si>
    <t>Capital Balance to Carry Forward</t>
  </si>
  <si>
    <t>Please Click on Arrow to Choose School</t>
  </si>
  <si>
    <t>Abbots Ripton CofE Primary School</t>
  </si>
  <si>
    <t>Primary</t>
  </si>
  <si>
    <t>Alconbury CofE Primary School</t>
  </si>
  <si>
    <t>Alderman Payne Primary School</t>
  </si>
  <si>
    <t>Arbury Primary School</t>
  </si>
  <si>
    <t>Ashbeach Primary School</t>
  </si>
  <si>
    <t>Barnabas Oley CofE Primary school</t>
  </si>
  <si>
    <t>Barrington CofE VC Primary School</t>
  </si>
  <si>
    <t>Barton CofE VA Primary School</t>
  </si>
  <si>
    <t>Bassingbourn Primary School</t>
  </si>
  <si>
    <t>Beaupre Community Primary School</t>
  </si>
  <si>
    <t>Bellbird Primary School</t>
  </si>
  <si>
    <t>Benwick Primary School</t>
  </si>
  <si>
    <t>Bewick Bridge Community Primary School</t>
  </si>
  <si>
    <t>Brampton Village Primary School</t>
  </si>
  <si>
    <t>Brington CofE Primary School</t>
  </si>
  <si>
    <t>Brunswick Nursery School</t>
  </si>
  <si>
    <t>Nursery</t>
  </si>
  <si>
    <t>Burwell Village College (Primary)</t>
  </si>
  <si>
    <t>Bushmead Primary School</t>
  </si>
  <si>
    <t>Caldecote Primary School</t>
  </si>
  <si>
    <t>Castle Camps Church of England (Controlled) Primary School</t>
  </si>
  <si>
    <t>Castle School, Cambridge</t>
  </si>
  <si>
    <t>Special</t>
  </si>
  <si>
    <t>Cherry Hinton Church of England Voluntary Controlled Primary School</t>
  </si>
  <si>
    <t>Cheveley CofE Primary School</t>
  </si>
  <si>
    <t>Clarkson Infants School</t>
  </si>
  <si>
    <t>Coates Primary School</t>
  </si>
  <si>
    <t>Colleges Nursery School</t>
  </si>
  <si>
    <t>Colville Primary School</t>
  </si>
  <si>
    <t>Coton Church of England (Voluntary Controlled) Primary School</t>
  </si>
  <si>
    <t>Cottenham Primary School</t>
  </si>
  <si>
    <t>Dry Drayton CofE (C) Primary School</t>
  </si>
  <si>
    <t>Duxford Church of England Community Primary School</t>
  </si>
  <si>
    <t>Eastfield Infant and Nursery School</t>
  </si>
  <si>
    <t>Elsworth CofE VA Primary School</t>
  </si>
  <si>
    <t>Elton CofE Primary School of the Foundation of Frances and Jane Proby</t>
  </si>
  <si>
    <t>Ely St John's Community Primary School</t>
  </si>
  <si>
    <t>Eynesbury CofE C Primary School</t>
  </si>
  <si>
    <t>Fen Drayton Primary School</t>
  </si>
  <si>
    <t>Fenstanton and Hilton Primary School</t>
  </si>
  <si>
    <t>Folksworth CofE Primary School</t>
  </si>
  <si>
    <t>Fordham CofE Primary School</t>
  </si>
  <si>
    <t>Fourfields Community Primary School</t>
  </si>
  <si>
    <t>Fowlmere Primary School</t>
  </si>
  <si>
    <t>Foxton Primary School</t>
  </si>
  <si>
    <t>Friday Bridge Community Primary School</t>
  </si>
  <si>
    <t>Fulbourn Primary School</t>
  </si>
  <si>
    <t>Granta School</t>
  </si>
  <si>
    <t>Great Abington Primary School</t>
  </si>
  <si>
    <t>Great and Little Shelford CofE (Aided) Primary School</t>
  </si>
  <si>
    <t>Great Paxton CofE Primary School</t>
  </si>
  <si>
    <t>Hardwick and Cambourne Community Primary School</t>
  </si>
  <si>
    <t>Harston and Newton Community Primary School</t>
  </si>
  <si>
    <t>Haslingfield Endowed Primary School</t>
  </si>
  <si>
    <t>Hauxton Primary School</t>
  </si>
  <si>
    <t>Hemingford Grey Primary School</t>
  </si>
  <si>
    <t>Histon Early Years Centre</t>
  </si>
  <si>
    <t>Holywell CofE Primary School</t>
  </si>
  <si>
    <t>Homerton Early Years Centre</t>
  </si>
  <si>
    <t>Houghton Primary School</t>
  </si>
  <si>
    <t>Huntingdon Nursery School</t>
  </si>
  <si>
    <t>Huntingdon Primary School</t>
  </si>
  <si>
    <t>Isleham Church of England Primary School</t>
  </si>
  <si>
    <t>Kettlefields Primary School</t>
  </si>
  <si>
    <t>Kinderley Primary School</t>
  </si>
  <si>
    <t>Linton CofE Infant School</t>
  </si>
  <si>
    <t>Lionel Walden Primary School</t>
  </si>
  <si>
    <t>Little Paxton Primary School</t>
  </si>
  <si>
    <t>Littleport Community Primary School</t>
  </si>
  <si>
    <t>Manea Community Primary School</t>
  </si>
  <si>
    <t>Mayfield Primary School</t>
  </si>
  <si>
    <t>Melbourn Primary School</t>
  </si>
  <si>
    <t>Meldreth Primary School</t>
  </si>
  <si>
    <t>Meridian Primary School</t>
  </si>
  <si>
    <t>Milton Road Primary School</t>
  </si>
  <si>
    <t>Monkfield Park Primary School</t>
  </si>
  <si>
    <t>Morley Memorial Primary School</t>
  </si>
  <si>
    <t>Newnham Croft Primary School</t>
  </si>
  <si>
    <t>Orchard Park Community Primary School</t>
  </si>
  <si>
    <t>Over Primary School</t>
  </si>
  <si>
    <t>Park Street CofE Primary School</t>
  </si>
  <si>
    <t>Pendragon Community Primary School</t>
  </si>
  <si>
    <t>Petersfield CofE Aided Primary School</t>
  </si>
  <si>
    <t>Priory Junior School</t>
  </si>
  <si>
    <t>Priory Park Infant School &amp; Preschool</t>
  </si>
  <si>
    <t>Queen Edith Primary School</t>
  </si>
  <si>
    <t xml:space="preserve">Queen Emma Primary School </t>
  </si>
  <si>
    <t>Ridgefield Primary School</t>
  </si>
  <si>
    <t>Robert Arkenstall Primary School</t>
  </si>
  <si>
    <t>Samuel Pepys School</t>
  </si>
  <si>
    <t>Sawtry Infants' School</t>
  </si>
  <si>
    <t>Shirley Community Primary School</t>
  </si>
  <si>
    <t>Spring Meadow Infant School</t>
  </si>
  <si>
    <t>St Anne's CofE Primary School</t>
  </si>
  <si>
    <t>St Helen's primary School</t>
  </si>
  <si>
    <t>NA</t>
  </si>
  <si>
    <t>St Matthew's Primary School</t>
  </si>
  <si>
    <t>St Pauls CofE VA Primary School</t>
  </si>
  <si>
    <t>St Philip's CofE Aided Primary School</t>
  </si>
  <si>
    <t>Steeple Morden CofE VC Primary School</t>
  </si>
  <si>
    <t>Stretham Community Primary School</t>
  </si>
  <si>
    <t>Stukeley Meadows Primary School</t>
  </si>
  <si>
    <t>Sutton CofE VC Primary School</t>
  </si>
  <si>
    <t>Swavesey Primary School</t>
  </si>
  <si>
    <t>Teversham CofE VA Primary School</t>
  </si>
  <si>
    <t>The Fields Nursery School</t>
  </si>
  <si>
    <t>The Grove Primary School</t>
  </si>
  <si>
    <t>The Newton Community Primary School</t>
  </si>
  <si>
    <t>The Rackham Church of England Primary School</t>
  </si>
  <si>
    <t>The Spinney Primary School</t>
  </si>
  <si>
    <t>The Vine Inter-Church Primary School</t>
  </si>
  <si>
    <t>Thorndown Primary School</t>
  </si>
  <si>
    <t>Townley Primary School</t>
  </si>
  <si>
    <t>The Trumpington Federation</t>
  </si>
  <si>
    <t>Waterbeach Community Primary School</t>
  </si>
  <si>
    <t>Westfield Junior School</t>
  </si>
  <si>
    <t>Wheatfields Primary School</t>
  </si>
  <si>
    <t>Wilburton CofE Primary School</t>
  </si>
  <si>
    <t>William Westley Church of England VC Primary School</t>
  </si>
  <si>
    <t>Willingham Primary School</t>
  </si>
  <si>
    <t>Wyton on the Hill Community Primary School</t>
  </si>
  <si>
    <t>Yaxley Infant School</t>
  </si>
  <si>
    <t>Spending of Surplus Balances held at 31 March 2024 Assigned to Approved Schemes (IUB)</t>
  </si>
  <si>
    <t xml:space="preserve">If your school, prior to 31 March 2024, submitted a schedule and evidence of your Governing Body's intention to spend your value of revenue carry </t>
  </si>
  <si>
    <t>forward balance held at 1 April 2024, which was in excess of the IUB threshold, then you must complete the section below, showing where your</t>
  </si>
  <si>
    <t>spending on assigned schemes has been included in your 2024/25 budget and the actual spend to date.</t>
  </si>
  <si>
    <t>a) The totals of spending on schemes, pre-populated by the Authority (please note that some schemes may still be subject to SFPG approval)</t>
  </si>
  <si>
    <t>Surplus Balance held at 31 March 2024 to be used as follows</t>
  </si>
  <si>
    <t>Planned Expenditure 2024/25</t>
  </si>
  <si>
    <t>Planned Expenditure 2025/26</t>
  </si>
  <si>
    <t>Planned Expenditure 2026/27</t>
  </si>
  <si>
    <t>Revenue Contribution to an agreed Capital Scheme</t>
  </si>
  <si>
    <t>Revenue Contribution to an agreed Capital Spend to Save Scheme</t>
  </si>
  <si>
    <t>To support costs from a Review of Contracts of a SIGNIFICANT Value in future year (s)</t>
  </si>
  <si>
    <t>To manage a SIGNIFICANT Expansion of Pupil Numbers</t>
  </si>
  <si>
    <t>To Manage the impact of a SIGNIFICANT Budget reduction</t>
  </si>
  <si>
    <t>To Manage Exceptional Circumstances which may cause SIGNIFICANT financial turbulence</t>
  </si>
  <si>
    <t>b) How the 2024/25 figures above are included in your 2024/25 Budget. Please input the actual spend position and any support comments (green highlighted cells)</t>
  </si>
  <si>
    <t>Description of Project</t>
  </si>
  <si>
    <t>Amount in 2024/25</t>
  </si>
  <si>
    <t>Actual Spend to Date</t>
  </si>
  <si>
    <t>Remaing sum to be Spent</t>
  </si>
  <si>
    <t>Comments</t>
  </si>
  <si>
    <t>TOTAL</t>
  </si>
  <si>
    <t>Please contact your School Funding Officer if you have any queries</t>
  </si>
  <si>
    <t>Assigning Excess Balances Forecasted at 31 March 2025</t>
  </si>
  <si>
    <t>If your school is forecasting to hold a revenue balance at 31 March 2025, which is in excess of 4% (Secondary) or 6% (or £60,000 -</t>
  </si>
  <si>
    <t xml:space="preserve">whichever is the higher) (all other schools), then you must start now to consider how this balance is to be assigned to schemes, or how your 2024/25 budget is </t>
  </si>
  <si>
    <t>adjusted to bring the school's balance at 31 March 2025 under these thresholds.</t>
  </si>
  <si>
    <t>a) The reduction in the percentages (the 'thresholds') over which balances are measured to be 'excessive'</t>
  </si>
  <si>
    <t>b) Greater restriction on the types of expenditure for which balances over the thresholds can be held to meet</t>
  </si>
  <si>
    <t>Please refer to the Protocol document for further information. This is available to Download from Bradford Schools Online</t>
  </si>
  <si>
    <t>You are currently forecasting to hold a revenue balance at 31 March 2025 of:</t>
  </si>
  <si>
    <t xml:space="preserve"> The threshold applicable to your school for March 2025 balances is:</t>
  </si>
  <si>
    <t>(Secondary = 4% of I01 - I05 funding; all other schools = 6% or £60,000, whichever is the higher)</t>
  </si>
  <si>
    <t xml:space="preserve"> Your forecasted position against this threshold therefore, is:</t>
  </si>
  <si>
    <t>(a positive figure = you are above the threshold)</t>
  </si>
  <si>
    <t>If you are forecasting now to be above the threshold at 31 March 2015, you need to consider how this balance will be assigned to schemes, recognising the</t>
  </si>
  <si>
    <t>greater restriction that will be placed on the types of schemes that will be approved by the Local Authority, or you must consider how your budget can be adjusted</t>
  </si>
  <si>
    <t>to bring the school's balance under the threshold.</t>
  </si>
  <si>
    <t>Please use the boxes below to outline any schemes that you plan to hold excess balances at 31 March 2025 to support</t>
  </si>
  <si>
    <t>Please note that completing the boxes below DOES NOT constitute a formal IUB submission to the Authority. You are simply giving an indication of possible schemes</t>
  </si>
  <si>
    <t>If you wish to make a formal submssion at this stage, please see the Protocol and speak to a member of School Funding Team.</t>
  </si>
  <si>
    <t>Outline of Project / Scheme</t>
  </si>
  <si>
    <t>Value to be held at 31 March 2025</t>
  </si>
  <si>
    <t>Date by which spend will be completed</t>
  </si>
  <si>
    <t>Description of Scheme</t>
  </si>
  <si>
    <t>Balance held on behalf of other schools or other valid adjustment</t>
  </si>
  <si>
    <t>I01 - I05 Funding</t>
  </si>
  <si>
    <t>Phase</t>
  </si>
  <si>
    <t>Normal Threshold</t>
  </si>
  <si>
    <t>Final Threshold</t>
  </si>
  <si>
    <t>DFE</t>
  </si>
  <si>
    <t>School</t>
  </si>
  <si>
    <t>DfE</t>
  </si>
  <si>
    <t>Total Exp</t>
  </si>
  <si>
    <t>In Yr surplus (deficit)</t>
  </si>
  <si>
    <t>Est b/f bal</t>
  </si>
  <si>
    <t>Total bal</t>
  </si>
  <si>
    <t>TOTAL EXP</t>
  </si>
  <si>
    <t>In Year</t>
  </si>
  <si>
    <t>b/fwd</t>
  </si>
  <si>
    <t>Cumulative</t>
  </si>
  <si>
    <t>BO1</t>
  </si>
  <si>
    <t>BO2</t>
  </si>
  <si>
    <t>BO6</t>
  </si>
  <si>
    <t>total rev. Bal</t>
  </si>
  <si>
    <t>TOTAL CAP INC</t>
  </si>
  <si>
    <t>TOTAL CAP EXP</t>
  </si>
  <si>
    <t>IN YR CAP BAL</t>
  </si>
  <si>
    <t>CAP B/F</t>
  </si>
  <si>
    <t>CAP C/F</t>
  </si>
  <si>
    <t>SAP Boxes fully complete?</t>
  </si>
  <si>
    <t>SAP Monthly</t>
  </si>
  <si>
    <t>SAP 4 Weekly</t>
  </si>
  <si>
    <t>SAP Weekly</t>
  </si>
  <si>
    <t>How submitted CFR</t>
  </si>
  <si>
    <t>Authorisation of Monitor</t>
  </si>
  <si>
    <t>Name</t>
  </si>
  <si>
    <t>Position</t>
  </si>
  <si>
    <t>Date</t>
  </si>
  <si>
    <t>Authorisation of Revised Budget</t>
  </si>
  <si>
    <t>Has the Capital Section Been Completed?</t>
  </si>
  <si>
    <t>Has the March 2024 IUB Section Been Completed?</t>
  </si>
  <si>
    <t>IUB Threshold at March 2025</t>
  </si>
  <si>
    <t>Forecasted Position Against this</t>
  </si>
  <si>
    <t>IUB March 2025 - Scheme 1</t>
  </si>
  <si>
    <t>IUB March 2025 - Scheme 1 Value</t>
  </si>
  <si>
    <t>IUB March 2025 - Scheme 1 Date of spend</t>
  </si>
  <si>
    <t>Scheme 1 Description</t>
  </si>
  <si>
    <t>IUB March 2025 - Scheme 2</t>
  </si>
  <si>
    <t>IUB March 2025 - Scheme 2 Value</t>
  </si>
  <si>
    <t>IUB March 2025 - Scheme 2 Date of spend</t>
  </si>
  <si>
    <t>Scheme 2 Description</t>
  </si>
  <si>
    <t>IUB March 2025 - Scheme 3</t>
  </si>
  <si>
    <t>IUB March 2025 - Scheme 3 Value</t>
  </si>
  <si>
    <t>IUB March 2025 - Scheme 3 Date of spend</t>
  </si>
  <si>
    <t>Scheme 3 Description</t>
  </si>
  <si>
    <t>IUB March 2025 - Scheme 4</t>
  </si>
  <si>
    <t>IUB March 2025 - Scheme 4 Value</t>
  </si>
  <si>
    <t>IUB March 2025 - Scheme 4 Date of spend</t>
  </si>
  <si>
    <t>Scheme 4 Description</t>
  </si>
  <si>
    <t>IUB March 2025 - Scheme 5</t>
  </si>
  <si>
    <t>IUB March 2025 - Scheme 5 Value</t>
  </si>
  <si>
    <t>IUB March 2025 - Scheme 5 Date of spend</t>
  </si>
  <si>
    <t>Scheme 5 Description</t>
  </si>
  <si>
    <t>IUB March 2025 - Scheme 6</t>
  </si>
  <si>
    <t>IUB March 2025 - Scheme 6 Value</t>
  </si>
  <si>
    <t>IUB March 2025 - Scheme 6 Date of spend</t>
  </si>
  <si>
    <t>Scheme 6 Description</t>
  </si>
  <si>
    <t>IUB March 2025 - Scheme 7</t>
  </si>
  <si>
    <t>IUB March 2025 - Scheme 7 Value</t>
  </si>
  <si>
    <t>IUB March 2025 - Scheme 7 Date of spend</t>
  </si>
  <si>
    <t>Scheme 7 Description</t>
  </si>
  <si>
    <t>Alert 1</t>
  </si>
  <si>
    <t>Alert 2</t>
  </si>
  <si>
    <t>Alert 3</t>
  </si>
  <si>
    <t>Alert 4</t>
  </si>
  <si>
    <t>Alert 5</t>
  </si>
  <si>
    <t>Alert 6</t>
  </si>
  <si>
    <t>Alert 7</t>
  </si>
  <si>
    <t>Alert 8</t>
  </si>
  <si>
    <t>Alert 9</t>
  </si>
  <si>
    <t>Alert 10</t>
  </si>
  <si>
    <t>Alert 11</t>
  </si>
  <si>
    <t>Alert 12</t>
  </si>
  <si>
    <t>IUB March 2024 Description</t>
  </si>
  <si>
    <t>IUB March 2024 CFR</t>
  </si>
  <si>
    <t>IUB March 2024 Value</t>
  </si>
  <si>
    <t>IUB March 2024 ATD</t>
  </si>
  <si>
    <t>IUB March 2024 Remaining Balance</t>
  </si>
  <si>
    <t>IUB March 2024 Comments</t>
  </si>
  <si>
    <t>Validation</t>
  </si>
  <si>
    <t>RCCO Balanced</t>
  </si>
  <si>
    <t xml:space="preserve">Increasing Revenue Balance </t>
  </si>
  <si>
    <t xml:space="preserve">Increasing Extended Schools Balance </t>
  </si>
  <si>
    <t>Overall Increase In Extended Schools &amp; Revenue</t>
  </si>
  <si>
    <t>Closing Balance over IUB limit</t>
  </si>
  <si>
    <t>Deficit Budget</t>
  </si>
  <si>
    <t>Depleting balance&gt; 50%</t>
  </si>
  <si>
    <t>LA Funding</t>
  </si>
  <si>
    <t>Allowable limit</t>
  </si>
  <si>
    <t>THIS SHEET IS FOR CCC USE ONLY (COPY PASTE FROM COLUMN C ACROSS - FIGURES WITHIN BORDER)</t>
  </si>
  <si>
    <t>Cost</t>
  </si>
  <si>
    <t>RBJD</t>
  </si>
  <si>
    <t>Abbey Green Nursery School</t>
  </si>
  <si>
    <t>NURSERY</t>
  </si>
  <si>
    <t>RBKX</t>
  </si>
  <si>
    <t>Canterbury Children's Centre and Nursery School</t>
  </si>
  <si>
    <t>RBJQ</t>
  </si>
  <si>
    <t>Hirst Wood Nursery School</t>
  </si>
  <si>
    <t>RBKN</t>
  </si>
  <si>
    <t>Lilycroft Nursery School</t>
  </si>
  <si>
    <t>RBHW</t>
  </si>
  <si>
    <t>Midland Road Nursery School and Children's Centre</t>
  </si>
  <si>
    <t>RBKM</t>
  </si>
  <si>
    <t>St Edmund's Nursery &amp; Childrens Centre</t>
  </si>
  <si>
    <t>RBKQ</t>
  </si>
  <si>
    <t>Strong Close Nursery School and Children's Centre</t>
  </si>
  <si>
    <t>RBHX</t>
  </si>
  <si>
    <t>Addingham Primary School</t>
  </si>
  <si>
    <t>PRIMARY</t>
  </si>
  <si>
    <t>RBKI</t>
  </si>
  <si>
    <t>Aire View Infant School</t>
  </si>
  <si>
    <t>RBGL</t>
  </si>
  <si>
    <t>All Saints' CE Primary School (Bradford)</t>
  </si>
  <si>
    <t>RBFB</t>
  </si>
  <si>
    <t>All Saints' CE Primary School (Ilkley)</t>
  </si>
  <si>
    <t>RBKA</t>
  </si>
  <si>
    <t>Allerton Primary School</t>
  </si>
  <si>
    <t>RBIC</t>
  </si>
  <si>
    <t>Ashlands Primary School</t>
  </si>
  <si>
    <t>RBDS</t>
  </si>
  <si>
    <t>Atlas Community Primary School</t>
  </si>
  <si>
    <t>RBEO</t>
  </si>
  <si>
    <t>Baildon CE Primary School</t>
  </si>
  <si>
    <t>RBKO</t>
  </si>
  <si>
    <t>Bankfoot Primary School</t>
  </si>
  <si>
    <t>RBFO</t>
  </si>
  <si>
    <t>Barkerend Primary School</t>
  </si>
  <si>
    <t>RBGR</t>
  </si>
  <si>
    <t>Ben Rhydding Primary School</t>
  </si>
  <si>
    <t>RBFX</t>
  </si>
  <si>
    <t>Blakehill Primary School</t>
  </si>
  <si>
    <t>RBKU</t>
  </si>
  <si>
    <t>Bowling Park Primary School</t>
  </si>
  <si>
    <t>RBHR</t>
  </si>
  <si>
    <t>Brackenhill Primary School</t>
  </si>
  <si>
    <t>RBFT</t>
  </si>
  <si>
    <t>Bradford Moor Community Primary School</t>
  </si>
  <si>
    <t>RBIF</t>
  </si>
  <si>
    <t>Burley &amp; Woodhead CE Primary School</t>
  </si>
  <si>
    <t>RBFP</t>
  </si>
  <si>
    <t>Burley Oaks Primary School</t>
  </si>
  <si>
    <t>RBDW</t>
  </si>
  <si>
    <t>Byron Primary School</t>
  </si>
  <si>
    <t>RBHL</t>
  </si>
  <si>
    <t>Carrwood Primary School</t>
  </si>
  <si>
    <t>RBJG</t>
  </si>
  <si>
    <t>Cavendish Primary School</t>
  </si>
  <si>
    <t>RBER</t>
  </si>
  <si>
    <t>Clayton CE Primary School</t>
  </si>
  <si>
    <t>RBGA</t>
  </si>
  <si>
    <t>Clayton Village Primary School</t>
  </si>
  <si>
    <t>RBJI</t>
  </si>
  <si>
    <t>Copthorne Primary School</t>
  </si>
  <si>
    <t>RBGN</t>
  </si>
  <si>
    <t>Cottingley Village Primary School</t>
  </si>
  <si>
    <t>RBHM</t>
  </si>
  <si>
    <t>Crossflatts Primary School</t>
  </si>
  <si>
    <t>RBDO</t>
  </si>
  <si>
    <t>Crossley Hall Primary School</t>
  </si>
  <si>
    <t>RBEA</t>
  </si>
  <si>
    <t>Cullingworth Village Primary School</t>
  </si>
  <si>
    <t>RBFI</t>
  </si>
  <si>
    <t>Denholme Primary School</t>
  </si>
  <si>
    <t>RBIQ</t>
  </si>
  <si>
    <t>East Morton CE Primary School</t>
  </si>
  <si>
    <t>RBHB</t>
  </si>
  <si>
    <t>Eastburn Junior and Infant School</t>
  </si>
  <si>
    <t>RBDF</t>
  </si>
  <si>
    <t>Eastwood Primary School</t>
  </si>
  <si>
    <t>RBJY</t>
  </si>
  <si>
    <t>Eldwick Primary School</t>
  </si>
  <si>
    <t>RBGB</t>
  </si>
  <si>
    <t>Fagley Primary School</t>
  </si>
  <si>
    <t>RBFN</t>
  </si>
  <si>
    <t>Farfield Primary</t>
  </si>
  <si>
    <t>RBFL</t>
  </si>
  <si>
    <t>Farnham Primary School</t>
  </si>
  <si>
    <t>RBCU</t>
  </si>
  <si>
    <t>Fearnville Primary School</t>
  </si>
  <si>
    <t>RBFY</t>
  </si>
  <si>
    <t>Foxhill Primary School</t>
  </si>
  <si>
    <t>RBCY</t>
  </si>
  <si>
    <t>Frizinghall Primary School</t>
  </si>
  <si>
    <t>RBKF</t>
  </si>
  <si>
    <t>Girlington Primary School</t>
  </si>
  <si>
    <t>RBKC</t>
  </si>
  <si>
    <t>Glenaire Primary School</t>
  </si>
  <si>
    <t>RBEL</t>
  </si>
  <si>
    <t>Green Lane Primary School</t>
  </si>
  <si>
    <t>RBKG</t>
  </si>
  <si>
    <t>Greengates Primary School</t>
  </si>
  <si>
    <t>RBEQ</t>
  </si>
  <si>
    <t>Grove House Primary School</t>
  </si>
  <si>
    <t>RBIE</t>
  </si>
  <si>
    <t>Harden Primary School</t>
  </si>
  <si>
    <t>RBJK</t>
  </si>
  <si>
    <t>Haworth Primary School</t>
  </si>
  <si>
    <t>RBGK</t>
  </si>
  <si>
    <t>Heaton Primary School</t>
  </si>
  <si>
    <t>RBHG</t>
  </si>
  <si>
    <t>Heaton St Barnabas' CE Primary School</t>
  </si>
  <si>
    <t>RBHJ</t>
  </si>
  <si>
    <t>High Crags Primary School</t>
  </si>
  <si>
    <t>RBFU</t>
  </si>
  <si>
    <t>Hill Top CE Primary School</t>
  </si>
  <si>
    <t>RBJR</t>
  </si>
  <si>
    <t>Hollingwood Primary School</t>
  </si>
  <si>
    <t>RBDM</t>
  </si>
  <si>
    <t>Holybrook Primary School</t>
  </si>
  <si>
    <t>RBDE</t>
  </si>
  <si>
    <t>Holycroft Primary School</t>
  </si>
  <si>
    <t>RDQZ</t>
  </si>
  <si>
    <t>Home Farm Primary School</t>
  </si>
  <si>
    <t>RBDU</t>
  </si>
  <si>
    <t>Horton Grange Primary School</t>
  </si>
  <si>
    <t>RBJW</t>
  </si>
  <si>
    <t>Horton Park Primary School</t>
  </si>
  <si>
    <t>RBDA</t>
  </si>
  <si>
    <t>Hothfield Junior School</t>
  </si>
  <si>
    <t>RBGF</t>
  </si>
  <si>
    <t>Hoyle Court Primary School</t>
  </si>
  <si>
    <t>RBDY</t>
  </si>
  <si>
    <t>Idle CE Primary School</t>
  </si>
  <si>
    <t>RBGX</t>
  </si>
  <si>
    <t>Ingrow Primary School</t>
  </si>
  <si>
    <t>RBJT</t>
  </si>
  <si>
    <t>Iqra Community Primary School</t>
  </si>
  <si>
    <t>RBDI</t>
  </si>
  <si>
    <t>Keelham Primary School</t>
  </si>
  <si>
    <t>RBDB</t>
  </si>
  <si>
    <t>Keighley St Andrew's CE Primary School</t>
  </si>
  <si>
    <t>RBHF</t>
  </si>
  <si>
    <t>Killinghall Primary School</t>
  </si>
  <si>
    <t>RBEE</t>
  </si>
  <si>
    <t>Knowleswood Primary School</t>
  </si>
  <si>
    <t>RBKK</t>
  </si>
  <si>
    <t>Lapage Primary School and Nursery</t>
  </si>
  <si>
    <t>RBDZ</t>
  </si>
  <si>
    <t>Laycock Primary School</t>
  </si>
  <si>
    <t>RBID</t>
  </si>
  <si>
    <t>Lees Primary School</t>
  </si>
  <si>
    <t>RBHZ</t>
  </si>
  <si>
    <t>Ley Top Primary School</t>
  </si>
  <si>
    <t>RBET</t>
  </si>
  <si>
    <t>Lidget Green Primary School</t>
  </si>
  <si>
    <t>RBJV</t>
  </si>
  <si>
    <t>Lilycroft Primary School</t>
  </si>
  <si>
    <t>RBJE</t>
  </si>
  <si>
    <t>Lister Primary School</t>
  </si>
  <si>
    <t>RBIZ</t>
  </si>
  <si>
    <t>Long Lee Primary School</t>
  </si>
  <si>
    <t>RBKE</t>
  </si>
  <si>
    <t>Low Ash Primary School</t>
  </si>
  <si>
    <t>RBKJ</t>
  </si>
  <si>
    <t>Low Moor CE Primary School</t>
  </si>
  <si>
    <t>RBEB</t>
  </si>
  <si>
    <t>Lower Fields Primary School</t>
  </si>
  <si>
    <t>RBCX</t>
  </si>
  <si>
    <t>Margaret McMillan Primary School</t>
  </si>
  <si>
    <t>RBHN</t>
  </si>
  <si>
    <t>Marshfield Primary School</t>
  </si>
  <si>
    <t>RBDX</t>
  </si>
  <si>
    <t>Menston Primary School</t>
  </si>
  <si>
    <t>RBKT</t>
  </si>
  <si>
    <t>Merlin Top Primary</t>
  </si>
  <si>
    <t>RBGE</t>
  </si>
  <si>
    <t>Miriam Lord Community Primary School</t>
  </si>
  <si>
    <t>RBDK</t>
  </si>
  <si>
    <t>Myrtle Park Primary School</t>
  </si>
  <si>
    <t>RBJS</t>
  </si>
  <si>
    <t>Nessfield Primary School</t>
  </si>
  <si>
    <t>RBES</t>
  </si>
  <si>
    <t>Newby Primary School</t>
  </si>
  <si>
    <t>RBEC</t>
  </si>
  <si>
    <t>Newhall Park Primary School</t>
  </si>
  <si>
    <t>RBDC</t>
  </si>
  <si>
    <t>Oakworth Primary School</t>
  </si>
  <si>
    <t>RBJH</t>
  </si>
  <si>
    <t>Oldfield Primary School</t>
  </si>
  <si>
    <t>RBFR</t>
  </si>
  <si>
    <t>Our Lady &amp; St Brendan's Catholic Primary School</t>
  </si>
  <si>
    <t>RBIM</t>
  </si>
  <si>
    <t>Our Lady of Victories Catholic Primary School</t>
  </si>
  <si>
    <t>RBEU</t>
  </si>
  <si>
    <t>Oxenhope CE Primary School</t>
  </si>
  <si>
    <t>RBIX</t>
  </si>
  <si>
    <t>Parkland Primary School</t>
  </si>
  <si>
    <t>RBHU</t>
  </si>
  <si>
    <t>Parkwood Primary School</t>
  </si>
  <si>
    <t>RBGW</t>
  </si>
  <si>
    <t>Peel Park Primary School</t>
  </si>
  <si>
    <t>RBFH</t>
  </si>
  <si>
    <t>Poplars Farm Primary School</t>
  </si>
  <si>
    <t>RBIO</t>
  </si>
  <si>
    <t>Priestthorpe Primary School</t>
  </si>
  <si>
    <t>RBFG</t>
  </si>
  <si>
    <t>Princeville Primary School and Children's Centre</t>
  </si>
  <si>
    <t>RBGD</t>
  </si>
  <si>
    <t>Reevy Hill Primary School</t>
  </si>
  <si>
    <t>RBCW</t>
  </si>
  <si>
    <t>Riddlesden St Mary's CE Primary</t>
  </si>
  <si>
    <t>RBEP</t>
  </si>
  <si>
    <t>Russell Hall Primary School</t>
  </si>
  <si>
    <t>RBEM</t>
  </si>
  <si>
    <t>Saltaire Primary School</t>
  </si>
  <si>
    <t>RBFE</t>
  </si>
  <si>
    <t>Sandal Primary School and Nursery</t>
  </si>
  <si>
    <t>RBGG</t>
  </si>
  <si>
    <t>Sandy Lane Primary School</t>
  </si>
  <si>
    <t>RBGQ</t>
  </si>
  <si>
    <t>Shibden Head Primary School</t>
  </si>
  <si>
    <t>RBFJ</t>
  </si>
  <si>
    <t>Shipley CE Primary School</t>
  </si>
  <si>
    <t>RBGV</t>
  </si>
  <si>
    <t>Shirley Manor Primary School</t>
  </si>
  <si>
    <t>RBFW</t>
  </si>
  <si>
    <t>Southmere Primary School</t>
  </si>
  <si>
    <t>RBHD</t>
  </si>
  <si>
    <t>Springwood Community Primary School</t>
  </si>
  <si>
    <t>RBCT</t>
  </si>
  <si>
    <t>St Anne's Catholic Primary School</t>
  </si>
  <si>
    <t>RBGI</t>
  </si>
  <si>
    <t>St Anthony's Catholic Primary School (Clayton)</t>
  </si>
  <si>
    <t>RBFZ</t>
  </si>
  <si>
    <t>St Anthony's Catholic Primary School (Shipley)</t>
  </si>
  <si>
    <t>RBKD</t>
  </si>
  <si>
    <t>St Clare's Catholic Primary School</t>
  </si>
  <si>
    <t>RBFF</t>
  </si>
  <si>
    <t>St Columba's Catholic Primary School</t>
  </si>
  <si>
    <t>RBGO</t>
  </si>
  <si>
    <t>St Cuthbert &amp; the First Martyrs' Catholic Primary</t>
  </si>
  <si>
    <t>RBEY</t>
  </si>
  <si>
    <t>St Francis' Catholic Primary School</t>
  </si>
  <si>
    <t>RBHV</t>
  </si>
  <si>
    <t>St James' Church Primary School</t>
  </si>
  <si>
    <t>RBIN</t>
  </si>
  <si>
    <t>St John The Evangelist Catholic Primary School</t>
  </si>
  <si>
    <t>RBHH</t>
  </si>
  <si>
    <t>St John's CE Primary School</t>
  </si>
  <si>
    <t>RBJF</t>
  </si>
  <si>
    <t>St Joseph's Catholic Primary School (Bingley)</t>
  </si>
  <si>
    <t>RBGS</t>
  </si>
  <si>
    <t>St Joseph's Catholic Primary School (Bradford)</t>
  </si>
  <si>
    <t>RBFA</t>
  </si>
  <si>
    <t>St Joseph's Catholic Primary School (Keighley)</t>
  </si>
  <si>
    <t>RBIR</t>
  </si>
  <si>
    <t>St Luke's CE Primary School</t>
  </si>
  <si>
    <t>RBIL</t>
  </si>
  <si>
    <t xml:space="preserve">St Mary's and St Peter's Catholic </t>
  </si>
  <si>
    <t>RBFS</t>
  </si>
  <si>
    <t>St Matthew's Catholic Primary School</t>
  </si>
  <si>
    <t>RBJL</t>
  </si>
  <si>
    <t>St Matthew's CE Primary School</t>
  </si>
  <si>
    <t>RBGP</t>
  </si>
  <si>
    <t>St Paul's CE Primary School</t>
  </si>
  <si>
    <t>RBHQ</t>
  </si>
  <si>
    <t>St Philip's CE Primary School</t>
  </si>
  <si>
    <t>RBIS</t>
  </si>
  <si>
    <t>St Stephen's CE Primary School</t>
  </si>
  <si>
    <t>RBGY</t>
  </si>
  <si>
    <t>St Walburga's Catholic Primary School</t>
  </si>
  <si>
    <t>RBGH</t>
  </si>
  <si>
    <t>St William's Catholic Primary School</t>
  </si>
  <si>
    <t>RBFV</t>
  </si>
  <si>
    <t>St Winefride's Catholic Primary School</t>
  </si>
  <si>
    <t>RBDV</t>
  </si>
  <si>
    <t>Stanbury Village School</t>
  </si>
  <si>
    <t>RBGT</t>
  </si>
  <si>
    <t>Steeton Primary School</t>
  </si>
  <si>
    <t>RBIA</t>
  </si>
  <si>
    <t>Stocks Lane Primary School</t>
  </si>
  <si>
    <t>RBCV</t>
  </si>
  <si>
    <t>Swain House Primary School</t>
  </si>
  <si>
    <t>RBJA</t>
  </si>
  <si>
    <t>Thackley Primary School</t>
  </si>
  <si>
    <t>RBGC</t>
  </si>
  <si>
    <t>The Sacred Heart Catholic Primary School</t>
  </si>
  <si>
    <t>RBDD</t>
  </si>
  <si>
    <t>Thornbury Primary School</t>
  </si>
  <si>
    <t>RBHA</t>
  </si>
  <si>
    <t>Thornton Primary School</t>
  </si>
  <si>
    <t>RBEV</t>
  </si>
  <si>
    <t>Thorpe Primary School</t>
  </si>
  <si>
    <t>RBHC</t>
  </si>
  <si>
    <t>Trinity All Saints CE Primary School</t>
  </si>
  <si>
    <t>RBKP</t>
  </si>
  <si>
    <t>Victoria Primary School</t>
  </si>
  <si>
    <t>RBII</t>
  </si>
  <si>
    <t>Wellington Primary School</t>
  </si>
  <si>
    <t>RBJP</t>
  </si>
  <si>
    <t>Westbourne Primary School</t>
  </si>
  <si>
    <t>RBFM</t>
  </si>
  <si>
    <t>Westminster CE Primary School</t>
  </si>
  <si>
    <t>RBFK</t>
  </si>
  <si>
    <t>Whetley Primary School</t>
  </si>
  <si>
    <t>RBGJ</t>
  </si>
  <si>
    <t>Wibsey Primary School</t>
  </si>
  <si>
    <t>RBFQ</t>
  </si>
  <si>
    <t>Wilsden Primary School</t>
  </si>
  <si>
    <t>RBHE</t>
  </si>
  <si>
    <t>Windhill CE Primary School</t>
  </si>
  <si>
    <t>RBJC</t>
  </si>
  <si>
    <t>Woodlands CE Primary School</t>
  </si>
  <si>
    <t>RBHS</t>
  </si>
  <si>
    <t>Woodside Primary School and Children's Centre</t>
  </si>
  <si>
    <t>RBEZ</t>
  </si>
  <si>
    <t>Worth Valley Primary School</t>
  </si>
  <si>
    <t>RBJJ</t>
  </si>
  <si>
    <t>Worthinghead Primary School</t>
  </si>
  <si>
    <t>RBGM</t>
  </si>
  <si>
    <t>Wycliffe CE Primary School</t>
  </si>
  <si>
    <t>RBDL</t>
  </si>
  <si>
    <t>Beckfoot School</t>
  </si>
  <si>
    <t>SECONDARY</t>
  </si>
  <si>
    <t>RBDR</t>
  </si>
  <si>
    <t>Belle Vue Boys' School</t>
  </si>
  <si>
    <t>RBEG</t>
  </si>
  <si>
    <t>Bingley Grammar School</t>
  </si>
  <si>
    <t>RBEF</t>
  </si>
  <si>
    <t>Buttershaw Business &amp; Enterprise College</t>
  </si>
  <si>
    <t>RBEW</t>
  </si>
  <si>
    <t>Carlton Bolling College</t>
  </si>
  <si>
    <t>RBKV</t>
  </si>
  <si>
    <t>Challenge College</t>
  </si>
  <si>
    <t>RBEH</t>
  </si>
  <si>
    <t>Grange Technology College</t>
  </si>
  <si>
    <t>RBJZ</t>
  </si>
  <si>
    <t>Hanson School</t>
  </si>
  <si>
    <t>RBIH</t>
  </si>
  <si>
    <t>Immanuel College</t>
  </si>
  <si>
    <t>RBIB</t>
  </si>
  <si>
    <t>Laisterdyke Business and Enterprise College</t>
  </si>
  <si>
    <t>RBDH</t>
  </si>
  <si>
    <t>Oakbank School</t>
  </si>
  <si>
    <t>RBCQ</t>
  </si>
  <si>
    <t>Parkside School</t>
  </si>
  <si>
    <t>RBGZ</t>
  </si>
  <si>
    <t>Queensbury School</t>
  </si>
  <si>
    <t>RBFC</t>
  </si>
  <si>
    <t>St Bede's Catholic Grammar School</t>
  </si>
  <si>
    <t>RBFD</t>
  </si>
  <si>
    <t>St Joseph's Catholic College</t>
  </si>
  <si>
    <t>RBDG</t>
  </si>
  <si>
    <t>The Holy Family Catholic School</t>
  </si>
  <si>
    <t>RBEJ</t>
  </si>
  <si>
    <t>Thornton Grammar School</t>
  </si>
  <si>
    <t>RBKB</t>
  </si>
  <si>
    <t>Titus Salt School</t>
  </si>
  <si>
    <t>RBIT</t>
  </si>
  <si>
    <t>Tong High School</t>
  </si>
  <si>
    <t>RFQW</t>
  </si>
  <si>
    <t>Beechcliffe Special School</t>
  </si>
  <si>
    <t>SPECIAL</t>
  </si>
  <si>
    <t>RFQS</t>
  </si>
  <si>
    <t>Chellow Heights Special School</t>
  </si>
  <si>
    <t>RFQT</t>
  </si>
  <si>
    <t>Delius Special School</t>
  </si>
  <si>
    <t>RFQX</t>
  </si>
  <si>
    <t>Hazelbeck Special School</t>
  </si>
  <si>
    <t>RFQV</t>
  </si>
  <si>
    <t>High Park Special School</t>
  </si>
  <si>
    <t>RFQU</t>
  </si>
  <si>
    <t>Phoenix Special School</t>
  </si>
  <si>
    <t>RFQY</t>
  </si>
  <si>
    <t>Southfield Special School</t>
  </si>
  <si>
    <t>TBC 1</t>
  </si>
  <si>
    <t>Oastler School</t>
  </si>
  <si>
    <t>TBC</t>
  </si>
  <si>
    <t>TBC2</t>
  </si>
  <si>
    <t>Central PRU</t>
  </si>
  <si>
    <t>PRU</t>
  </si>
  <si>
    <t>TBC6</t>
  </si>
  <si>
    <t>District PRU</t>
  </si>
  <si>
    <t>TBC8</t>
  </si>
  <si>
    <t>Education in Hospital Airedale</t>
  </si>
  <si>
    <t>TBC7</t>
  </si>
  <si>
    <t>Education in Hospital BRI</t>
  </si>
  <si>
    <t>TBC5</t>
  </si>
  <si>
    <t>Ellar Carr</t>
  </si>
  <si>
    <t>Primary PRU</t>
  </si>
  <si>
    <t>TBC4</t>
  </si>
  <si>
    <t>Tracks</t>
  </si>
  <si>
    <t>FORECAST</t>
  </si>
  <si>
    <t>ATD</t>
  </si>
  <si>
    <t>GAB</t>
  </si>
  <si>
    <t>REVISED</t>
  </si>
  <si>
    <t>Y</t>
  </si>
  <si>
    <t>N</t>
  </si>
  <si>
    <t>Year</t>
  </si>
  <si>
    <t>CostC</t>
  </si>
  <si>
    <t>OB01</t>
  </si>
  <si>
    <t>OB02</t>
  </si>
  <si>
    <t>OB03</t>
  </si>
  <si>
    <t>B03</t>
  </si>
  <si>
    <t>B05</t>
  </si>
  <si>
    <t>Fawcett Primary School</t>
  </si>
  <si>
    <t>Kings Hedges Nursery School</t>
  </si>
  <si>
    <t>Kings Hedges Primary School</t>
  </si>
  <si>
    <t>Trumpington Meadows Primary School</t>
  </si>
  <si>
    <t>missing; break links</t>
  </si>
  <si>
    <t>2025-26</t>
  </si>
  <si>
    <t>B01, B02, B06 balances from CFR 31 March 2025</t>
  </si>
  <si>
    <t>B01+B02</t>
  </si>
  <si>
    <t>Total Revenue Balance</t>
  </si>
  <si>
    <t>Unit 4 Total</t>
  </si>
  <si>
    <t>Diff</t>
  </si>
  <si>
    <t>Capital Balances on SAP</t>
  </si>
  <si>
    <t>COSTC</t>
  </si>
  <si>
    <t>Capital on Unit4</t>
  </si>
  <si>
    <t>2023/24</t>
  </si>
  <si>
    <t>SCHEMES (INCLUDE THOSE ALREADY APPROVED)</t>
  </si>
  <si>
    <t>SAP</t>
  </si>
  <si>
    <t>RCCO 2024/25</t>
  </si>
  <si>
    <t>RCCO 2025/26</t>
  </si>
  <si>
    <t>RCCO 2026/27</t>
  </si>
  <si>
    <t>DESCRIPTION</t>
  </si>
  <si>
    <t>Spend to Save 2024/25</t>
  </si>
  <si>
    <t>Spend to Save 2025/26</t>
  </si>
  <si>
    <t>Spend to Save 2026/27</t>
  </si>
  <si>
    <t>Contracts Review 2024/25</t>
  </si>
  <si>
    <t>Contracts Review 2025/26</t>
  </si>
  <si>
    <t>Contracts Review 2026/27</t>
  </si>
  <si>
    <t>Expansion 2024/25</t>
  </si>
  <si>
    <t>Expansion 2025/26</t>
  </si>
  <si>
    <t>Expansion 2026/27</t>
  </si>
  <si>
    <t>Reduction 2024/25</t>
  </si>
  <si>
    <t>Reduction 2025/26</t>
  </si>
  <si>
    <t>Reduction 2026/27</t>
  </si>
  <si>
    <t>Exceptional 2024/25</t>
  </si>
  <si>
    <t>Exceptional 2025/26</t>
  </si>
  <si>
    <t>Exceptional 2026/27</t>
  </si>
  <si>
    <t>Total of Schemes</t>
  </si>
  <si>
    <t>Silsden Primary School</t>
  </si>
  <si>
    <t>Various IUBs related to site and buildings and expansion (see breakdown on file / in approval letter)</t>
  </si>
  <si>
    <t>RCCO - playground and library, Minibuses</t>
  </si>
  <si>
    <t>Budget Protection (pupil numbers reduction)</t>
  </si>
  <si>
    <t>To safeguard reductionsto funding streams</t>
  </si>
  <si>
    <t>Protection MNS funding review</t>
  </si>
  <si>
    <t>Reduction in PAN and pay awards</t>
  </si>
  <si>
    <t>RCCO - purchase of a minibus</t>
  </si>
  <si>
    <t>RCCO - bungalow refurbishment</t>
  </si>
  <si>
    <t>Reduction in PAN and protected salaries</t>
  </si>
  <si>
    <t>RCCO - New Office Space</t>
  </si>
  <si>
    <t>RCCO - Reception Renovation</t>
  </si>
  <si>
    <t>School Re-org and COVID Recovery Plan</t>
  </si>
  <si>
    <t>Cover long term absence</t>
  </si>
  <si>
    <t>Uncertainty (inflation, energy, NJC pay award)</t>
  </si>
  <si>
    <t>RGQE</t>
  </si>
  <si>
    <t>Park Aspire</t>
  </si>
  <si>
    <t>Totals By Year</t>
  </si>
  <si>
    <t>Totals By Type</t>
  </si>
  <si>
    <t>Already agreed for 2016/17 &amp; 2017/18</t>
  </si>
  <si>
    <t>Bankfoot RCCO £35,000 in 17/18</t>
  </si>
  <si>
    <t>Set IUB Limits for 2024/25</t>
  </si>
  <si>
    <t>(full calc is within the GAB template)</t>
  </si>
  <si>
    <t>IUB Limit March 2025</t>
  </si>
  <si>
    <t>Are your income actuals positive?</t>
  </si>
  <si>
    <t>Variance between Governor Approved Budget and Forecast (Col K - Col E)</t>
  </si>
  <si>
    <t>(these two figure should normally match. You may have MLEI Loan repayments that cause an imbalance - this is ok)</t>
  </si>
  <si>
    <t>Submitted Bugdet</t>
  </si>
  <si>
    <t>Movement</t>
  </si>
  <si>
    <t>2025/26 Budget Monitoring</t>
  </si>
  <si>
    <t>Change in Forecasted Carry Forward Balance (to be held at March 2026) Monitor vs. Original Budget</t>
  </si>
  <si>
    <t>Instructions</t>
  </si>
  <si>
    <t>Check all contracts are reflected correctly in latest budget. Payroll Reconciliation should be completed each month to ensure you are paying the correct amounts and that your forecast is correct</t>
  </si>
  <si>
    <t>Import your actuals (don't forget to deselect Income in Positive - make it grey)</t>
  </si>
  <si>
    <t xml:space="preserve">Run Budget vs Actuals report. </t>
  </si>
  <si>
    <t>Agreed Budget (Governor Approved), Forecast Budget (Latest forecast budget with the latest staff costings/contracts), Month of last months actuals in it, eg if CEA is for 1.4.25 to 31.5.25 month to be selected should be May)</t>
  </si>
  <si>
    <t>Amend Projected YE Outturn column (Forecast Column).
To amend non staff contract income or expenditure forecasts,  if it’s a permanent change/change that should be seen for a while amend via Budget Entries or if it’s a one off do it via add adjustments.</t>
  </si>
  <si>
    <t xml:space="preserve">Please add notes </t>
  </si>
  <si>
    <t>Export SBS BvA Report (as a Table)</t>
  </si>
  <si>
    <t>Open file</t>
  </si>
  <si>
    <t>Select Enable Editing</t>
  </si>
  <si>
    <t>Copy the full SBS table</t>
  </si>
  <si>
    <t>Paste these into cell A1 of the SBS BvA report (Table) tab in the Budget Monitoring Template</t>
  </si>
  <si>
    <t xml:space="preserve">Check totals on school summary tab match/say the same as whats on SBS BvA totals. </t>
  </si>
  <si>
    <t>If they don't please compare individual lines on the Template tab and let SSCT know which codes are incorrect.</t>
  </si>
  <si>
    <t>If they do match/are the same, please check the Alerts tab</t>
  </si>
  <si>
    <t>Please add comments to the Template tab to explain the Reason for the variance.</t>
  </si>
  <si>
    <t>If there are relevant notes in SBS, please copy and paste these into here </t>
  </si>
  <si>
    <t>Open up Budget Monitoring Template</t>
  </si>
  <si>
    <t>In b) Template tab change:</t>
  </si>
  <si>
    <t>School name in cell B3. Do this by clicking on the drop down menu and selecting your school</t>
  </si>
  <si>
    <t>Change "Position at the end of month" to the correct month in cell I5</t>
  </si>
  <si>
    <t xml:space="preserve">On your Budget vs Actuals report, your Income actuals in the main should be shown as positive figures (you may get the occasional code with a negative - please add notes saying why), if all/most income actuals are positive figures please select Y in cell 03. </t>
  </si>
  <si>
    <t>If your income is shown as negative figures on your Budget vs Actuals report, please select N in cell O3</t>
  </si>
  <si>
    <r>
      <t xml:space="preserve">Once you have reviewed your Budget Monitoring template, completed everything needed, please send to </t>
    </r>
    <r>
      <rPr>
        <b/>
        <sz val="11"/>
        <color theme="1"/>
        <rFont val="Calibri"/>
        <family val="2"/>
        <scheme val="minor"/>
      </rPr>
      <t>bank.account@cambridgeshire.gov.uk</t>
    </r>
  </si>
  <si>
    <t>2025/2026</t>
  </si>
  <si>
    <t>Please review any red highlighed zones below and make sure that you are happy with the content of your forecast before sending through to SSCT. 
You do not need to resolve all of these alerts. They are a quick sense check. 
We have added comment cells to the right of the alerts so you can add comments to them (these comments are optional, however could be useful for your governors/us to know why the alert is showing)</t>
  </si>
  <si>
    <t>Comments on Alerts (Optional)</t>
  </si>
  <si>
    <t>This sheet shows some quick check alerts that schools should consider.
Please review any red highlighed zones below and make sure that you are happy with the content of your forecast before sending through to SSCT. You do not need to resolve all of these alerts. They are a quick sense check.
You can still submit your return with these alerts outstanding.</t>
  </si>
  <si>
    <t>SFA/SSCT Comments</t>
  </si>
  <si>
    <t>Variance is SBSG and rates journal</t>
  </si>
  <si>
    <t>New admission with EHCP already in place</t>
  </si>
  <si>
    <t>UIFSM and PE Grant from I18</t>
  </si>
  <si>
    <t>Term 6 invoices due in July</t>
  </si>
  <si>
    <t>Actuals are unbudgeted misc. income</t>
  </si>
  <si>
    <t>Absence claim May/June 25 - not in budget.  Further claims due</t>
  </si>
  <si>
    <t>Receipts for summer term trips plus resi payments</t>
  </si>
  <si>
    <t>PTA Donation not in original budget</t>
  </si>
  <si>
    <t>UIFSM and PE Grant moved to I06</t>
  </si>
  <si>
    <t xml:space="preserve">Staffing changes/reorganisation (£36800 reduction to projected year end).  Effect of teachers pay award (£9775 increase to projected year end). </t>
  </si>
  <si>
    <t xml:space="preserve">Staffing changes.  </t>
  </si>
  <si>
    <t>Overtime</t>
  </si>
  <si>
    <t xml:space="preserve">Recruited at lower grade than budgeted.  </t>
  </si>
  <si>
    <t>NJC backdated payrise not paid yet - should resolve once paid.</t>
  </si>
  <si>
    <t>Limited spend on recruitment costs reducing percentage</t>
  </si>
  <si>
    <t>Large invoice paid in May.  Spend still on target</t>
  </si>
  <si>
    <t xml:space="preserve">Costs associated with leak.  </t>
  </si>
  <si>
    <t>New contractor at lower cost.  Majority of costs incurred during summer months</t>
  </si>
  <si>
    <t>Bulk order for cleaning materials</t>
  </si>
  <si>
    <t>No bill received to date.  To be investigated</t>
  </si>
  <si>
    <t>Lower useage during summer</t>
  </si>
  <si>
    <t>Variance is rates expense (see income)</t>
  </si>
  <si>
    <t>Refuse costs missed from budget</t>
  </si>
  <si>
    <t>Trip costs skewing percentage.  Covered by income and PP.</t>
  </si>
  <si>
    <t>IT support costs paid for year - skewing overall percentage</t>
  </si>
  <si>
    <t>Overspend on furniture and fittings</t>
  </si>
  <si>
    <t>Cover for absence, part covered by insurance claim.  Anticipated to end in July</t>
  </si>
  <si>
    <t>Invoices expected later in year</t>
  </si>
  <si>
    <t>Reviewed consultancy costs</t>
  </si>
  <si>
    <t>MLEI</t>
  </si>
  <si>
    <t>Higher pupil numbers in summer term, will drop after holidays.  September pupil numbers used in budget for full year.</t>
  </si>
  <si>
    <t>Parental contributions higher due to increased pupil numbers in summer term.  As above</t>
  </si>
  <si>
    <t>Staffing personnel changes.  NJC backdated payrise not paid yet - should resolve once paid.</t>
  </si>
  <si>
    <t>Capital 88888888-05 income.</t>
  </si>
  <si>
    <t>Expenditure (99999999-05) due over the summer</t>
  </si>
  <si>
    <t>Estimated cost of IT equipment</t>
  </si>
  <si>
    <t>CAPITAL BUDGETS CANNOT BE IN DEFICIT AT YEAR END</t>
  </si>
  <si>
    <t>River Cam Primary School</t>
  </si>
  <si>
    <t>Is your forecasted Community Focused revenue balance being depleted by more than 50% this year?</t>
  </si>
  <si>
    <t>SUMMARY BUDGET POSITION 2026/27</t>
  </si>
  <si>
    <t>Brought Forward Balance March 2026</t>
  </si>
  <si>
    <t>FORECASTED CARRY FORWARD BALANCE AT THE END OF 2026/27 (BO1 + BO2)</t>
  </si>
  <si>
    <t>FORECASTED CARRY FORWARD BALANCE AT THE END OF 2026/27 (BO6)</t>
  </si>
  <si>
    <t>FORECASTED TOTAL SCHOOL REVENUE CARRY FORWARD BALANCE AT THE END OF 2026/27</t>
  </si>
  <si>
    <t>FORECASTED CAPITAL BALANCE TO CARRY FORWARD AT THE END OF 2026/27</t>
  </si>
  <si>
    <t>Previous Year (2025/26) Actual Outturn (Pre-Populated from CFR)</t>
  </si>
  <si>
    <t>Original  Approved Budget 2026/27 as submitted to SSCT (Pre-Populated)</t>
  </si>
  <si>
    <t>Not Used since 2025/26</t>
  </si>
  <si>
    <t>Is your forecasted School's revenue carry forward revenue balance at March 2027 greater than at March 2026?</t>
  </si>
  <si>
    <t>2026/27</t>
  </si>
  <si>
    <t>Is your forecasted Community Focused revenue carry forward revenue balance at March 2027 greater than at March 2026?</t>
  </si>
  <si>
    <t>(Why is this - one off expenditure or a longer term trend? Does the school's 2027/28 budget balance?)</t>
  </si>
  <si>
    <t>Do you forecast to hold a deficit Capital balance at March 2027?</t>
  </si>
  <si>
    <t>(Why is this - one off expenditure or a longer term trend? Does the Community Focused 207/28 budget balance?)</t>
  </si>
  <si>
    <t>CFR 2025/26</t>
  </si>
  <si>
    <t>2026/27 Master Input</t>
  </si>
  <si>
    <t>2026-27</t>
  </si>
  <si>
    <t>2026/27 Budget Monitoring</t>
  </si>
  <si>
    <t>Prev Yr Actual</t>
  </si>
  <si>
    <t>Current Metrics</t>
  </si>
  <si>
    <t>Potential Efficiency (cost Saving)</t>
  </si>
  <si>
    <t>2025/26</t>
  </si>
  <si>
    <t>DFE Benchmarks</t>
  </si>
  <si>
    <t>%</t>
  </si>
  <si>
    <t>Lower</t>
  </si>
  <si>
    <t>Upper</t>
  </si>
  <si>
    <t>To Lower</t>
  </si>
  <si>
    <t>To Upper</t>
  </si>
  <si>
    <t>SPEND AS A % OF REVENUE INCOME (Excl I16/17)</t>
  </si>
  <si>
    <t>Threshold</t>
  </si>
  <si>
    <t>Total Grant Income</t>
  </si>
  <si>
    <t>Total Self Generated Income</t>
  </si>
  <si>
    <t>TOTAL REVENUE INCOME</t>
  </si>
  <si>
    <t>Total Teacher Cost (E01+E02+E26)</t>
  </si>
  <si>
    <t>Total Ed Support Staff Costs (E03+E27)</t>
  </si>
  <si>
    <t>Total Non Ed Support Staff Costs (E04+E05+E06+E07)</t>
  </si>
  <si>
    <t>Total Staff Cost</t>
  </si>
  <si>
    <t>Total Non Staff Cots</t>
  </si>
  <si>
    <t>Total Leadership Cost as a % of Total Teacher Cost</t>
  </si>
  <si>
    <t>Total Management Time Cost as a % of Total Teacher Cost</t>
  </si>
  <si>
    <t>Potential Adjusted Efficiency (cost Saving)</t>
  </si>
  <si>
    <t>Adjustment for EHCP Income not yet Confirmed</t>
  </si>
  <si>
    <t>TOTAL ADJUSTED REVENUE INCOME</t>
  </si>
  <si>
    <t>Total Teacher Cost</t>
  </si>
  <si>
    <t>Total Ed Support Staff Costs</t>
  </si>
  <si>
    <t>Total Non Ed Support Staff Costs</t>
  </si>
  <si>
    <t>Gov Approved Budget</t>
  </si>
  <si>
    <t>Revised Budget</t>
  </si>
  <si>
    <t>Pupil Teacher Ratio</t>
  </si>
  <si>
    <t>Pupil Adult Ratio</t>
  </si>
  <si>
    <t>Average Class Size</t>
  </si>
  <si>
    <t>Teacher Contact Ratio</t>
  </si>
  <si>
    <t>Teaching FTE</t>
  </si>
  <si>
    <t>Support Staff FTE</t>
  </si>
  <si>
    <t>Pupil Numbers</t>
  </si>
  <si>
    <t>This sheet will offer more insight into your Schools ICFP Benchmark against DfE national data</t>
  </si>
  <si>
    <t>You should enter the data requested which will automatically calculate and compare your metrics</t>
  </si>
  <si>
    <t>Enter the pupil numbers for your school for pupils in R-Y6 only</t>
  </si>
  <si>
    <t>Enter the total FTE of teachers delivering R-Y6 teaching</t>
  </si>
  <si>
    <t>Number of Classes</t>
  </si>
  <si>
    <t>Timetable Cycle (hours)</t>
  </si>
  <si>
    <t>Enter the weekly timetable cycle (typically 25 or 26.25)</t>
  </si>
  <si>
    <t>Total Cost of Teaching Staff delivering education to EY pupils</t>
  </si>
  <si>
    <t>Enter the Total Cost of Teachers delivering to EY pupils</t>
  </si>
  <si>
    <t>leave blank if your school does not have an EY provision delivered by Qualified Teachers.</t>
  </si>
  <si>
    <t>Total Cost of TA Staff delivering education to EY pupils</t>
  </si>
  <si>
    <t>Enter the Total Cost of TA's, Playworkers, Nursery Assistants delivering to EY pupils</t>
  </si>
  <si>
    <t>leave blank if your school does not have an EY provision delivered by Support Staff.</t>
  </si>
  <si>
    <t>Enter the Total Cost of any External Catering Contract</t>
  </si>
  <si>
    <t xml:space="preserve">Enter the Total Cost of any External Cleaning/Caretaking Contract </t>
  </si>
  <si>
    <t xml:space="preserve">leave blank if your school does not have external catering </t>
  </si>
  <si>
    <t>Total Cost of External Contract Catering</t>
  </si>
  <si>
    <t>Total Cost of External Contract Cleaning/Caretaking</t>
  </si>
  <si>
    <t>ICFP can be skewed by EY ratio requirements and should generally excluded from calculations</t>
  </si>
  <si>
    <t>Average Teacher Cost</t>
  </si>
  <si>
    <t>DfE Threshold</t>
  </si>
  <si>
    <t>Potential Efficiency</t>
  </si>
  <si>
    <t>Variance</t>
  </si>
  <si>
    <t xml:space="preserve">Lower </t>
  </si>
  <si>
    <t>Enter the total FTE for Classroom and Non Classroom based support staff spporting R-Y6</t>
  </si>
  <si>
    <t>Total Timetable Cycle</t>
  </si>
  <si>
    <t>Total Teaching Hours Available</t>
  </si>
  <si>
    <t>Total Number of Hours Available in School (Teaching FTE * Timetable Cycle)</t>
  </si>
  <si>
    <t>Total Teacher Cost/Teaching FTE</t>
  </si>
  <si>
    <t>Pupil No/Teaching FTE</t>
  </si>
  <si>
    <t>Pupil No/Total Staff FTE</t>
  </si>
  <si>
    <t>Teaching Hours Available/Total Timetable Cycle</t>
  </si>
  <si>
    <t>Include Leadership and Management</t>
  </si>
  <si>
    <t>Forecast to the end of the Financial Year (from SBS report Col L)</t>
  </si>
  <si>
    <t>Variance between Governor Approved Budget and Forecast (Col L - Col E)</t>
  </si>
  <si>
    <t>Enter the number of classess providing education to R-Y6 only</t>
  </si>
  <si>
    <t>Total Timetabled Teaching hours Required (Timetable Cycle * Number of Classes)</t>
  </si>
  <si>
    <t>Include Admin, Midday, Site, etc. Exclude EY and BASC</t>
  </si>
  <si>
    <t>School Metric</t>
  </si>
  <si>
    <t>Value</t>
  </si>
  <si>
    <t>30ES5200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</si>
</sst>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 #,##0_-;\-* #,##0_-;_-* &quot;-&quot;??_-;_-@_-"/>
    <numFmt numFmtId="165" formatCode="_(* #,##0_);_(* \(#,##0\);_(* &quot;-&quot;_);_(@_)"/>
    <numFmt numFmtId="166" formatCode="_-* #,##0.0_-;\-* #,##0.0_-;_-* &quot;-&quot;??_-;_-@_-"/>
    <numFmt numFmtId="167" formatCode="#,##0;\(#,##0\)"/>
    <numFmt numFmtId="168" formatCode="&quot;£&quot;#,##0"/>
    <numFmt numFmtId="169" formatCode="#,##0_ ;\-#,##0\ "/>
    <numFmt numFmtId="170" formatCode="mmmm"/>
    <numFmt numFmtId="171" formatCode="_-&quot;£&quot;* #,##0_-;\-&quot;£&quot;* #,##0_-;_-&quot;£&quot;* &quot;-&quot;??_-;_-@_-"/>
    <numFmt numFmtId="172" formatCode="0.0%"/>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2"/>
      <name val="Arial"/>
      <family val="2"/>
    </font>
    <font>
      <b/>
      <sz val="12"/>
      <name val="Arial"/>
      <family val="2"/>
    </font>
    <font>
      <sz val="12"/>
      <color indexed="10"/>
      <name val="Arial"/>
      <family val="2"/>
    </font>
    <font>
      <sz val="10"/>
      <name val="Arial"/>
      <family val="2"/>
    </font>
    <font>
      <sz val="8"/>
      <name val="Arial"/>
      <family val="2"/>
    </font>
    <font>
      <b/>
      <u/>
      <sz val="10"/>
      <name val="Arial"/>
      <family val="2"/>
    </font>
    <font>
      <b/>
      <sz val="10"/>
      <color indexed="10"/>
      <name val="Arial"/>
      <family val="2"/>
    </font>
    <font>
      <b/>
      <u/>
      <sz val="12"/>
      <color indexed="10"/>
      <name val="Arial"/>
      <family val="2"/>
    </font>
    <font>
      <b/>
      <u/>
      <sz val="11"/>
      <name val="Arial"/>
      <family val="2"/>
    </font>
    <font>
      <b/>
      <i/>
      <u/>
      <sz val="11"/>
      <name val="Arial"/>
      <family val="2"/>
    </font>
    <font>
      <sz val="11"/>
      <name val="Arial"/>
      <family val="2"/>
    </font>
    <font>
      <b/>
      <sz val="11"/>
      <name val="Arial"/>
      <family val="2"/>
    </font>
    <font>
      <b/>
      <sz val="18"/>
      <name val="Arial"/>
      <family val="2"/>
    </font>
    <font>
      <b/>
      <sz val="14"/>
      <name val="Arial"/>
      <family val="2"/>
    </font>
    <font>
      <sz val="14"/>
      <name val="Arial"/>
      <family val="2"/>
    </font>
    <font>
      <b/>
      <sz val="16"/>
      <name val="Arial"/>
      <family val="2"/>
    </font>
    <font>
      <b/>
      <i/>
      <sz val="11"/>
      <name val="Arial"/>
      <family val="2"/>
    </font>
    <font>
      <i/>
      <sz val="11"/>
      <name val="Arial"/>
      <family val="2"/>
    </font>
    <font>
      <b/>
      <i/>
      <sz val="11"/>
      <color indexed="10"/>
      <name val="Arial"/>
      <family val="2"/>
    </font>
    <font>
      <b/>
      <u val="singleAccounting"/>
      <sz val="11"/>
      <name val="Arial"/>
      <family val="2"/>
    </font>
    <font>
      <b/>
      <u/>
      <sz val="16"/>
      <name val="Arial"/>
      <family val="2"/>
    </font>
    <font>
      <b/>
      <sz val="12"/>
      <color indexed="9"/>
      <name val="Arial"/>
      <family val="2"/>
    </font>
    <font>
      <sz val="9"/>
      <name val="Arial"/>
      <family val="2"/>
    </font>
    <font>
      <b/>
      <sz val="9"/>
      <name val="Arial"/>
      <family val="2"/>
    </font>
    <font>
      <u/>
      <sz val="10"/>
      <name val="Arial"/>
      <family val="2"/>
    </font>
    <font>
      <sz val="10"/>
      <name val="Helv"/>
      <charset val="204"/>
    </font>
    <font>
      <b/>
      <sz val="11"/>
      <color indexed="9"/>
      <name val="Arial"/>
      <family val="2"/>
    </font>
    <font>
      <b/>
      <sz val="9"/>
      <color indexed="10"/>
      <name val="Arial"/>
      <family val="2"/>
    </font>
    <font>
      <b/>
      <sz val="8"/>
      <color indexed="10"/>
      <name val="Arial"/>
      <family val="2"/>
    </font>
    <font>
      <b/>
      <u/>
      <sz val="20"/>
      <name val="Arial"/>
      <family val="2"/>
    </font>
    <font>
      <sz val="8"/>
      <color indexed="81"/>
      <name val="Tahoma"/>
      <family val="2"/>
    </font>
    <font>
      <b/>
      <i/>
      <sz val="14"/>
      <name val="Arial"/>
      <family val="2"/>
    </font>
    <font>
      <sz val="10"/>
      <color indexed="9"/>
      <name val="Helv"/>
      <charset val="204"/>
    </font>
    <font>
      <b/>
      <i/>
      <u/>
      <sz val="10"/>
      <color indexed="23"/>
      <name val="Arial"/>
      <family val="2"/>
    </font>
    <font>
      <i/>
      <sz val="11"/>
      <color indexed="23"/>
      <name val="Arial"/>
      <family val="2"/>
    </font>
    <font>
      <b/>
      <i/>
      <sz val="12"/>
      <color indexed="23"/>
      <name val="Arial"/>
      <family val="2"/>
    </font>
    <font>
      <sz val="10"/>
      <color indexed="10"/>
      <name val="Arial"/>
      <family val="2"/>
    </font>
    <font>
      <u/>
      <sz val="10"/>
      <color rgb="FFFF0000"/>
      <name val="Arial"/>
      <family val="2"/>
    </font>
    <font>
      <sz val="10"/>
      <color rgb="FFFF0000"/>
      <name val="Arial"/>
      <family val="2"/>
    </font>
    <font>
      <b/>
      <sz val="10"/>
      <color rgb="FFFF0000"/>
      <name val="Arial"/>
      <family val="2"/>
    </font>
    <font>
      <sz val="11"/>
      <color theme="1"/>
      <name val="Arial"/>
      <family val="2"/>
    </font>
    <font>
      <b/>
      <sz val="9"/>
      <color indexed="81"/>
      <name val="Tahoma"/>
      <family val="2"/>
    </font>
    <font>
      <sz val="9"/>
      <color indexed="81"/>
      <name val="Tahoma"/>
      <family val="2"/>
    </font>
    <font>
      <sz val="6.7"/>
      <name val="Arial"/>
      <family val="2"/>
    </font>
    <font>
      <sz val="11"/>
      <color rgb="FFFF0000"/>
      <name val="Arial"/>
      <family val="2"/>
    </font>
    <font>
      <b/>
      <sz val="10"/>
      <color indexed="9"/>
      <name val="Arial"/>
      <family val="2"/>
    </font>
    <font>
      <b/>
      <sz val="10"/>
      <color indexed="12"/>
      <name val="Arial"/>
      <family val="2"/>
    </font>
    <font>
      <sz val="10"/>
      <color indexed="12"/>
      <name val="Arial"/>
      <family val="2"/>
    </font>
    <font>
      <sz val="8"/>
      <color theme="0"/>
      <name val="Arial"/>
      <family val="2"/>
    </font>
    <font>
      <sz val="10"/>
      <color theme="0"/>
      <name val="Arial"/>
      <family val="2"/>
    </font>
    <font>
      <sz val="12"/>
      <color theme="0"/>
      <name val="Arial"/>
      <family val="2"/>
    </font>
    <font>
      <b/>
      <sz val="11"/>
      <color theme="3"/>
      <name val="Arial"/>
      <family val="2"/>
    </font>
    <font>
      <b/>
      <i/>
      <u/>
      <sz val="24"/>
      <name val="Arial"/>
      <family val="2"/>
    </font>
    <font>
      <b/>
      <sz val="12"/>
      <color theme="0"/>
      <name val="Arial"/>
      <family val="2"/>
    </font>
    <font>
      <b/>
      <sz val="11"/>
      <color theme="1"/>
      <name val="Calibri"/>
      <family val="2"/>
      <scheme val="minor"/>
    </font>
    <font>
      <b/>
      <u/>
      <sz val="11"/>
      <color theme="1"/>
      <name val="Calibri"/>
      <family val="2"/>
      <scheme val="minor"/>
    </font>
    <font>
      <b/>
      <sz val="10"/>
      <color rgb="FFFFFF00"/>
      <name val="Arial"/>
      <family val="2"/>
    </font>
    <font>
      <b/>
      <sz val="12"/>
      <color rgb="FFFF0000"/>
      <name val="Arial"/>
      <family val="2"/>
    </font>
    <font>
      <b/>
      <sz val="9"/>
      <color indexed="81"/>
      <name val="Tahoma"/>
      <charset val="1"/>
    </font>
    <font>
      <sz val="9"/>
      <color indexed="81"/>
      <name val="Tahoma"/>
      <charset val="1"/>
    </font>
    <font>
      <b/>
      <sz val="10"/>
      <color theme="0"/>
      <name val="Arial"/>
      <family val="2"/>
    </font>
    <font>
      <sz val="10"/>
      <name val="Arial"/>
    </font>
    <font>
      <b/>
      <sz val="9"/>
      <color rgb="FF000000"/>
      <name val="Leelawadee"/>
      <family val="2"/>
      <charset val="222"/>
    </font>
    <font>
      <i/>
      <sz val="10"/>
      <name val="Arial"/>
      <family val="2"/>
    </font>
    <font>
      <b/>
      <sz val="11"/>
      <color rgb="FFFFFFFF"/>
      <name val="Calibri"/>
    </font>
  </fonts>
  <fills count="26">
    <fill>
      <patternFill patternType="none"/>
    </fill>
    <fill>
      <patternFill patternType="gray125"/>
    </fill>
    <fill>
      <patternFill patternType="solid">
        <fgColor indexed="23"/>
      </patternFill>
    </fill>
    <fill>
      <patternFill patternType="solid">
        <fgColor indexed="9"/>
        <bgColor indexed="64"/>
      </patternFill>
    </fill>
    <fill>
      <patternFill patternType="solid">
        <fgColor indexed="42"/>
        <bgColor indexed="64"/>
      </patternFill>
    </fill>
    <fill>
      <patternFill patternType="solid">
        <fgColor indexed="45"/>
        <bgColor indexed="64"/>
      </patternFill>
    </fill>
    <fill>
      <patternFill patternType="solid">
        <fgColor indexed="44"/>
        <bgColor indexed="64"/>
      </patternFill>
    </fill>
    <fill>
      <patternFill patternType="solid">
        <fgColor indexed="47"/>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8" tint="0.59999389629810485"/>
        <bgColor indexed="64"/>
      </patternFill>
    </fill>
    <fill>
      <patternFill patternType="solid">
        <fgColor rgb="FFFFFFFF"/>
        <bgColor indexed="64"/>
      </patternFill>
    </fill>
    <fill>
      <patternFill patternType="solid">
        <fgColor rgb="FFEDF9FD"/>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1"/>
        <bgColor indexed="64"/>
      </patternFill>
    </fill>
    <fill>
      <patternFill patternType="solid">
        <fgColor theme="1" tint="0.34998626667073579"/>
        <bgColor indexed="64"/>
      </patternFill>
    </fill>
    <fill>
      <patternFill patternType="solid">
        <fgColor rgb="FFFFFF00"/>
        <bgColor indexed="64"/>
      </patternFill>
    </fill>
    <fill>
      <patternFill patternType="solid">
        <fgColor rgb="FFCDD4DF"/>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rgb="FF00B050"/>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22"/>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rgb="FFD2D6D8"/>
      </bottom>
      <diagonal/>
    </border>
  </borders>
  <cellStyleXfs count="14">
    <xf numFmtId="0" fontId="0" fillId="0" borderId="0"/>
    <xf numFmtId="43" fontId="10" fillId="0" borderId="0" applyFont="0" applyFill="0" applyBorder="0" applyAlignment="0" applyProtection="0"/>
    <xf numFmtId="0" fontId="10" fillId="2" borderId="0"/>
    <xf numFmtId="0" fontId="38" fillId="2" borderId="0"/>
    <xf numFmtId="9" fontId="10" fillId="0" borderId="0" applyFon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2" fillId="0" borderId="0"/>
    <xf numFmtId="44" fontId="73" fillId="0" borderId="0" applyFont="0" applyFill="0" applyBorder="0" applyAlignment="0" applyProtection="0"/>
    <xf numFmtId="0" fontId="1" fillId="0" borderId="0"/>
  </cellStyleXfs>
  <cellXfs count="690">
    <xf numFmtId="0" fontId="0" fillId="0" borderId="0" xfId="0"/>
    <xf numFmtId="3" fontId="13" fillId="0" borderId="1" xfId="1" applyNumberFormat="1" applyFont="1" applyFill="1" applyBorder="1" applyAlignment="1" applyProtection="1">
      <alignment horizontal="right"/>
      <protection hidden="1"/>
    </xf>
    <xf numFmtId="0" fontId="22" fillId="3" borderId="0" xfId="0" applyFont="1" applyFill="1" applyProtection="1">
      <protection hidden="1"/>
    </xf>
    <xf numFmtId="0" fontId="23" fillId="3" borderId="0" xfId="0" applyFont="1" applyFill="1" applyAlignment="1" applyProtection="1">
      <alignment horizontal="right"/>
      <protection hidden="1"/>
    </xf>
    <xf numFmtId="0" fontId="28" fillId="3" borderId="0" xfId="0" applyFont="1" applyFill="1" applyAlignment="1" applyProtection="1">
      <alignment horizontal="center"/>
      <protection hidden="1"/>
    </xf>
    <xf numFmtId="0" fontId="28" fillId="3" borderId="0" xfId="0" applyFont="1" applyFill="1" applyAlignment="1" applyProtection="1">
      <alignment horizontal="center" vertical="center"/>
      <protection hidden="1"/>
    </xf>
    <xf numFmtId="165" fontId="13" fillId="0" borderId="0" xfId="1" applyNumberFormat="1" applyFont="1" applyFill="1" applyBorder="1" applyProtection="1">
      <protection hidden="1"/>
    </xf>
    <xf numFmtId="165" fontId="13" fillId="0" borderId="2" xfId="1" applyNumberFormat="1" applyFont="1" applyFill="1" applyBorder="1" applyProtection="1">
      <protection hidden="1"/>
    </xf>
    <xf numFmtId="0" fontId="34" fillId="3" borderId="0" xfId="0" applyFont="1" applyFill="1" applyProtection="1">
      <protection hidden="1"/>
    </xf>
    <xf numFmtId="0" fontId="34" fillId="3" borderId="0" xfId="0" applyFont="1" applyFill="1" applyAlignment="1" applyProtection="1">
      <alignment horizontal="left"/>
      <protection hidden="1"/>
    </xf>
    <xf numFmtId="0" fontId="12" fillId="3" borderId="0" xfId="0" applyFont="1" applyFill="1" applyAlignment="1" applyProtection="1">
      <alignment vertical="center"/>
      <protection hidden="1"/>
    </xf>
    <xf numFmtId="0" fontId="0" fillId="3" borderId="0" xfId="0" applyFill="1"/>
    <xf numFmtId="3" fontId="13" fillId="3" borderId="1" xfId="1" applyNumberFormat="1" applyFont="1" applyFill="1" applyBorder="1" applyAlignment="1" applyProtection="1">
      <alignment horizontal="right"/>
      <protection hidden="1"/>
    </xf>
    <xf numFmtId="3" fontId="13" fillId="0" borderId="0" xfId="1" applyNumberFormat="1" applyFont="1" applyFill="1" applyBorder="1" applyAlignment="1" applyProtection="1">
      <alignment horizontal="right"/>
      <protection hidden="1"/>
    </xf>
    <xf numFmtId="0" fontId="0" fillId="0" borderId="0" xfId="0" applyProtection="1">
      <protection hidden="1"/>
    </xf>
    <xf numFmtId="0" fontId="27" fillId="0" borderId="0" xfId="0" applyFont="1" applyProtection="1">
      <protection hidden="1"/>
    </xf>
    <xf numFmtId="0" fontId="11" fillId="0" borderId="0" xfId="0" applyFont="1" applyProtection="1">
      <protection hidden="1"/>
    </xf>
    <xf numFmtId="164" fontId="0" fillId="0" borderId="0" xfId="1" applyNumberFormat="1" applyFont="1" applyProtection="1">
      <protection hidden="1"/>
    </xf>
    <xf numFmtId="164" fontId="0" fillId="0" borderId="0" xfId="1" applyNumberFormat="1" applyFont="1"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7" xfId="0" applyBorder="1" applyProtection="1">
      <protection hidden="1"/>
    </xf>
    <xf numFmtId="0" fontId="11" fillId="0" borderId="5" xfId="0" applyFont="1" applyBorder="1" applyProtection="1">
      <protection hidden="1"/>
    </xf>
    <xf numFmtId="0" fontId="0" fillId="0" borderId="0" xfId="0" applyAlignment="1" applyProtection="1">
      <alignment horizontal="right"/>
      <protection hidden="1"/>
    </xf>
    <xf numFmtId="0" fontId="0" fillId="0" borderId="2" xfId="0" applyBorder="1" applyProtection="1">
      <protection hidden="1"/>
    </xf>
    <xf numFmtId="0" fontId="0" fillId="0" borderId="8" xfId="0" applyBorder="1" applyProtection="1">
      <protection hidden="1"/>
    </xf>
    <xf numFmtId="0" fontId="0" fillId="0" borderId="9" xfId="0" applyBorder="1" applyProtection="1">
      <protection hidden="1"/>
    </xf>
    <xf numFmtId="164" fontId="24" fillId="0" borderId="0" xfId="1" applyNumberFormat="1" applyFont="1" applyBorder="1" applyAlignment="1" applyProtection="1">
      <alignment horizontal="center"/>
      <protection hidden="1"/>
    </xf>
    <xf numFmtId="164" fontId="24" fillId="0" borderId="0" xfId="1" applyNumberFormat="1" applyFont="1" applyBorder="1" applyAlignment="1" applyProtection="1">
      <alignment horizontal="left"/>
      <protection hidden="1"/>
    </xf>
    <xf numFmtId="164" fontId="13" fillId="0" borderId="0" xfId="1" applyNumberFormat="1" applyFont="1" applyBorder="1" applyAlignment="1" applyProtection="1">
      <alignment horizontal="left"/>
      <protection hidden="1"/>
    </xf>
    <xf numFmtId="0" fontId="27" fillId="0" borderId="0" xfId="0" applyFont="1" applyAlignment="1" applyProtection="1">
      <alignment horizontal="center" vertical="center"/>
      <protection hidden="1"/>
    </xf>
    <xf numFmtId="49" fontId="33" fillId="3" borderId="0" xfId="1" applyNumberFormat="1" applyFont="1" applyFill="1" applyBorder="1" applyAlignment="1" applyProtection="1">
      <alignment horizontal="center"/>
      <protection hidden="1"/>
    </xf>
    <xf numFmtId="164" fontId="33" fillId="3" borderId="0" xfId="1" applyNumberFormat="1" applyFont="1" applyFill="1" applyBorder="1" applyAlignment="1" applyProtection="1">
      <alignment horizontal="center"/>
      <protection hidden="1"/>
    </xf>
    <xf numFmtId="164" fontId="27" fillId="3" borderId="10" xfId="1" applyNumberFormat="1" applyFont="1" applyFill="1" applyBorder="1" applyAlignment="1" applyProtection="1">
      <alignment horizontal="center" vertical="center"/>
      <protection hidden="1"/>
    </xf>
    <xf numFmtId="164" fontId="20" fillId="0" borderId="10" xfId="1" applyNumberFormat="1" applyFont="1" applyBorder="1" applyAlignment="1" applyProtection="1">
      <alignment horizontal="center"/>
      <protection hidden="1"/>
    </xf>
    <xf numFmtId="164" fontId="20" fillId="0" borderId="0" xfId="1" applyNumberFormat="1" applyFont="1" applyBorder="1" applyAlignment="1" applyProtection="1">
      <alignment horizontal="left"/>
      <protection hidden="1"/>
    </xf>
    <xf numFmtId="164" fontId="13" fillId="0" borderId="2" xfId="1" applyNumberFormat="1" applyFont="1" applyFill="1" applyBorder="1" applyAlignment="1" applyProtection="1">
      <alignment horizontal="center"/>
      <protection hidden="1"/>
    </xf>
    <xf numFmtId="164" fontId="12" fillId="0" borderId="0" xfId="1" applyNumberFormat="1" applyFont="1" applyBorder="1" applyProtection="1">
      <protection hidden="1"/>
    </xf>
    <xf numFmtId="164" fontId="22" fillId="0" borderId="10" xfId="1" applyNumberFormat="1" applyFont="1" applyBorder="1" applyAlignment="1" applyProtection="1">
      <alignment horizontal="center"/>
      <protection hidden="1"/>
    </xf>
    <xf numFmtId="164" fontId="22" fillId="0" borderId="0" xfId="1" applyNumberFormat="1" applyFont="1" applyBorder="1" applyProtection="1">
      <protection hidden="1"/>
    </xf>
    <xf numFmtId="164" fontId="22" fillId="0" borderId="10" xfId="1" applyNumberFormat="1" applyFont="1" applyFill="1" applyBorder="1" applyAlignment="1" applyProtection="1">
      <alignment horizontal="center"/>
      <protection hidden="1"/>
    </xf>
    <xf numFmtId="164" fontId="23" fillId="0" borderId="0" xfId="1" applyNumberFormat="1" applyFont="1" applyBorder="1" applyProtection="1">
      <protection hidden="1"/>
    </xf>
    <xf numFmtId="164" fontId="13" fillId="0" borderId="0" xfId="1" applyNumberFormat="1" applyFont="1" applyFill="1" applyBorder="1" applyAlignment="1" applyProtection="1">
      <alignment horizontal="center"/>
      <protection hidden="1"/>
    </xf>
    <xf numFmtId="164" fontId="11" fillId="0" borderId="0" xfId="1" applyNumberFormat="1" applyFont="1" applyBorder="1" applyProtection="1">
      <protection hidden="1"/>
    </xf>
    <xf numFmtId="164" fontId="31" fillId="0" borderId="10" xfId="1" applyNumberFormat="1" applyFont="1" applyBorder="1" applyAlignment="1" applyProtection="1">
      <alignment horizontal="center"/>
      <protection hidden="1"/>
    </xf>
    <xf numFmtId="164" fontId="23" fillId="0" borderId="10" xfId="1" applyNumberFormat="1" applyFont="1" applyBorder="1" applyAlignment="1" applyProtection="1">
      <alignment horizontal="left"/>
      <protection hidden="1"/>
    </xf>
    <xf numFmtId="164" fontId="11" fillId="0" borderId="11" xfId="1" applyNumberFormat="1" applyFont="1" applyBorder="1" applyProtection="1">
      <protection hidden="1"/>
    </xf>
    <xf numFmtId="164" fontId="22" fillId="0" borderId="10" xfId="1" applyNumberFormat="1" applyFont="1" applyBorder="1" applyAlignment="1" applyProtection="1">
      <alignment horizontal="left"/>
      <protection hidden="1"/>
    </xf>
    <xf numFmtId="164" fontId="14" fillId="0" borderId="0" xfId="1" applyNumberFormat="1" applyFont="1" applyFill="1" applyBorder="1" applyAlignment="1" applyProtection="1">
      <alignment horizontal="center"/>
      <protection hidden="1"/>
    </xf>
    <xf numFmtId="164" fontId="20" fillId="0" borderId="10" xfId="1" applyNumberFormat="1" applyFont="1" applyBorder="1" applyAlignment="1" applyProtection="1">
      <alignment horizontal="left"/>
      <protection hidden="1"/>
    </xf>
    <xf numFmtId="164" fontId="12" fillId="0" borderId="0" xfId="1" applyNumberFormat="1" applyFont="1" applyFill="1" applyBorder="1" applyProtection="1">
      <protection hidden="1"/>
    </xf>
    <xf numFmtId="165" fontId="13" fillId="3" borderId="0" xfId="1" applyNumberFormat="1" applyFont="1" applyFill="1" applyBorder="1" applyProtection="1">
      <protection hidden="1"/>
    </xf>
    <xf numFmtId="164" fontId="26" fillId="0" borderId="0" xfId="1" applyNumberFormat="1" applyFont="1" applyBorder="1" applyProtection="1">
      <protection hidden="1"/>
    </xf>
    <xf numFmtId="164" fontId="26" fillId="0" borderId="11" xfId="1" applyNumberFormat="1" applyFont="1" applyBorder="1" applyProtection="1">
      <protection hidden="1"/>
    </xf>
    <xf numFmtId="3" fontId="25" fillId="3" borderId="0" xfId="1" applyNumberFormat="1" applyFont="1" applyFill="1" applyBorder="1" applyAlignment="1" applyProtection="1">
      <alignment horizontal="right"/>
      <protection hidden="1"/>
    </xf>
    <xf numFmtId="164" fontId="22" fillId="0" borderId="8" xfId="1" applyNumberFormat="1" applyFont="1" applyBorder="1" applyAlignment="1" applyProtection="1">
      <alignment horizontal="left"/>
      <protection hidden="1"/>
    </xf>
    <xf numFmtId="164" fontId="22" fillId="0" borderId="2" xfId="1" applyNumberFormat="1" applyFont="1" applyBorder="1" applyProtection="1">
      <protection hidden="1"/>
    </xf>
    <xf numFmtId="165" fontId="13" fillId="3" borderId="2" xfId="1" applyNumberFormat="1" applyFont="1" applyFill="1" applyBorder="1" applyProtection="1">
      <protection hidden="1"/>
    </xf>
    <xf numFmtId="164" fontId="12" fillId="0" borderId="2" xfId="1" applyNumberFormat="1" applyFont="1" applyBorder="1" applyProtection="1">
      <protection hidden="1"/>
    </xf>
    <xf numFmtId="164" fontId="11" fillId="0" borderId="12" xfId="1" applyNumberFormat="1" applyFont="1" applyBorder="1" applyProtection="1">
      <protection hidden="1"/>
    </xf>
    <xf numFmtId="164" fontId="12" fillId="0" borderId="2" xfId="1" applyNumberFormat="1" applyFont="1" applyFill="1" applyBorder="1" applyProtection="1">
      <protection hidden="1"/>
    </xf>
    <xf numFmtId="164" fontId="12" fillId="0" borderId="0" xfId="1" applyNumberFormat="1" applyFont="1" applyFill="1" applyProtection="1">
      <protection hidden="1"/>
    </xf>
    <xf numFmtId="164" fontId="12" fillId="0" borderId="0" xfId="1" applyNumberFormat="1" applyFont="1" applyProtection="1">
      <protection hidden="1"/>
    </xf>
    <xf numFmtId="3" fontId="25" fillId="0" borderId="0" xfId="1" applyNumberFormat="1" applyFont="1" applyFill="1" applyBorder="1" applyAlignment="1" applyProtection="1">
      <alignment horizontal="right"/>
      <protection hidden="1"/>
    </xf>
    <xf numFmtId="3" fontId="13" fillId="3" borderId="0" xfId="1" applyNumberFormat="1" applyFont="1" applyFill="1" applyBorder="1" applyAlignment="1" applyProtection="1">
      <alignment horizontal="right"/>
      <protection hidden="1"/>
    </xf>
    <xf numFmtId="0" fontId="0" fillId="3" borderId="0" xfId="0" applyFill="1" applyProtection="1">
      <protection hidden="1"/>
    </xf>
    <xf numFmtId="164" fontId="0" fillId="3" borderId="0" xfId="1" applyNumberFormat="1" applyFont="1" applyFill="1" applyProtection="1">
      <protection hidden="1"/>
    </xf>
    <xf numFmtId="164" fontId="12" fillId="3" borderId="0" xfId="1" applyNumberFormat="1" applyFont="1" applyFill="1" applyProtection="1">
      <protection hidden="1"/>
    </xf>
    <xf numFmtId="164" fontId="23" fillId="3" borderId="0" xfId="1" applyNumberFormat="1" applyFont="1" applyFill="1" applyProtection="1">
      <protection hidden="1"/>
    </xf>
    <xf numFmtId="164" fontId="12" fillId="3" borderId="0" xfId="1" applyNumberFormat="1" applyFont="1" applyFill="1" applyBorder="1" applyProtection="1">
      <protection hidden="1"/>
    </xf>
    <xf numFmtId="164" fontId="0" fillId="0" borderId="0" xfId="1" applyNumberFormat="1" applyFont="1" applyBorder="1" applyAlignment="1" applyProtection="1">
      <alignment horizontal="left"/>
      <protection hidden="1"/>
    </xf>
    <xf numFmtId="164" fontId="0" fillId="3" borderId="13" xfId="1" applyNumberFormat="1" applyFont="1" applyFill="1" applyBorder="1" applyProtection="1">
      <protection hidden="1"/>
    </xf>
    <xf numFmtId="164" fontId="0" fillId="3" borderId="0" xfId="1" applyNumberFormat="1" applyFont="1" applyFill="1" applyAlignment="1" applyProtection="1">
      <alignment horizontal="left"/>
      <protection hidden="1"/>
    </xf>
    <xf numFmtId="164" fontId="23" fillId="3" borderId="0" xfId="1" applyNumberFormat="1" applyFont="1" applyFill="1" applyBorder="1" applyAlignment="1" applyProtection="1">
      <alignment horizontal="center"/>
      <protection hidden="1"/>
    </xf>
    <xf numFmtId="164" fontId="22" fillId="3" borderId="0" xfId="1" applyNumberFormat="1" applyFont="1" applyFill="1" applyBorder="1" applyProtection="1">
      <protection hidden="1"/>
    </xf>
    <xf numFmtId="164" fontId="23" fillId="3" borderId="0" xfId="1" applyNumberFormat="1" applyFont="1" applyFill="1" applyBorder="1" applyAlignment="1" applyProtection="1">
      <alignment horizontal="left"/>
      <protection hidden="1"/>
    </xf>
    <xf numFmtId="164" fontId="21" fillId="3" borderId="0" xfId="1" applyNumberFormat="1" applyFont="1" applyFill="1" applyBorder="1" applyAlignment="1" applyProtection="1">
      <alignment horizontal="left"/>
      <protection hidden="1"/>
    </xf>
    <xf numFmtId="0" fontId="22" fillId="3" borderId="0" xfId="0" applyFont="1" applyFill="1" applyAlignment="1" applyProtection="1">
      <alignment horizontal="left"/>
      <protection hidden="1"/>
    </xf>
    <xf numFmtId="0" fontId="22" fillId="3" borderId="0" xfId="0" applyFont="1" applyFill="1" applyAlignment="1" applyProtection="1">
      <alignment vertical="center"/>
      <protection hidden="1"/>
    </xf>
    <xf numFmtId="0" fontId="29" fillId="3" borderId="0" xfId="0" applyFont="1" applyFill="1" applyAlignment="1" applyProtection="1">
      <alignment vertical="center"/>
      <protection hidden="1"/>
    </xf>
    <xf numFmtId="0" fontId="29" fillId="3" borderId="0" xfId="0" applyFont="1" applyFill="1" applyProtection="1">
      <protection hidden="1"/>
    </xf>
    <xf numFmtId="49" fontId="23" fillId="3" borderId="0" xfId="0" applyNumberFormat="1" applyFont="1" applyFill="1" applyAlignment="1" applyProtection="1">
      <alignment horizontal="right"/>
      <protection hidden="1"/>
    </xf>
    <xf numFmtId="0" fontId="29" fillId="3" borderId="0" xfId="0" applyFont="1" applyFill="1" applyAlignment="1" applyProtection="1">
      <alignment horizontal="left"/>
      <protection hidden="1"/>
    </xf>
    <xf numFmtId="164" fontId="11" fillId="3" borderId="0" xfId="1" applyNumberFormat="1" applyFont="1" applyFill="1" applyBorder="1" applyAlignment="1" applyProtection="1">
      <alignment horizontal="left" wrapText="1"/>
      <protection hidden="1"/>
    </xf>
    <xf numFmtId="3" fontId="12" fillId="4" borderId="7" xfId="1" applyNumberFormat="1" applyFont="1" applyFill="1" applyBorder="1" applyAlignment="1" applyProtection="1">
      <alignment horizontal="right"/>
      <protection locked="0"/>
    </xf>
    <xf numFmtId="164" fontId="11" fillId="0" borderId="14" xfId="1" applyNumberFormat="1" applyFont="1" applyFill="1" applyBorder="1" applyAlignment="1" applyProtection="1">
      <alignment horizontal="right" wrapText="1"/>
      <protection hidden="1"/>
    </xf>
    <xf numFmtId="164" fontId="13" fillId="3" borderId="15" xfId="1" applyNumberFormat="1" applyFont="1" applyFill="1" applyBorder="1" applyProtection="1">
      <protection hidden="1"/>
    </xf>
    <xf numFmtId="3" fontId="13" fillId="3" borderId="16" xfId="1" applyNumberFormat="1" applyFont="1" applyFill="1" applyBorder="1" applyAlignment="1" applyProtection="1">
      <alignment horizontal="right"/>
      <protection hidden="1"/>
    </xf>
    <xf numFmtId="164" fontId="12" fillId="3" borderId="17" xfId="1" applyNumberFormat="1" applyFont="1" applyFill="1" applyBorder="1" applyProtection="1">
      <protection hidden="1"/>
    </xf>
    <xf numFmtId="164" fontId="12" fillId="3" borderId="0" xfId="1" applyNumberFormat="1" applyFont="1" applyFill="1" applyBorder="1" applyAlignment="1" applyProtection="1">
      <alignment horizontal="left"/>
      <protection hidden="1"/>
    </xf>
    <xf numFmtId="164" fontId="0" fillId="3" borderId="0" xfId="1" applyNumberFormat="1" applyFont="1" applyFill="1" applyBorder="1" applyAlignment="1" applyProtection="1">
      <alignment horizontal="left"/>
      <protection hidden="1"/>
    </xf>
    <xf numFmtId="168" fontId="23" fillId="3" borderId="0" xfId="0" applyNumberFormat="1" applyFont="1" applyFill="1" applyAlignment="1" applyProtection="1">
      <alignment horizontal="right" wrapText="1"/>
      <protection hidden="1"/>
    </xf>
    <xf numFmtId="164" fontId="10" fillId="3" borderId="0" xfId="1" applyNumberFormat="1" applyFont="1" applyFill="1" applyAlignment="1" applyProtection="1">
      <alignment horizontal="left"/>
      <protection hidden="1"/>
    </xf>
    <xf numFmtId="164" fontId="23" fillId="6" borderId="0" xfId="1" applyNumberFormat="1" applyFont="1" applyFill="1" applyAlignment="1" applyProtection="1">
      <alignment horizontal="left"/>
      <protection hidden="1"/>
    </xf>
    <xf numFmtId="3" fontId="22" fillId="4" borderId="4" xfId="1" applyNumberFormat="1" applyFont="1" applyFill="1" applyBorder="1" applyAlignment="1" applyProtection="1">
      <alignment horizontal="right"/>
      <protection locked="0"/>
    </xf>
    <xf numFmtId="0" fontId="27" fillId="0" borderId="0" xfId="0" applyFont="1" applyAlignment="1" applyProtection="1">
      <alignment horizontal="center"/>
      <protection hidden="1"/>
    </xf>
    <xf numFmtId="0" fontId="39" fillId="3" borderId="0" xfId="0" applyFont="1" applyFill="1" applyProtection="1">
      <protection hidden="1"/>
    </xf>
    <xf numFmtId="0" fontId="37" fillId="3" borderId="0" xfId="0" applyFont="1" applyFill="1" applyAlignment="1" applyProtection="1">
      <alignment horizontal="left"/>
      <protection hidden="1"/>
    </xf>
    <xf numFmtId="0" fontId="37" fillId="3" borderId="0" xfId="0" applyFont="1" applyFill="1" applyProtection="1">
      <protection hidden="1"/>
    </xf>
    <xf numFmtId="0" fontId="11" fillId="3" borderId="0" xfId="0" applyFont="1" applyFill="1" applyProtection="1">
      <protection hidden="1"/>
    </xf>
    <xf numFmtId="0" fontId="37" fillId="3" borderId="18" xfId="0" applyFont="1" applyFill="1" applyBorder="1" applyProtection="1">
      <protection hidden="1"/>
    </xf>
    <xf numFmtId="0" fontId="37" fillId="5" borderId="18" xfId="0" applyFont="1" applyFill="1" applyBorder="1" applyProtection="1">
      <protection hidden="1"/>
    </xf>
    <xf numFmtId="0" fontId="37" fillId="3" borderId="19" xfId="0" applyFont="1" applyFill="1" applyBorder="1" applyProtection="1">
      <protection hidden="1"/>
    </xf>
    <xf numFmtId="0" fontId="37" fillId="3" borderId="20" xfId="0" applyFont="1" applyFill="1" applyBorder="1" applyProtection="1">
      <protection hidden="1"/>
    </xf>
    <xf numFmtId="0" fontId="37" fillId="5" borderId="20" xfId="0" applyFont="1" applyFill="1" applyBorder="1" applyProtection="1">
      <protection hidden="1"/>
    </xf>
    <xf numFmtId="0" fontId="11" fillId="3" borderId="0" xfId="0" applyFont="1" applyFill="1" applyAlignment="1" applyProtection="1">
      <alignment horizontal="left"/>
      <protection hidden="1"/>
    </xf>
    <xf numFmtId="0" fontId="20" fillId="3" borderId="0" xfId="0" applyFont="1" applyFill="1" applyProtection="1">
      <protection hidden="1"/>
    </xf>
    <xf numFmtId="0" fontId="23" fillId="3" borderId="0" xfId="0" applyFont="1" applyFill="1" applyAlignment="1" applyProtection="1">
      <alignment vertical="center"/>
      <protection hidden="1"/>
    </xf>
    <xf numFmtId="0" fontId="35" fillId="3" borderId="0" xfId="0" applyFont="1" applyFill="1" applyAlignment="1" applyProtection="1">
      <alignment horizontal="center"/>
      <protection hidden="1"/>
    </xf>
    <xf numFmtId="164" fontId="11" fillId="0" borderId="4" xfId="1" applyNumberFormat="1" applyFont="1" applyFill="1" applyBorder="1" applyAlignment="1" applyProtection="1">
      <alignment horizontal="right" wrapText="1"/>
      <protection hidden="1"/>
    </xf>
    <xf numFmtId="1" fontId="13" fillId="0" borderId="0" xfId="1" applyNumberFormat="1" applyFont="1" applyFill="1" applyBorder="1" applyAlignment="1" applyProtection="1">
      <alignment horizontal="center" wrapText="1"/>
      <protection hidden="1"/>
    </xf>
    <xf numFmtId="164" fontId="11" fillId="0" borderId="0" xfId="1" applyNumberFormat="1" applyFont="1" applyBorder="1" applyAlignment="1" applyProtection="1">
      <alignment horizontal="left"/>
      <protection hidden="1"/>
    </xf>
    <xf numFmtId="164" fontId="13" fillId="3" borderId="0" xfId="1" quotePrefix="1" applyNumberFormat="1" applyFont="1" applyFill="1" applyBorder="1" applyAlignment="1" applyProtection="1">
      <alignment wrapText="1"/>
      <protection hidden="1"/>
    </xf>
    <xf numFmtId="0" fontId="12" fillId="0" borderId="0" xfId="0" applyFont="1" applyAlignment="1" applyProtection="1">
      <alignment horizontal="left"/>
      <protection hidden="1"/>
    </xf>
    <xf numFmtId="164" fontId="13" fillId="3" borderId="21" xfId="1" quotePrefix="1" applyNumberFormat="1" applyFont="1" applyFill="1" applyBorder="1" applyAlignment="1" applyProtection="1">
      <alignment wrapText="1"/>
      <protection hidden="1"/>
    </xf>
    <xf numFmtId="164" fontId="11" fillId="0" borderId="0" xfId="1" applyNumberFormat="1" applyFont="1" applyBorder="1" applyAlignment="1" applyProtection="1">
      <alignment vertical="center" wrapText="1"/>
      <protection hidden="1"/>
    </xf>
    <xf numFmtId="164" fontId="11" fillId="0" borderId="1" xfId="1" applyNumberFormat="1" applyFont="1" applyBorder="1" applyAlignment="1" applyProtection="1">
      <alignment horizontal="left" vertical="center"/>
      <protection hidden="1"/>
    </xf>
    <xf numFmtId="1" fontId="12" fillId="0" borderId="1" xfId="1" applyNumberFormat="1" applyFont="1" applyFill="1" applyBorder="1" applyAlignment="1" applyProtection="1">
      <alignment horizontal="left" vertical="center" wrapText="1"/>
      <protection hidden="1"/>
    </xf>
    <xf numFmtId="0" fontId="14" fillId="0" borderId="0" xfId="0" applyFont="1" applyAlignment="1" applyProtection="1">
      <alignment horizontal="left"/>
      <protection hidden="1"/>
    </xf>
    <xf numFmtId="164" fontId="13" fillId="3" borderId="10" xfId="1" applyNumberFormat="1" applyFont="1" applyFill="1" applyBorder="1" applyAlignment="1" applyProtection="1">
      <alignment horizontal="center" vertical="center" wrapText="1"/>
      <protection hidden="1"/>
    </xf>
    <xf numFmtId="164" fontId="12" fillId="0" borderId="0" xfId="1" applyNumberFormat="1" applyFont="1" applyAlignment="1" applyProtection="1">
      <alignment wrapText="1"/>
      <protection hidden="1"/>
    </xf>
    <xf numFmtId="1" fontId="12" fillId="0" borderId="0" xfId="1" applyNumberFormat="1" applyFont="1" applyFill="1" applyBorder="1" applyAlignment="1" applyProtection="1">
      <alignment horizontal="center" vertical="center" wrapText="1"/>
      <protection hidden="1"/>
    </xf>
    <xf numFmtId="1" fontId="13" fillId="0" borderId="0" xfId="1" quotePrefix="1" applyNumberFormat="1" applyFont="1" applyFill="1" applyBorder="1" applyAlignment="1" applyProtection="1">
      <alignment horizontal="center" vertical="center" wrapText="1"/>
      <protection hidden="1"/>
    </xf>
    <xf numFmtId="1" fontId="12" fillId="0" borderId="1" xfId="1" applyNumberFormat="1" applyFont="1" applyFill="1" applyBorder="1" applyAlignment="1" applyProtection="1">
      <alignment horizontal="center" vertical="center" wrapText="1"/>
      <protection hidden="1"/>
    </xf>
    <xf numFmtId="164" fontId="24" fillId="3" borderId="0" xfId="1" applyNumberFormat="1" applyFont="1" applyFill="1" applyBorder="1" applyAlignment="1" applyProtection="1">
      <alignment horizontal="center"/>
      <protection hidden="1"/>
    </xf>
    <xf numFmtId="1" fontId="12" fillId="3" borderId="0" xfId="1" applyNumberFormat="1" applyFont="1" applyFill="1" applyBorder="1" applyAlignment="1" applyProtection="1">
      <alignment horizontal="center" vertical="center" wrapText="1"/>
      <protection hidden="1"/>
    </xf>
    <xf numFmtId="1" fontId="13" fillId="3" borderId="0" xfId="1" quotePrefix="1" applyNumberFormat="1" applyFont="1" applyFill="1" applyBorder="1" applyAlignment="1" applyProtection="1">
      <alignment horizontal="center" vertical="center" wrapText="1"/>
      <protection hidden="1"/>
    </xf>
    <xf numFmtId="1" fontId="13" fillId="3" borderId="0" xfId="1" applyNumberFormat="1" applyFont="1" applyFill="1" applyBorder="1" applyAlignment="1" applyProtection="1">
      <alignment horizontal="center" wrapText="1"/>
      <protection hidden="1"/>
    </xf>
    <xf numFmtId="164" fontId="13" fillId="3" borderId="0" xfId="1" applyNumberFormat="1" applyFont="1" applyFill="1" applyBorder="1" applyAlignment="1" applyProtection="1">
      <alignment horizontal="center"/>
      <protection hidden="1"/>
    </xf>
    <xf numFmtId="3" fontId="13" fillId="3" borderId="11" xfId="1" applyNumberFormat="1" applyFont="1" applyFill="1" applyBorder="1" applyAlignment="1" applyProtection="1">
      <alignment horizontal="right"/>
      <protection hidden="1"/>
    </xf>
    <xf numFmtId="164" fontId="14" fillId="3" borderId="0" xfId="1" applyNumberFormat="1" applyFont="1" applyFill="1" applyBorder="1" applyAlignment="1" applyProtection="1">
      <alignment horizontal="center"/>
      <protection hidden="1"/>
    </xf>
    <xf numFmtId="0" fontId="12" fillId="3" borderId="0" xfId="0" applyFont="1" applyFill="1" applyAlignment="1" applyProtection="1">
      <alignment horizontal="center" vertical="center" wrapText="1"/>
      <protection hidden="1"/>
    </xf>
    <xf numFmtId="164" fontId="11" fillId="0" borderId="10" xfId="1" applyNumberFormat="1" applyFont="1" applyBorder="1" applyProtection="1">
      <protection hidden="1"/>
    </xf>
    <xf numFmtId="0" fontId="13" fillId="3" borderId="0" xfId="0" applyFont="1" applyFill="1" applyAlignment="1" applyProtection="1">
      <alignment horizontal="center" vertical="center" wrapText="1"/>
      <protection hidden="1"/>
    </xf>
    <xf numFmtId="49" fontId="23" fillId="3" borderId="0" xfId="0" applyNumberFormat="1" applyFont="1" applyFill="1" applyAlignment="1" applyProtection="1">
      <alignment horizontal="center" vertical="center" wrapText="1"/>
      <protection hidden="1"/>
    </xf>
    <xf numFmtId="0" fontId="23" fillId="3" borderId="0" xfId="0" applyFont="1" applyFill="1" applyAlignment="1" applyProtection="1">
      <alignment horizontal="center" vertical="center" wrapText="1"/>
      <protection hidden="1"/>
    </xf>
    <xf numFmtId="0" fontId="22" fillId="3" borderId="0" xfId="0" applyFont="1" applyFill="1" applyAlignment="1" applyProtection="1">
      <alignment horizontal="center" vertical="center" wrapText="1"/>
      <protection hidden="1"/>
    </xf>
    <xf numFmtId="0" fontId="27" fillId="3" borderId="0" xfId="0" applyFont="1" applyFill="1" applyAlignment="1" applyProtection="1">
      <alignment horizontal="center" vertical="center"/>
      <protection hidden="1"/>
    </xf>
    <xf numFmtId="164" fontId="12" fillId="3" borderId="2" xfId="1" applyNumberFormat="1" applyFont="1" applyFill="1" applyBorder="1" applyProtection="1">
      <protection hidden="1"/>
    </xf>
    <xf numFmtId="164" fontId="36" fillId="0" borderId="0" xfId="1" applyNumberFormat="1" applyFont="1" applyBorder="1" applyAlignment="1" applyProtection="1">
      <alignment horizontal="left"/>
      <protection hidden="1"/>
    </xf>
    <xf numFmtId="164" fontId="27" fillId="0" borderId="2" xfId="1" applyNumberFormat="1" applyFont="1" applyBorder="1" applyAlignment="1" applyProtection="1">
      <alignment horizontal="center" vertical="center"/>
      <protection hidden="1"/>
    </xf>
    <xf numFmtId="3" fontId="25" fillId="0" borderId="1" xfId="1" applyNumberFormat="1" applyFont="1" applyFill="1" applyBorder="1" applyAlignment="1" applyProtection="1">
      <alignment horizontal="right"/>
      <protection hidden="1"/>
    </xf>
    <xf numFmtId="3" fontId="12" fillId="0" borderId="4" xfId="1" applyNumberFormat="1" applyFont="1" applyFill="1" applyBorder="1" applyAlignment="1" applyProtection="1">
      <alignment horizontal="right"/>
      <protection hidden="1"/>
    </xf>
    <xf numFmtId="167" fontId="13" fillId="0" borderId="4" xfId="1" applyNumberFormat="1" applyFont="1" applyFill="1" applyBorder="1" applyProtection="1">
      <protection hidden="1"/>
    </xf>
    <xf numFmtId="167" fontId="13" fillId="0" borderId="1" xfId="1" applyNumberFormat="1" applyFont="1" applyFill="1" applyBorder="1" applyProtection="1">
      <protection hidden="1"/>
    </xf>
    <xf numFmtId="167" fontId="13" fillId="0" borderId="0" xfId="1" applyNumberFormat="1" applyFont="1" applyFill="1" applyBorder="1" applyProtection="1">
      <protection hidden="1"/>
    </xf>
    <xf numFmtId="167" fontId="13" fillId="3" borderId="0" xfId="1" applyNumberFormat="1" applyFont="1" applyFill="1" applyBorder="1" applyProtection="1">
      <protection hidden="1"/>
    </xf>
    <xf numFmtId="164" fontId="26" fillId="0" borderId="10" xfId="1" applyNumberFormat="1" applyFont="1" applyBorder="1" applyProtection="1">
      <protection hidden="1"/>
    </xf>
    <xf numFmtId="3" fontId="12" fillId="0" borderId="23" xfId="1" applyNumberFormat="1" applyFont="1" applyFill="1" applyBorder="1" applyAlignment="1" applyProtection="1">
      <alignment horizontal="right"/>
      <protection hidden="1"/>
    </xf>
    <xf numFmtId="164" fontId="20" fillId="0" borderId="24" xfId="1" applyNumberFormat="1" applyFont="1" applyBorder="1" applyAlignment="1" applyProtection="1">
      <alignment horizontal="left"/>
      <protection hidden="1"/>
    </xf>
    <xf numFmtId="164" fontId="22" fillId="0" borderId="25" xfId="1" applyNumberFormat="1" applyFont="1" applyBorder="1" applyProtection="1">
      <protection hidden="1"/>
    </xf>
    <xf numFmtId="164" fontId="13" fillId="0" borderId="25" xfId="1" applyNumberFormat="1" applyFont="1" applyFill="1" applyBorder="1" applyAlignment="1" applyProtection="1">
      <alignment horizontal="center"/>
      <protection hidden="1"/>
    </xf>
    <xf numFmtId="164" fontId="12" fillId="0" borderId="25" xfId="1" applyNumberFormat="1" applyFont="1" applyBorder="1" applyProtection="1">
      <protection hidden="1"/>
    </xf>
    <xf numFmtId="164" fontId="13" fillId="3" borderId="25" xfId="1" applyNumberFormat="1" applyFont="1" applyFill="1" applyBorder="1" applyAlignment="1" applyProtection="1">
      <alignment horizontal="center"/>
      <protection hidden="1"/>
    </xf>
    <xf numFmtId="164" fontId="22" fillId="0" borderId="13" xfId="1" applyNumberFormat="1" applyFont="1" applyBorder="1" applyAlignment="1" applyProtection="1">
      <alignment horizontal="center"/>
      <protection hidden="1"/>
    </xf>
    <xf numFmtId="164" fontId="13" fillId="0" borderId="13" xfId="1" applyNumberFormat="1" applyFont="1" applyBorder="1" applyProtection="1">
      <protection hidden="1"/>
    </xf>
    <xf numFmtId="164" fontId="22" fillId="0" borderId="13" xfId="1" applyNumberFormat="1" applyFont="1" applyBorder="1" applyAlignment="1" applyProtection="1">
      <alignment horizontal="left"/>
      <protection hidden="1"/>
    </xf>
    <xf numFmtId="164" fontId="22" fillId="0" borderId="27" xfId="1" applyNumberFormat="1" applyFont="1" applyBorder="1" applyAlignment="1" applyProtection="1">
      <alignment horizontal="left"/>
      <protection hidden="1"/>
    </xf>
    <xf numFmtId="164" fontId="22" fillId="0" borderId="28" xfId="1" applyNumberFormat="1" applyFont="1" applyBorder="1" applyProtection="1">
      <protection hidden="1"/>
    </xf>
    <xf numFmtId="165" fontId="13" fillId="3" borderId="28" xfId="1" applyNumberFormat="1" applyFont="1" applyFill="1" applyBorder="1" applyProtection="1">
      <protection hidden="1"/>
    </xf>
    <xf numFmtId="164" fontId="12" fillId="0" borderId="28" xfId="1" applyNumberFormat="1" applyFont="1" applyBorder="1" applyProtection="1">
      <protection hidden="1"/>
    </xf>
    <xf numFmtId="165" fontId="13" fillId="0" borderId="28" xfId="1" applyNumberFormat="1" applyFont="1" applyFill="1" applyBorder="1" applyProtection="1">
      <protection hidden="1"/>
    </xf>
    <xf numFmtId="9" fontId="12" fillId="0" borderId="0" xfId="4" applyFont="1" applyFill="1" applyBorder="1" applyAlignment="1" applyProtection="1">
      <alignment horizontal="right"/>
      <protection hidden="1"/>
    </xf>
    <xf numFmtId="9" fontId="13" fillId="3" borderId="0" xfId="4" applyFont="1" applyFill="1" applyBorder="1" applyAlignment="1" applyProtection="1">
      <alignment horizontal="right"/>
      <protection hidden="1"/>
    </xf>
    <xf numFmtId="164" fontId="12" fillId="0" borderId="4" xfId="1" applyNumberFormat="1" applyFont="1" applyBorder="1" applyProtection="1">
      <protection hidden="1"/>
    </xf>
    <xf numFmtId="168" fontId="23" fillId="3" borderId="1" xfId="0" applyNumberFormat="1" applyFont="1" applyFill="1" applyBorder="1" applyAlignment="1" applyProtection="1">
      <alignment horizontal="right" vertical="center" wrapText="1"/>
      <protection hidden="1"/>
    </xf>
    <xf numFmtId="168" fontId="23" fillId="3" borderId="0" xfId="0" applyNumberFormat="1" applyFont="1" applyFill="1" applyAlignment="1" applyProtection="1">
      <alignment horizontal="right" vertical="center" wrapText="1"/>
      <protection hidden="1"/>
    </xf>
    <xf numFmtId="168" fontId="23" fillId="6" borderId="1" xfId="0" applyNumberFormat="1" applyFont="1" applyFill="1" applyBorder="1" applyAlignment="1" applyProtection="1">
      <alignment horizontal="right" vertical="center" wrapText="1"/>
      <protection hidden="1"/>
    </xf>
    <xf numFmtId="167" fontId="13" fillId="3" borderId="1" xfId="1" applyNumberFormat="1" applyFont="1" applyFill="1" applyBorder="1" applyProtection="1">
      <protection hidden="1"/>
    </xf>
    <xf numFmtId="0" fontId="15" fillId="0" borderId="0" xfId="0" applyFont="1"/>
    <xf numFmtId="10" fontId="12" fillId="0" borderId="1" xfId="4" applyNumberFormat="1" applyFont="1" applyFill="1" applyBorder="1" applyAlignment="1" applyProtection="1">
      <alignment horizontal="right"/>
      <protection hidden="1"/>
    </xf>
    <xf numFmtId="3" fontId="15" fillId="0" borderId="0" xfId="0" applyNumberFormat="1" applyFont="1" applyAlignment="1">
      <alignment horizontal="right"/>
    </xf>
    <xf numFmtId="0" fontId="0" fillId="0" borderId="0" xfId="0" applyProtection="1">
      <protection locked="0"/>
    </xf>
    <xf numFmtId="164" fontId="13" fillId="3" borderId="27" xfId="1" applyNumberFormat="1" applyFont="1" applyFill="1" applyBorder="1" applyProtection="1">
      <protection hidden="1"/>
    </xf>
    <xf numFmtId="3" fontId="13" fillId="3" borderId="28" xfId="1" applyNumberFormat="1" applyFont="1" applyFill="1" applyBorder="1" applyAlignment="1" applyProtection="1">
      <alignment horizontal="right"/>
      <protection hidden="1"/>
    </xf>
    <xf numFmtId="164" fontId="12" fillId="3" borderId="29" xfId="1" applyNumberFormat="1" applyFont="1" applyFill="1" applyBorder="1" applyProtection="1">
      <protection hidden="1"/>
    </xf>
    <xf numFmtId="3" fontId="13" fillId="0" borderId="20" xfId="1" applyNumberFormat="1" applyFont="1" applyFill="1" applyBorder="1" applyAlignment="1" applyProtection="1">
      <alignment horizontal="right"/>
      <protection hidden="1"/>
    </xf>
    <xf numFmtId="3" fontId="12" fillId="4" borderId="31" xfId="1" applyNumberFormat="1" applyFont="1" applyFill="1" applyBorder="1" applyAlignment="1" applyProtection="1">
      <alignment horizontal="right"/>
      <protection locked="0"/>
    </xf>
    <xf numFmtId="3" fontId="22" fillId="3" borderId="4" xfId="1" applyNumberFormat="1" applyFont="1" applyFill="1" applyBorder="1" applyAlignment="1" applyProtection="1">
      <alignment horizontal="right"/>
      <protection hidden="1"/>
    </xf>
    <xf numFmtId="0" fontId="23" fillId="3" borderId="0" xfId="0" applyFont="1" applyFill="1" applyAlignment="1" applyProtection="1">
      <alignment horizontal="left"/>
      <protection hidden="1"/>
    </xf>
    <xf numFmtId="10" fontId="12" fillId="0" borderId="4" xfId="1" applyNumberFormat="1" applyFont="1" applyBorder="1" applyAlignment="1" applyProtection="1">
      <alignment horizontal="right"/>
      <protection hidden="1"/>
    </xf>
    <xf numFmtId="167" fontId="11" fillId="3" borderId="4" xfId="1" applyNumberFormat="1" applyFont="1" applyFill="1" applyBorder="1" applyAlignment="1" applyProtection="1">
      <alignment horizontal="right"/>
      <protection hidden="1"/>
    </xf>
    <xf numFmtId="0" fontId="30" fillId="3" borderId="0" xfId="0" applyFont="1" applyFill="1" applyAlignment="1" applyProtection="1">
      <alignment horizontal="center" vertical="center" wrapText="1"/>
      <protection hidden="1"/>
    </xf>
    <xf numFmtId="164" fontId="27" fillId="3" borderId="0" xfId="1" applyNumberFormat="1" applyFont="1" applyFill="1" applyBorder="1" applyAlignment="1" applyProtection="1">
      <alignment horizontal="center"/>
      <protection hidden="1"/>
    </xf>
    <xf numFmtId="0" fontId="37" fillId="0" borderId="0" xfId="0" applyFont="1" applyProtection="1">
      <protection hidden="1"/>
    </xf>
    <xf numFmtId="0" fontId="37" fillId="3" borderId="0" xfId="0" applyFont="1" applyFill="1" applyAlignment="1" applyProtection="1">
      <alignment horizontal="left" wrapText="1"/>
      <protection hidden="1"/>
    </xf>
    <xf numFmtId="43" fontId="22" fillId="0" borderId="32" xfId="1" applyFont="1" applyBorder="1" applyAlignment="1" applyProtection="1">
      <protection hidden="1"/>
    </xf>
    <xf numFmtId="43" fontId="22" fillId="0" borderId="6" xfId="1" applyFont="1" applyBorder="1" applyAlignment="1" applyProtection="1">
      <protection hidden="1"/>
    </xf>
    <xf numFmtId="164" fontId="23" fillId="0" borderId="0" xfId="1" applyNumberFormat="1" applyFont="1" applyProtection="1">
      <protection hidden="1"/>
    </xf>
    <xf numFmtId="164" fontId="11" fillId="0" borderId="4" xfId="1" applyNumberFormat="1" applyFont="1" applyBorder="1" applyAlignment="1" applyProtection="1">
      <alignment horizontal="left"/>
      <protection hidden="1"/>
    </xf>
    <xf numFmtId="0" fontId="37" fillId="3" borderId="0" xfId="0" applyFont="1" applyFill="1" applyAlignment="1" applyProtection="1">
      <alignment horizontal="left" vertical="center" wrapText="1"/>
      <protection hidden="1"/>
    </xf>
    <xf numFmtId="0" fontId="37" fillId="6" borderId="0" xfId="0" applyFont="1" applyFill="1" applyAlignment="1" applyProtection="1">
      <alignment horizontal="left" wrapText="1"/>
      <protection hidden="1"/>
    </xf>
    <xf numFmtId="164" fontId="11" fillId="0" borderId="33" xfId="1" applyNumberFormat="1" applyFont="1" applyFill="1" applyBorder="1" applyAlignment="1" applyProtection="1">
      <alignment horizontal="right" wrapText="1"/>
      <protection hidden="1"/>
    </xf>
    <xf numFmtId="0" fontId="37" fillId="0" borderId="0" xfId="0" applyFont="1" applyAlignment="1" applyProtection="1">
      <alignment wrapText="1"/>
      <protection hidden="1"/>
    </xf>
    <xf numFmtId="43" fontId="22" fillId="0" borderId="34" xfId="1" applyFont="1" applyFill="1" applyBorder="1" applyAlignment="1" applyProtection="1">
      <protection hidden="1"/>
    </xf>
    <xf numFmtId="164" fontId="12" fillId="0" borderId="7" xfId="1" applyNumberFormat="1" applyFont="1" applyFill="1" applyBorder="1" applyAlignment="1" applyProtection="1">
      <alignment wrapText="1"/>
      <protection hidden="1"/>
    </xf>
    <xf numFmtId="14" fontId="12" fillId="4" borderId="4" xfId="1" applyNumberFormat="1" applyFont="1" applyFill="1" applyBorder="1" applyAlignment="1" applyProtection="1">
      <alignment horizontal="right"/>
      <protection locked="0"/>
    </xf>
    <xf numFmtId="164" fontId="12" fillId="0" borderId="6" xfId="1" applyNumberFormat="1" applyFont="1" applyFill="1" applyBorder="1" applyAlignment="1" applyProtection="1">
      <alignment wrapText="1"/>
      <protection hidden="1"/>
    </xf>
    <xf numFmtId="164" fontId="12" fillId="0" borderId="4" xfId="1" applyNumberFormat="1" applyFont="1" applyFill="1" applyBorder="1" applyAlignment="1" applyProtection="1">
      <alignment wrapText="1"/>
      <protection hidden="1"/>
    </xf>
    <xf numFmtId="43" fontId="22" fillId="0" borderId="35" xfId="1" applyFont="1" applyFill="1" applyBorder="1" applyAlignment="1" applyProtection="1">
      <protection hidden="1"/>
    </xf>
    <xf numFmtId="164" fontId="12" fillId="0" borderId="36" xfId="1" applyNumberFormat="1" applyFont="1" applyFill="1" applyBorder="1" applyAlignment="1" applyProtection="1">
      <alignment wrapText="1"/>
      <protection hidden="1"/>
    </xf>
    <xf numFmtId="164" fontId="12" fillId="0" borderId="31" xfId="1" applyNumberFormat="1" applyFont="1" applyFill="1" applyBorder="1" applyAlignment="1" applyProtection="1">
      <alignment wrapText="1"/>
      <protection hidden="1"/>
    </xf>
    <xf numFmtId="14" fontId="12" fillId="4" borderId="37" xfId="1" applyNumberFormat="1" applyFont="1" applyFill="1" applyBorder="1" applyAlignment="1" applyProtection="1">
      <alignment horizontal="right"/>
      <protection locked="0"/>
    </xf>
    <xf numFmtId="3" fontId="37" fillId="3" borderId="1" xfId="0" applyNumberFormat="1" applyFont="1" applyFill="1" applyBorder="1" applyProtection="1">
      <protection hidden="1"/>
    </xf>
    <xf numFmtId="1" fontId="37" fillId="3" borderId="1" xfId="0" applyNumberFormat="1" applyFont="1" applyFill="1" applyBorder="1" applyAlignment="1" applyProtection="1">
      <alignment horizontal="center"/>
      <protection hidden="1"/>
    </xf>
    <xf numFmtId="0" fontId="17" fillId="0" borderId="0" xfId="0" applyFont="1"/>
    <xf numFmtId="0" fontId="11" fillId="0" borderId="0" xfId="0" applyFont="1" applyAlignment="1">
      <alignment wrapText="1"/>
    </xf>
    <xf numFmtId="3" fontId="11" fillId="0" borderId="0" xfId="0" applyNumberFormat="1" applyFont="1" applyAlignment="1">
      <alignment horizontal="right"/>
    </xf>
    <xf numFmtId="1" fontId="44" fillId="3" borderId="0" xfId="0" applyNumberFormat="1" applyFont="1" applyFill="1" applyAlignment="1" applyProtection="1">
      <alignment horizontal="left" wrapText="1"/>
      <protection hidden="1"/>
    </xf>
    <xf numFmtId="14" fontId="37" fillId="3" borderId="0" xfId="0" applyNumberFormat="1" applyFont="1" applyFill="1" applyAlignment="1" applyProtection="1">
      <alignment horizontal="right"/>
      <protection hidden="1"/>
    </xf>
    <xf numFmtId="164" fontId="22" fillId="4" borderId="4" xfId="1" applyNumberFormat="1" applyFont="1" applyFill="1" applyBorder="1" applyAlignment="1" applyProtection="1">
      <alignment horizontal="left"/>
      <protection locked="0"/>
    </xf>
    <xf numFmtId="0" fontId="22" fillId="3" borderId="0" xfId="0" applyFont="1" applyFill="1" applyAlignment="1" applyProtection="1">
      <alignment wrapText="1"/>
      <protection hidden="1"/>
    </xf>
    <xf numFmtId="43" fontId="17" fillId="3" borderId="0" xfId="1" applyFont="1" applyFill="1" applyBorder="1" applyAlignment="1" applyProtection="1">
      <alignment wrapText="1"/>
      <protection hidden="1"/>
    </xf>
    <xf numFmtId="43" fontId="45" fillId="0" borderId="1" xfId="1" applyFont="1" applyBorder="1" applyAlignment="1" applyProtection="1">
      <alignment horizontal="right" wrapText="1"/>
      <protection hidden="1"/>
    </xf>
    <xf numFmtId="0" fontId="11" fillId="0" borderId="38" xfId="0" applyFont="1" applyBorder="1" applyProtection="1">
      <protection locked="0"/>
    </xf>
    <xf numFmtId="0" fontId="15" fillId="0" borderId="0" xfId="0" applyFont="1" applyProtection="1">
      <protection locked="0"/>
    </xf>
    <xf numFmtId="0" fontId="11" fillId="0" borderId="0" xfId="0" applyFont="1" applyAlignment="1" applyProtection="1">
      <alignment wrapText="1"/>
      <protection locked="0"/>
    </xf>
    <xf numFmtId="0" fontId="11" fillId="0" borderId="0" xfId="0" applyFont="1" applyAlignment="1" applyProtection="1">
      <alignment horizontal="center" wrapText="1"/>
      <protection locked="0"/>
    </xf>
    <xf numFmtId="0" fontId="11" fillId="0" borderId="0" xfId="0" applyFont="1" applyAlignment="1" applyProtection="1">
      <alignment horizontal="left" wrapText="1"/>
      <protection locked="0"/>
    </xf>
    <xf numFmtId="0" fontId="11" fillId="4" borderId="0" xfId="0" applyFont="1" applyFill="1" applyAlignment="1" applyProtection="1">
      <alignment horizontal="center" wrapText="1"/>
      <protection locked="0"/>
    </xf>
    <xf numFmtId="167" fontId="15" fillId="0" borderId="0" xfId="0" applyNumberFormat="1" applyFont="1" applyProtection="1">
      <protection locked="0"/>
    </xf>
    <xf numFmtId="0" fontId="15" fillId="0" borderId="0" xfId="0" applyFont="1" applyAlignment="1" applyProtection="1">
      <alignment horizontal="center"/>
      <protection locked="0"/>
    </xf>
    <xf numFmtId="0" fontId="15" fillId="0" borderId="0" xfId="0" applyFont="1" applyAlignment="1" applyProtection="1">
      <alignment horizontal="left"/>
      <protection locked="0"/>
    </xf>
    <xf numFmtId="1" fontId="44" fillId="3" borderId="0" xfId="0" applyNumberFormat="1" applyFont="1" applyFill="1" applyProtection="1">
      <protection hidden="1"/>
    </xf>
    <xf numFmtId="3" fontId="46" fillId="3" borderId="3" xfId="0" applyNumberFormat="1" applyFont="1" applyFill="1" applyBorder="1" applyAlignment="1" applyProtection="1">
      <alignment horizontal="right"/>
      <protection hidden="1"/>
    </xf>
    <xf numFmtId="43" fontId="17" fillId="5" borderId="1" xfId="1" applyFont="1" applyFill="1" applyBorder="1" applyAlignment="1" applyProtection="1">
      <alignment horizontal="right" wrapText="1"/>
      <protection hidden="1"/>
    </xf>
    <xf numFmtId="3" fontId="13" fillId="5" borderId="20" xfId="1" applyNumberFormat="1" applyFont="1" applyFill="1" applyBorder="1" applyAlignment="1" applyProtection="1">
      <alignment horizontal="right"/>
      <protection hidden="1"/>
    </xf>
    <xf numFmtId="3" fontId="47" fillId="0" borderId="20" xfId="1" applyNumberFormat="1" applyFont="1" applyFill="1" applyBorder="1" applyAlignment="1" applyProtection="1">
      <alignment horizontal="right"/>
      <protection hidden="1"/>
    </xf>
    <xf numFmtId="43" fontId="22" fillId="0" borderId="39" xfId="1" applyFont="1" applyBorder="1" applyAlignment="1" applyProtection="1">
      <protection hidden="1"/>
    </xf>
    <xf numFmtId="3" fontId="46" fillId="3" borderId="40" xfId="0" applyNumberFormat="1" applyFont="1" applyFill="1" applyBorder="1" applyAlignment="1" applyProtection="1">
      <alignment horizontal="right"/>
      <protection hidden="1"/>
    </xf>
    <xf numFmtId="43" fontId="22" fillId="0" borderId="34" xfId="1" applyFont="1" applyBorder="1" applyAlignment="1" applyProtection="1">
      <protection hidden="1"/>
    </xf>
    <xf numFmtId="43" fontId="22" fillId="0" borderId="35" xfId="1" applyFont="1" applyBorder="1" applyAlignment="1" applyProtection="1">
      <protection hidden="1"/>
    </xf>
    <xf numFmtId="43" fontId="22" fillId="0" borderId="36" xfId="1" applyFont="1" applyBorder="1" applyAlignment="1" applyProtection="1">
      <protection hidden="1"/>
    </xf>
    <xf numFmtId="3" fontId="46" fillId="3" borderId="41" xfId="0" applyNumberFormat="1" applyFont="1" applyFill="1" applyBorder="1" applyAlignment="1" applyProtection="1">
      <alignment horizontal="right"/>
      <protection hidden="1"/>
    </xf>
    <xf numFmtId="3" fontId="46" fillId="3" borderId="42" xfId="0" applyNumberFormat="1" applyFont="1" applyFill="1" applyBorder="1" applyAlignment="1" applyProtection="1">
      <alignment horizontal="right"/>
      <protection hidden="1"/>
    </xf>
    <xf numFmtId="3" fontId="23" fillId="5" borderId="3" xfId="0" applyNumberFormat="1" applyFont="1" applyFill="1" applyBorder="1" applyAlignment="1" applyProtection="1">
      <alignment horizontal="right"/>
      <protection hidden="1"/>
    </xf>
    <xf numFmtId="3" fontId="23" fillId="5" borderId="41" xfId="0" applyNumberFormat="1" applyFont="1" applyFill="1" applyBorder="1" applyAlignment="1" applyProtection="1">
      <alignment horizontal="right"/>
      <protection hidden="1"/>
    </xf>
    <xf numFmtId="0" fontId="48" fillId="0" borderId="38" xfId="0" applyFont="1" applyBorder="1" applyAlignment="1" applyProtection="1">
      <alignment horizontal="left"/>
      <protection locked="0"/>
    </xf>
    <xf numFmtId="0" fontId="17" fillId="0" borderId="0" xfId="0" applyFont="1" applyAlignment="1" applyProtection="1">
      <alignment horizontal="left"/>
      <protection locked="0"/>
    </xf>
    <xf numFmtId="3" fontId="11" fillId="0" borderId="0" xfId="0" applyNumberFormat="1" applyFont="1" applyAlignment="1">
      <alignment horizontal="right" wrapText="1"/>
    </xf>
    <xf numFmtId="0" fontId="15" fillId="0" borderId="0" xfId="0" applyFont="1" applyAlignment="1">
      <alignment wrapText="1"/>
    </xf>
    <xf numFmtId="0" fontId="11" fillId="4" borderId="0" xfId="0" applyFont="1" applyFill="1" applyAlignment="1" applyProtection="1">
      <alignment horizontal="right" wrapText="1"/>
      <protection locked="0"/>
    </xf>
    <xf numFmtId="0" fontId="15" fillId="0" borderId="0" xfId="0" applyFont="1" applyAlignment="1" applyProtection="1">
      <alignment horizontal="right"/>
      <protection locked="0"/>
    </xf>
    <xf numFmtId="0" fontId="23" fillId="8" borderId="0" xfId="0" applyFont="1" applyFill="1" applyAlignment="1" applyProtection="1">
      <alignment vertical="center"/>
      <protection hidden="1"/>
    </xf>
    <xf numFmtId="0" fontId="30" fillId="8" borderId="0" xfId="0" applyFont="1" applyFill="1" applyAlignment="1" applyProtection="1">
      <alignment horizontal="center" vertical="center" wrapText="1"/>
      <protection hidden="1"/>
    </xf>
    <xf numFmtId="167" fontId="13" fillId="3" borderId="1" xfId="1" applyNumberFormat="1" applyFont="1" applyFill="1" applyBorder="1" applyProtection="1">
      <protection locked="0" hidden="1"/>
    </xf>
    <xf numFmtId="0" fontId="10" fillId="0" borderId="0" xfId="0" applyFont="1" applyAlignment="1" applyProtection="1">
      <alignment horizontal="left"/>
      <protection locked="0"/>
    </xf>
    <xf numFmtId="0" fontId="10" fillId="0" borderId="0" xfId="0" applyFont="1" applyProtection="1">
      <protection locked="0"/>
    </xf>
    <xf numFmtId="0" fontId="10" fillId="0" borderId="30" xfId="0" applyFont="1" applyBorder="1" applyAlignment="1" applyProtection="1">
      <alignment horizontal="left"/>
      <protection hidden="1"/>
    </xf>
    <xf numFmtId="164" fontId="22" fillId="3" borderId="0" xfId="1" applyNumberFormat="1" applyFont="1" applyFill="1" applyAlignment="1" applyProtection="1">
      <alignment horizontal="left"/>
      <protection hidden="1"/>
    </xf>
    <xf numFmtId="164" fontId="22" fillId="0" borderId="0" xfId="1" applyNumberFormat="1" applyFont="1" applyAlignment="1" applyProtection="1">
      <alignment horizontal="left"/>
      <protection hidden="1"/>
    </xf>
    <xf numFmtId="0" fontId="10" fillId="0" borderId="0" xfId="0" applyFont="1"/>
    <xf numFmtId="0" fontId="10" fillId="0" borderId="30" xfId="0" applyFont="1" applyBorder="1" applyProtection="1">
      <protection hidden="1"/>
    </xf>
    <xf numFmtId="164" fontId="51" fillId="0" borderId="0" xfId="1" applyNumberFormat="1" applyFont="1" applyFill="1" applyBorder="1" applyAlignment="1" applyProtection="1">
      <alignment horizontal="left"/>
      <protection hidden="1"/>
    </xf>
    <xf numFmtId="3" fontId="11" fillId="9" borderId="0" xfId="0" applyNumberFormat="1" applyFont="1" applyFill="1" applyAlignment="1">
      <alignment horizontal="right" wrapText="1"/>
    </xf>
    <xf numFmtId="0" fontId="22" fillId="8" borderId="0" xfId="0" applyFont="1" applyFill="1" applyProtection="1">
      <protection hidden="1"/>
    </xf>
    <xf numFmtId="0" fontId="22" fillId="8" borderId="0" xfId="0" applyFont="1" applyFill="1" applyAlignment="1" applyProtection="1">
      <alignment horizontal="left"/>
      <protection hidden="1"/>
    </xf>
    <xf numFmtId="0" fontId="29" fillId="8" borderId="0" xfId="0" applyFont="1" applyFill="1" applyProtection="1">
      <protection hidden="1"/>
    </xf>
    <xf numFmtId="0" fontId="29" fillId="8" borderId="0" xfId="0" applyFont="1" applyFill="1" applyAlignment="1" applyProtection="1">
      <alignment horizontal="left"/>
      <protection hidden="1"/>
    </xf>
    <xf numFmtId="164" fontId="13" fillId="10" borderId="1" xfId="1" applyNumberFormat="1" applyFont="1" applyFill="1" applyBorder="1" applyAlignment="1" applyProtection="1">
      <alignment vertical="center" wrapText="1"/>
      <protection locked="0"/>
    </xf>
    <xf numFmtId="0" fontId="11" fillId="9" borderId="0" xfId="0" applyFont="1" applyFill="1" applyAlignment="1" applyProtection="1">
      <alignment horizontal="right" wrapText="1"/>
      <protection locked="0"/>
    </xf>
    <xf numFmtId="0" fontId="50" fillId="0" borderId="0" xfId="0" applyFont="1" applyAlignment="1" applyProtection="1">
      <alignment horizontal="right"/>
      <protection locked="0"/>
    </xf>
    <xf numFmtId="0" fontId="51" fillId="0" borderId="0" xfId="0" applyFont="1" applyAlignment="1" applyProtection="1">
      <alignment horizontal="right" wrapText="1"/>
      <protection locked="0"/>
    </xf>
    <xf numFmtId="167" fontId="50" fillId="0" borderId="0" xfId="0" applyNumberFormat="1" applyFont="1" applyAlignment="1" applyProtection="1">
      <alignment horizontal="right"/>
      <protection locked="0"/>
    </xf>
    <xf numFmtId="0" fontId="11" fillId="9" borderId="0" xfId="0" applyFont="1" applyFill="1" applyAlignment="1" applyProtection="1">
      <alignment horizontal="left" wrapText="1"/>
      <protection locked="0"/>
    </xf>
    <xf numFmtId="0" fontId="17" fillId="0" borderId="0" xfId="0" applyFont="1" applyAlignment="1">
      <alignment horizontal="left"/>
    </xf>
    <xf numFmtId="3" fontId="0" fillId="0" borderId="0" xfId="0" applyNumberFormat="1" applyAlignment="1">
      <alignment horizontal="right"/>
    </xf>
    <xf numFmtId="3" fontId="0" fillId="0" borderId="0" xfId="0" applyNumberFormat="1" applyAlignment="1">
      <alignment horizontal="left"/>
    </xf>
    <xf numFmtId="3" fontId="50" fillId="0" borderId="0" xfId="0" applyNumberFormat="1" applyFont="1"/>
    <xf numFmtId="3" fontId="0" fillId="0" borderId="0" xfId="0" applyNumberFormat="1"/>
    <xf numFmtId="0" fontId="0" fillId="0" borderId="0" xfId="0" applyAlignment="1">
      <alignment horizontal="left"/>
    </xf>
    <xf numFmtId="0" fontId="11" fillId="0" borderId="0" xfId="0" applyFont="1" applyAlignment="1">
      <alignment horizontal="left" wrapText="1"/>
    </xf>
    <xf numFmtId="0" fontId="11" fillId="0" borderId="0" xfId="0" applyFont="1" applyAlignment="1">
      <alignment horizontal="center" wrapText="1"/>
    </xf>
    <xf numFmtId="3" fontId="11" fillId="0" borderId="0" xfId="0" applyNumberFormat="1" applyFont="1" applyAlignment="1">
      <alignment horizontal="left" wrapText="1"/>
    </xf>
    <xf numFmtId="3" fontId="11" fillId="0" borderId="0" xfId="0" applyNumberFormat="1" applyFont="1" applyAlignment="1">
      <alignment wrapText="1"/>
    </xf>
    <xf numFmtId="0" fontId="0" fillId="0" borderId="0" xfId="0" applyAlignment="1">
      <alignment horizontal="center"/>
    </xf>
    <xf numFmtId="0" fontId="10" fillId="0" borderId="0" xfId="0" applyFont="1" applyAlignment="1">
      <alignment horizontal="left"/>
    </xf>
    <xf numFmtId="0" fontId="11" fillId="0" borderId="0" xfId="0" applyFont="1"/>
    <xf numFmtId="3" fontId="11" fillId="0" borderId="4" xfId="0" applyNumberFormat="1" applyFont="1" applyBorder="1" applyAlignment="1">
      <alignment horizontal="right"/>
    </xf>
    <xf numFmtId="3" fontId="11" fillId="0" borderId="23" xfId="0" applyNumberFormat="1" applyFont="1" applyBorder="1" applyAlignment="1">
      <alignment horizontal="right"/>
    </xf>
    <xf numFmtId="3" fontId="11" fillId="0" borderId="1" xfId="0" applyNumberFormat="1" applyFont="1" applyBorder="1" applyAlignment="1">
      <alignment horizontal="right"/>
    </xf>
    <xf numFmtId="3" fontId="48" fillId="0" borderId="0" xfId="0" applyNumberFormat="1" applyFont="1" applyAlignment="1">
      <alignment horizontal="right"/>
    </xf>
    <xf numFmtId="0" fontId="49" fillId="0" borderId="0" xfId="0" applyFont="1"/>
    <xf numFmtId="0" fontId="50" fillId="0" borderId="0" xfId="0" applyFont="1"/>
    <xf numFmtId="3" fontId="10" fillId="9" borderId="0" xfId="0" applyNumberFormat="1" applyFont="1" applyFill="1" applyAlignment="1">
      <alignment horizontal="right"/>
    </xf>
    <xf numFmtId="3" fontId="10" fillId="9" borderId="2" xfId="0" applyNumberFormat="1" applyFont="1" applyFill="1" applyBorder="1" applyAlignment="1">
      <alignment horizontal="right"/>
    </xf>
    <xf numFmtId="0" fontId="11" fillId="9" borderId="0" xfId="0" applyFont="1" applyFill="1" applyAlignment="1">
      <alignment wrapText="1"/>
    </xf>
    <xf numFmtId="0" fontId="48" fillId="9" borderId="38" xfId="0" applyFont="1" applyFill="1" applyBorder="1" applyAlignment="1" applyProtection="1">
      <alignment horizontal="left"/>
      <protection locked="0"/>
    </xf>
    <xf numFmtId="0" fontId="52" fillId="0" borderId="0" xfId="0" applyFont="1" applyProtection="1">
      <protection locked="0"/>
    </xf>
    <xf numFmtId="0" fontId="52" fillId="0" borderId="0" xfId="0" applyFont="1" applyAlignment="1" applyProtection="1">
      <alignment vertical="top"/>
      <protection locked="0"/>
    </xf>
    <xf numFmtId="0" fontId="52" fillId="11" borderId="0" xfId="0" applyFont="1" applyFill="1" applyProtection="1">
      <protection locked="0"/>
    </xf>
    <xf numFmtId="0" fontId="15" fillId="12" borderId="0" xfId="0" applyFont="1" applyFill="1" applyAlignment="1">
      <alignment horizontal="right"/>
    </xf>
    <xf numFmtId="0" fontId="50" fillId="12" borderId="0" xfId="0" applyFont="1" applyFill="1" applyAlignment="1">
      <alignment horizontal="right"/>
    </xf>
    <xf numFmtId="0" fontId="11" fillId="12" borderId="0" xfId="0" applyFont="1" applyFill="1" applyAlignment="1">
      <alignment horizontal="right" wrapText="1"/>
    </xf>
    <xf numFmtId="0" fontId="50" fillId="12" borderId="0" xfId="0" applyFont="1" applyFill="1" applyAlignment="1">
      <alignment horizontal="right" wrapText="1"/>
    </xf>
    <xf numFmtId="3" fontId="50" fillId="12" borderId="0" xfId="0" applyNumberFormat="1" applyFont="1" applyFill="1" applyAlignment="1">
      <alignment horizontal="right"/>
    </xf>
    <xf numFmtId="0" fontId="11" fillId="12" borderId="0" xfId="0" applyFont="1" applyFill="1" applyAlignment="1" applyProtection="1">
      <alignment horizontal="right" wrapText="1"/>
      <protection locked="0"/>
    </xf>
    <xf numFmtId="167" fontId="11" fillId="12" borderId="0" xfId="0" applyNumberFormat="1" applyFont="1" applyFill="1" applyAlignment="1" applyProtection="1">
      <alignment horizontal="right"/>
      <protection locked="0"/>
    </xf>
    <xf numFmtId="0" fontId="10" fillId="0" borderId="38" xfId="0" applyFont="1" applyBorder="1" applyAlignment="1" applyProtection="1">
      <alignment horizontal="center"/>
      <protection locked="0"/>
    </xf>
    <xf numFmtId="3" fontId="10" fillId="4" borderId="30" xfId="0" applyNumberFormat="1" applyFont="1" applyFill="1" applyBorder="1" applyAlignment="1" applyProtection="1">
      <alignment horizontal="center"/>
      <protection locked="0"/>
    </xf>
    <xf numFmtId="0" fontId="11" fillId="13" borderId="5" xfId="0" applyFont="1" applyFill="1" applyBorder="1" applyProtection="1">
      <protection hidden="1"/>
    </xf>
    <xf numFmtId="0" fontId="0" fillId="13" borderId="6" xfId="0" applyFill="1" applyBorder="1" applyProtection="1">
      <protection hidden="1"/>
    </xf>
    <xf numFmtId="0" fontId="0" fillId="13" borderId="7" xfId="0" applyFill="1" applyBorder="1" applyProtection="1">
      <protection hidden="1"/>
    </xf>
    <xf numFmtId="49" fontId="11" fillId="13" borderId="4" xfId="0" applyNumberFormat="1" applyFont="1" applyFill="1" applyBorder="1" applyAlignment="1" applyProtection="1">
      <alignment horizontal="right"/>
      <protection hidden="1"/>
    </xf>
    <xf numFmtId="11" fontId="55" fillId="14" borderId="51" xfId="0" applyNumberFormat="1" applyFont="1" applyFill="1" applyBorder="1" applyAlignment="1">
      <alignment vertical="center"/>
    </xf>
    <xf numFmtId="0" fontId="55" fillId="14" borderId="51" xfId="0" applyFont="1" applyFill="1" applyBorder="1" applyAlignment="1">
      <alignment vertical="center"/>
    </xf>
    <xf numFmtId="0" fontId="55" fillId="14" borderId="51" xfId="0" applyFont="1" applyFill="1" applyBorder="1" applyAlignment="1">
      <alignment horizontal="right" vertical="center"/>
    </xf>
    <xf numFmtId="0" fontId="55" fillId="15" borderId="51" xfId="0" applyFont="1" applyFill="1" applyBorder="1" applyAlignment="1">
      <alignment vertical="center"/>
    </xf>
    <xf numFmtId="0" fontId="55" fillId="15" borderId="51" xfId="0" applyFont="1" applyFill="1" applyBorder="1" applyAlignment="1">
      <alignment horizontal="right" vertical="center"/>
    </xf>
    <xf numFmtId="0" fontId="56" fillId="3" borderId="0" xfId="0" applyFont="1" applyFill="1" applyAlignment="1" applyProtection="1">
      <alignment horizontal="left"/>
      <protection hidden="1"/>
    </xf>
    <xf numFmtId="164" fontId="11" fillId="0" borderId="0" xfId="1" applyNumberFormat="1" applyFont="1" applyBorder="1" applyAlignment="1" applyProtection="1">
      <alignment horizontal="center"/>
      <protection hidden="1"/>
    </xf>
    <xf numFmtId="1" fontId="10" fillId="0" borderId="0" xfId="1" applyNumberFormat="1" applyFont="1" applyFill="1" applyBorder="1" applyAlignment="1" applyProtection="1">
      <alignment horizontal="center" vertical="center" wrapText="1"/>
      <protection hidden="1"/>
    </xf>
    <xf numFmtId="1" fontId="11" fillId="0" borderId="0" xfId="1" quotePrefix="1" applyNumberFormat="1" applyFont="1" applyFill="1" applyBorder="1" applyAlignment="1" applyProtection="1">
      <alignment horizontal="center" vertical="center" wrapText="1"/>
      <protection hidden="1"/>
    </xf>
    <xf numFmtId="1" fontId="11" fillId="0" borderId="0" xfId="1" applyNumberFormat="1" applyFont="1" applyFill="1" applyBorder="1" applyAlignment="1" applyProtection="1">
      <alignment horizontal="center" wrapText="1"/>
      <protection hidden="1"/>
    </xf>
    <xf numFmtId="49" fontId="57" fillId="3" borderId="0" xfId="1" applyNumberFormat="1" applyFont="1" applyFill="1" applyBorder="1" applyAlignment="1" applyProtection="1">
      <alignment horizontal="center"/>
      <protection hidden="1"/>
    </xf>
    <xf numFmtId="49" fontId="58" fillId="3" borderId="0" xfId="0" applyNumberFormat="1" applyFont="1" applyFill="1" applyAlignment="1" applyProtection="1">
      <alignment horizontal="center" vertical="center" textRotation="90" wrapText="1"/>
      <protection hidden="1"/>
    </xf>
    <xf numFmtId="164" fontId="11" fillId="0" borderId="0" xfId="1" applyNumberFormat="1" applyFont="1" applyFill="1" applyBorder="1" applyAlignment="1" applyProtection="1">
      <alignment horizontal="center"/>
      <protection hidden="1"/>
    </xf>
    <xf numFmtId="165" fontId="11" fillId="0" borderId="0" xfId="1" applyNumberFormat="1" applyFont="1" applyFill="1" applyBorder="1" applyProtection="1">
      <protection hidden="1"/>
    </xf>
    <xf numFmtId="164" fontId="48" fillId="0" borderId="0" xfId="1" applyNumberFormat="1" applyFont="1" applyFill="1" applyBorder="1" applyAlignment="1" applyProtection="1">
      <alignment horizontal="center"/>
      <protection hidden="1"/>
    </xf>
    <xf numFmtId="3" fontId="11" fillId="0" borderId="0" xfId="1" applyNumberFormat="1" applyFont="1" applyFill="1" applyBorder="1" applyAlignment="1" applyProtection="1">
      <alignment horizontal="right"/>
      <protection hidden="1"/>
    </xf>
    <xf numFmtId="164" fontId="10" fillId="0" borderId="2" xfId="1" applyNumberFormat="1" applyFont="1" applyFill="1" applyBorder="1" applyProtection="1">
      <protection hidden="1"/>
    </xf>
    <xf numFmtId="164" fontId="10" fillId="0" borderId="0" xfId="1" applyNumberFormat="1" applyFont="1" applyFill="1" applyBorder="1" applyProtection="1">
      <protection hidden="1"/>
    </xf>
    <xf numFmtId="164" fontId="11" fillId="0" borderId="25" xfId="1" applyNumberFormat="1" applyFont="1" applyFill="1" applyBorder="1" applyAlignment="1" applyProtection="1">
      <alignment horizontal="center"/>
      <protection hidden="1"/>
    </xf>
    <xf numFmtId="165" fontId="11" fillId="0" borderId="28" xfId="1" applyNumberFormat="1" applyFont="1" applyFill="1" applyBorder="1" applyProtection="1">
      <protection hidden="1"/>
    </xf>
    <xf numFmtId="3" fontId="10" fillId="0" borderId="0" xfId="1" applyNumberFormat="1" applyFont="1" applyFill="1" applyBorder="1" applyAlignment="1" applyProtection="1">
      <alignment horizontal="right"/>
      <protection hidden="1"/>
    </xf>
    <xf numFmtId="165" fontId="11" fillId="0" borderId="2" xfId="1" applyNumberFormat="1" applyFont="1" applyFill="1" applyBorder="1" applyProtection="1">
      <protection hidden="1"/>
    </xf>
    <xf numFmtId="164" fontId="10" fillId="0" borderId="0" xfId="1" applyNumberFormat="1" applyFont="1" applyFill="1" applyProtection="1">
      <protection hidden="1"/>
    </xf>
    <xf numFmtId="164" fontId="10" fillId="0" borderId="0" xfId="1" applyNumberFormat="1" applyFont="1" applyProtection="1">
      <protection hidden="1"/>
    </xf>
    <xf numFmtId="164" fontId="60" fillId="0" borderId="0" xfId="1" applyNumberFormat="1" applyFont="1" applyBorder="1" applyAlignment="1" applyProtection="1">
      <alignment horizontal="center" vertical="center" wrapText="1"/>
      <protection hidden="1"/>
    </xf>
    <xf numFmtId="10" fontId="61" fillId="0" borderId="0" xfId="4" applyNumberFormat="1" applyFont="1" applyBorder="1" applyProtection="1">
      <protection hidden="1"/>
    </xf>
    <xf numFmtId="10" fontId="60" fillId="0" borderId="0" xfId="4" applyNumberFormat="1" applyFont="1" applyBorder="1" applyProtection="1">
      <protection hidden="1"/>
    </xf>
    <xf numFmtId="164" fontId="62" fillId="0" borderId="0" xfId="1" applyNumberFormat="1" applyFont="1" applyBorder="1" applyProtection="1">
      <protection hidden="1"/>
    </xf>
    <xf numFmtId="164" fontId="10" fillId="0" borderId="0" xfId="1" applyNumberFormat="1" applyFont="1" applyBorder="1" applyProtection="1">
      <protection hidden="1"/>
    </xf>
    <xf numFmtId="164" fontId="10" fillId="0" borderId="0" xfId="1" applyNumberFormat="1" applyFont="1" applyFill="1" applyBorder="1" applyAlignment="1" applyProtection="1">
      <protection hidden="1"/>
    </xf>
    <xf numFmtId="164" fontId="10" fillId="0" borderId="0" xfId="1" applyNumberFormat="1" applyFont="1" applyBorder="1" applyAlignment="1" applyProtection="1">
      <alignment horizontal="left"/>
      <protection hidden="1"/>
    </xf>
    <xf numFmtId="164" fontId="10" fillId="0" borderId="1" xfId="1" applyNumberFormat="1" applyFont="1" applyBorder="1" applyAlignment="1" applyProtection="1">
      <alignment horizontal="left" vertical="center"/>
      <protection hidden="1"/>
    </xf>
    <xf numFmtId="3" fontId="10" fillId="0" borderId="1" xfId="1" quotePrefix="1" applyNumberFormat="1" applyFont="1" applyFill="1" applyBorder="1" applyAlignment="1" applyProtection="1">
      <alignment horizontal="center"/>
      <protection locked="0"/>
    </xf>
    <xf numFmtId="164" fontId="12" fillId="0" borderId="0" xfId="1" applyNumberFormat="1" applyFont="1" applyBorder="1" applyAlignment="1" applyProtection="1">
      <protection hidden="1"/>
    </xf>
    <xf numFmtId="164" fontId="12" fillId="0" borderId="0" xfId="1" applyNumberFormat="1" applyFont="1" applyBorder="1" applyAlignment="1" applyProtection="1">
      <alignment horizontal="left"/>
      <protection hidden="1"/>
    </xf>
    <xf numFmtId="0" fontId="10" fillId="3" borderId="0" xfId="0" applyFont="1" applyFill="1" applyAlignment="1" applyProtection="1">
      <alignment horizontal="center" vertical="center"/>
      <protection hidden="1"/>
    </xf>
    <xf numFmtId="164" fontId="10" fillId="0" borderId="11" xfId="1" applyNumberFormat="1" applyFont="1" applyBorder="1" applyProtection="1">
      <protection hidden="1"/>
    </xf>
    <xf numFmtId="3" fontId="12" fillId="3" borderId="11" xfId="1" applyNumberFormat="1" applyFont="1" applyFill="1" applyBorder="1" applyAlignment="1" applyProtection="1">
      <alignment horizontal="right"/>
      <protection hidden="1"/>
    </xf>
    <xf numFmtId="164" fontId="10" fillId="0" borderId="10" xfId="1" applyNumberFormat="1" applyFont="1" applyBorder="1" applyProtection="1">
      <protection hidden="1"/>
    </xf>
    <xf numFmtId="166" fontId="10" fillId="0" borderId="0" xfId="1" applyNumberFormat="1" applyFont="1" applyBorder="1" applyProtection="1">
      <protection hidden="1"/>
    </xf>
    <xf numFmtId="164" fontId="10" fillId="0" borderId="2" xfId="1" applyNumberFormat="1" applyFont="1" applyBorder="1" applyProtection="1">
      <protection hidden="1"/>
    </xf>
    <xf numFmtId="164" fontId="10" fillId="0" borderId="25" xfId="1" applyNumberFormat="1" applyFont="1" applyBorder="1" applyProtection="1">
      <protection hidden="1"/>
    </xf>
    <xf numFmtId="164" fontId="10" fillId="0" borderId="28" xfId="1" applyNumberFormat="1" applyFont="1" applyBorder="1" applyProtection="1">
      <protection hidden="1"/>
    </xf>
    <xf numFmtId="3" fontId="12" fillId="3" borderId="0" xfId="1" applyNumberFormat="1" applyFont="1" applyFill="1" applyBorder="1" applyAlignment="1" applyProtection="1">
      <alignment horizontal="right"/>
      <protection hidden="1"/>
    </xf>
    <xf numFmtId="3" fontId="12" fillId="0" borderId="0" xfId="1" applyNumberFormat="1" applyFont="1" applyFill="1" applyBorder="1" applyAlignment="1" applyProtection="1">
      <alignment horizontal="right"/>
      <protection hidden="1"/>
    </xf>
    <xf numFmtId="164" fontId="23" fillId="0" borderId="2" xfId="1" applyNumberFormat="1" applyFont="1" applyBorder="1" applyProtection="1">
      <protection hidden="1"/>
    </xf>
    <xf numFmtId="164" fontId="10" fillId="0" borderId="0" xfId="1" applyNumberFormat="1" applyFont="1" applyAlignment="1" applyProtection="1">
      <alignment horizontal="left"/>
      <protection hidden="1"/>
    </xf>
    <xf numFmtId="1" fontId="16" fillId="0" borderId="0" xfId="0" applyNumberFormat="1" applyFont="1" applyProtection="1">
      <protection hidden="1"/>
    </xf>
    <xf numFmtId="0" fontId="16" fillId="0" borderId="0" xfId="0" applyFont="1" applyProtection="1">
      <protection hidden="1"/>
    </xf>
    <xf numFmtId="10" fontId="13" fillId="17" borderId="1" xfId="4" applyNumberFormat="1" applyFont="1" applyFill="1" applyBorder="1" applyAlignment="1" applyProtection="1">
      <alignment horizontal="right"/>
      <protection hidden="1"/>
    </xf>
    <xf numFmtId="167" fontId="13" fillId="17" borderId="1" xfId="1" applyNumberFormat="1" applyFont="1" applyFill="1" applyBorder="1" applyProtection="1">
      <protection hidden="1"/>
    </xf>
    <xf numFmtId="0" fontId="64" fillId="3" borderId="0" xfId="0" applyFont="1" applyFill="1" applyAlignment="1" applyProtection="1">
      <alignment horizontal="left"/>
      <protection hidden="1"/>
    </xf>
    <xf numFmtId="0" fontId="22" fillId="0" borderId="0" xfId="0" applyFont="1" applyProtection="1">
      <protection hidden="1"/>
    </xf>
    <xf numFmtId="0" fontId="25" fillId="0" borderId="0" xfId="0" applyFont="1" applyProtection="1">
      <protection hidden="1"/>
    </xf>
    <xf numFmtId="0" fontId="26" fillId="0" borderId="0" xfId="0" applyFont="1" applyProtection="1">
      <protection hidden="1"/>
    </xf>
    <xf numFmtId="0" fontId="25" fillId="0" borderId="0" xfId="0" applyFont="1" applyAlignment="1" applyProtection="1">
      <alignment horizontal="right"/>
      <protection hidden="1"/>
    </xf>
    <xf numFmtId="0" fontId="25" fillId="0" borderId="0" xfId="0" applyFont="1" applyAlignment="1" applyProtection="1">
      <alignment horizontal="center"/>
      <protection hidden="1"/>
    </xf>
    <xf numFmtId="0" fontId="20" fillId="3" borderId="0" xfId="0" applyFont="1" applyFill="1" applyAlignment="1" applyProtection="1">
      <alignment horizontal="left"/>
      <protection hidden="1"/>
    </xf>
    <xf numFmtId="0" fontId="23" fillId="3" borderId="0" xfId="0" applyFont="1" applyFill="1" applyAlignment="1" applyProtection="1">
      <alignment horizontal="center"/>
      <protection hidden="1"/>
    </xf>
    <xf numFmtId="0" fontId="28" fillId="8" borderId="0" xfId="0" applyFont="1" applyFill="1" applyAlignment="1" applyProtection="1">
      <alignment horizontal="right" vertical="center"/>
      <protection hidden="1"/>
    </xf>
    <xf numFmtId="170" fontId="0" fillId="0" borderId="0" xfId="0" applyNumberFormat="1" applyProtection="1">
      <protection hidden="1"/>
    </xf>
    <xf numFmtId="170" fontId="10" fillId="0" borderId="0" xfId="0" applyNumberFormat="1" applyFont="1" applyProtection="1">
      <protection hidden="1"/>
    </xf>
    <xf numFmtId="170" fontId="27" fillId="0" borderId="0" xfId="1" applyNumberFormat="1" applyFont="1" applyBorder="1" applyAlignment="1" applyProtection="1">
      <alignment horizontal="right"/>
      <protection hidden="1"/>
    </xf>
    <xf numFmtId="170" fontId="13" fillId="10" borderId="1" xfId="1" applyNumberFormat="1" applyFont="1" applyFill="1" applyBorder="1" applyAlignment="1" applyProtection="1">
      <alignment horizontal="center" vertical="center" wrapText="1"/>
      <protection locked="0"/>
    </xf>
    <xf numFmtId="164" fontId="62" fillId="8" borderId="0" xfId="1" applyNumberFormat="1" applyFont="1" applyFill="1" applyBorder="1" applyProtection="1">
      <protection hidden="1"/>
    </xf>
    <xf numFmtId="164" fontId="65" fillId="0" borderId="0" xfId="1" applyNumberFormat="1" applyFont="1" applyBorder="1" applyProtection="1">
      <protection hidden="1"/>
    </xf>
    <xf numFmtId="164" fontId="61" fillId="0" borderId="0" xfId="1" applyNumberFormat="1" applyFont="1" applyBorder="1" applyProtection="1">
      <protection hidden="1"/>
    </xf>
    <xf numFmtId="164" fontId="10" fillId="0" borderId="25" xfId="1" applyNumberFormat="1" applyFont="1" applyBorder="1" applyAlignment="1" applyProtection="1">
      <alignment horizontal="left"/>
      <protection hidden="1"/>
    </xf>
    <xf numFmtId="0" fontId="36" fillId="3" borderId="18" xfId="0" applyFont="1" applyFill="1" applyBorder="1" applyProtection="1">
      <protection hidden="1"/>
    </xf>
    <xf numFmtId="0" fontId="36" fillId="5" borderId="19" xfId="0" applyFont="1" applyFill="1" applyBorder="1" applyProtection="1">
      <protection hidden="1"/>
    </xf>
    <xf numFmtId="0" fontId="10" fillId="3" borderId="0" xfId="0" applyFont="1" applyFill="1" applyAlignment="1" applyProtection="1">
      <alignment horizontal="left"/>
      <protection hidden="1"/>
    </xf>
    <xf numFmtId="167" fontId="10" fillId="3" borderId="4" xfId="1" applyNumberFormat="1" applyFont="1" applyFill="1" applyBorder="1" applyAlignment="1" applyProtection="1">
      <alignment horizontal="right"/>
      <protection hidden="1"/>
    </xf>
    <xf numFmtId="165" fontId="10" fillId="0" borderId="0" xfId="1" applyNumberFormat="1" applyFont="1" applyFill="1" applyBorder="1" applyAlignment="1" applyProtection="1">
      <alignment horizontal="right"/>
      <protection hidden="1"/>
    </xf>
    <xf numFmtId="164" fontId="10" fillId="0" borderId="0" xfId="1" applyNumberFormat="1" applyFont="1" applyFill="1" applyBorder="1" applyAlignment="1" applyProtection="1">
      <alignment horizontal="right"/>
      <protection hidden="1"/>
    </xf>
    <xf numFmtId="164" fontId="22" fillId="3" borderId="0" xfId="1" applyNumberFormat="1" applyFont="1" applyFill="1" applyProtection="1">
      <protection hidden="1"/>
    </xf>
    <xf numFmtId="0" fontId="22" fillId="6" borderId="0" xfId="0" applyFont="1" applyFill="1" applyAlignment="1" applyProtection="1">
      <alignment horizontal="left"/>
      <protection hidden="1"/>
    </xf>
    <xf numFmtId="0" fontId="10" fillId="0" borderId="30" xfId="0" applyFont="1" applyBorder="1" applyAlignment="1" applyProtection="1">
      <alignment horizontal="center"/>
      <protection hidden="1"/>
    </xf>
    <xf numFmtId="0" fontId="10" fillId="0" borderId="38" xfId="0" applyFont="1" applyBorder="1" applyAlignment="1" applyProtection="1">
      <alignment horizontal="left"/>
      <protection locked="0"/>
    </xf>
    <xf numFmtId="0" fontId="10" fillId="0" borderId="38" xfId="0" applyFont="1" applyBorder="1" applyAlignment="1" applyProtection="1">
      <alignment horizontal="right"/>
      <protection locked="0"/>
    </xf>
    <xf numFmtId="3" fontId="10" fillId="4" borderId="30" xfId="0" applyNumberFormat="1" applyFont="1" applyFill="1" applyBorder="1" applyAlignment="1" applyProtection="1">
      <alignment horizontal="right"/>
      <protection locked="0"/>
    </xf>
    <xf numFmtId="0" fontId="10" fillId="0" borderId="0" xfId="0" applyFont="1" applyAlignment="1" applyProtection="1">
      <alignment horizontal="center"/>
      <protection locked="0"/>
    </xf>
    <xf numFmtId="0" fontId="10" fillId="0" borderId="0" xfId="0" applyFont="1" applyAlignment="1" applyProtection="1">
      <alignment horizontal="right"/>
      <protection locked="0"/>
    </xf>
    <xf numFmtId="3" fontId="10" fillId="0" borderId="0" xfId="1" applyNumberFormat="1" applyFont="1" applyFill="1" applyBorder="1" applyAlignment="1" applyProtection="1">
      <alignment horizontal="right"/>
      <protection locked="0"/>
    </xf>
    <xf numFmtId="3" fontId="10" fillId="0" borderId="0" xfId="0" applyNumberFormat="1" applyFont="1" applyAlignment="1">
      <alignment horizontal="right"/>
    </xf>
    <xf numFmtId="0" fontId="10" fillId="12" borderId="0" xfId="0" applyFont="1" applyFill="1" applyAlignment="1">
      <alignment horizontal="right"/>
    </xf>
    <xf numFmtId="3" fontId="10" fillId="0" borderId="0" xfId="0" applyNumberFormat="1" applyFont="1" applyAlignment="1">
      <alignment horizontal="left"/>
    </xf>
    <xf numFmtId="0" fontId="10" fillId="0" borderId="0" xfId="0" applyFont="1" applyAlignment="1">
      <alignment wrapText="1"/>
    </xf>
    <xf numFmtId="3" fontId="10" fillId="12" borderId="0" xfId="0" applyNumberFormat="1" applyFont="1" applyFill="1" applyAlignment="1">
      <alignment horizontal="right"/>
    </xf>
    <xf numFmtId="3" fontId="10" fillId="0" borderId="0" xfId="0" applyNumberFormat="1" applyFont="1"/>
    <xf numFmtId="167" fontId="10" fillId="12" borderId="0" xfId="0" applyNumberFormat="1" applyFont="1" applyFill="1" applyAlignment="1" applyProtection="1">
      <alignment horizontal="right"/>
      <protection locked="0"/>
    </xf>
    <xf numFmtId="167" fontId="10" fillId="0" borderId="0" xfId="0" applyNumberFormat="1" applyFont="1" applyProtection="1">
      <protection locked="0"/>
    </xf>
    <xf numFmtId="167" fontId="10" fillId="9" borderId="0" xfId="0" applyNumberFormat="1" applyFont="1" applyFill="1" applyAlignment="1" applyProtection="1">
      <alignment horizontal="right"/>
      <protection locked="0"/>
    </xf>
    <xf numFmtId="0" fontId="10" fillId="12" borderId="0" xfId="0" applyFont="1" applyFill="1" applyAlignment="1" applyProtection="1">
      <alignment horizontal="right"/>
      <protection locked="0"/>
    </xf>
    <xf numFmtId="0" fontId="10" fillId="0" borderId="2" xfId="0" applyFont="1" applyBorder="1"/>
    <xf numFmtId="167" fontId="10" fillId="19" borderId="4" xfId="1" applyNumberFormat="1" applyFont="1" applyFill="1" applyBorder="1" applyAlignment="1" applyProtection="1">
      <alignment horizontal="right"/>
      <protection hidden="1"/>
    </xf>
    <xf numFmtId="10" fontId="13" fillId="0" borderId="0" xfId="4" applyNumberFormat="1" applyFont="1" applyFill="1" applyBorder="1" applyAlignment="1" applyProtection="1">
      <alignment horizontal="center"/>
      <protection hidden="1"/>
    </xf>
    <xf numFmtId="0" fontId="67" fillId="0" borderId="0" xfId="10" applyFont="1"/>
    <xf numFmtId="0" fontId="4" fillId="0" borderId="0" xfId="10"/>
    <xf numFmtId="0" fontId="4" fillId="0" borderId="0" xfId="10" applyAlignment="1">
      <alignment wrapText="1"/>
    </xf>
    <xf numFmtId="0" fontId="4" fillId="0" borderId="0" xfId="10" applyAlignment="1">
      <alignment horizontal="left" wrapText="1" indent="2"/>
    </xf>
    <xf numFmtId="0" fontId="4" fillId="0" borderId="0" xfId="10" applyAlignment="1">
      <alignment vertical="top" wrapText="1"/>
    </xf>
    <xf numFmtId="0" fontId="4" fillId="0" borderId="0" xfId="10" applyAlignment="1">
      <alignment horizontal="left"/>
    </xf>
    <xf numFmtId="0" fontId="4" fillId="0" borderId="0" xfId="10" applyAlignment="1">
      <alignment horizontal="left" indent="1"/>
    </xf>
    <xf numFmtId="0" fontId="4" fillId="0" borderId="0" xfId="10" applyAlignment="1">
      <alignment horizontal="left" wrapText="1" indent="1"/>
    </xf>
    <xf numFmtId="0" fontId="3" fillId="0" borderId="0" xfId="10" applyFont="1" applyAlignment="1">
      <alignment horizontal="left" wrapText="1"/>
    </xf>
    <xf numFmtId="3" fontId="13" fillId="16" borderId="1" xfId="1" applyNumberFormat="1" applyFont="1" applyFill="1" applyBorder="1" applyAlignment="1" applyProtection="1">
      <alignment horizontal="right"/>
      <protection hidden="1"/>
    </xf>
    <xf numFmtId="0" fontId="25" fillId="0" borderId="0" xfId="0" applyFont="1" applyAlignment="1">
      <alignment horizontal="left"/>
    </xf>
    <xf numFmtId="170" fontId="43" fillId="3" borderId="4" xfId="0" applyNumberFormat="1" applyFont="1" applyFill="1" applyBorder="1" applyAlignment="1">
      <alignment horizontal="center" vertical="center" wrapText="1"/>
    </xf>
    <xf numFmtId="0" fontId="23" fillId="3" borderId="0" xfId="0" applyFont="1" applyFill="1" applyAlignment="1">
      <alignment horizontal="left"/>
    </xf>
    <xf numFmtId="0" fontId="0" fillId="0" borderId="0" xfId="0" applyAlignment="1">
      <alignment horizontal="right"/>
    </xf>
    <xf numFmtId="0" fontId="18" fillId="0" borderId="0" xfId="0" applyFont="1" applyAlignment="1">
      <alignment horizontal="right"/>
    </xf>
    <xf numFmtId="0" fontId="24" fillId="0" borderId="0" xfId="0" applyFont="1" applyAlignment="1">
      <alignment horizontal="right"/>
    </xf>
    <xf numFmtId="0" fontId="11" fillId="0" borderId="28" xfId="0" applyFont="1" applyBorder="1" applyAlignment="1">
      <alignment horizontal="left" wrapText="1"/>
    </xf>
    <xf numFmtId="0" fontId="11" fillId="0" borderId="28" xfId="0" applyFont="1" applyBorder="1" applyAlignment="1">
      <alignment horizontal="right" wrapText="1"/>
    </xf>
    <xf numFmtId="0" fontId="11" fillId="18" borderId="28" xfId="0" applyFont="1" applyFill="1" applyBorder="1" applyAlignment="1">
      <alignment horizontal="right" wrapText="1"/>
    </xf>
    <xf numFmtId="0" fontId="11" fillId="18" borderId="28" xfId="0" applyFont="1" applyFill="1" applyBorder="1" applyAlignment="1">
      <alignment horizontal="left" wrapText="1"/>
    </xf>
    <xf numFmtId="3" fontId="11" fillId="18" borderId="28" xfId="0" applyNumberFormat="1" applyFont="1" applyFill="1" applyBorder="1" applyAlignment="1">
      <alignment horizontal="right" wrapText="1"/>
    </xf>
    <xf numFmtId="1" fontId="10" fillId="0" borderId="0" xfId="0" applyNumberFormat="1" applyFont="1"/>
    <xf numFmtId="1" fontId="0" fillId="7" borderId="24" xfId="0" applyNumberFormat="1" applyFill="1" applyBorder="1" applyAlignment="1">
      <alignment horizontal="left"/>
    </xf>
    <xf numFmtId="1" fontId="0" fillId="7" borderId="25" xfId="0" applyNumberFormat="1" applyFill="1" applyBorder="1" applyAlignment="1">
      <alignment horizontal="left"/>
    </xf>
    <xf numFmtId="169" fontId="0" fillId="4" borderId="25" xfId="1" applyNumberFormat="1" applyFont="1" applyFill="1" applyBorder="1" applyAlignment="1" applyProtection="1">
      <alignment horizontal="right"/>
    </xf>
    <xf numFmtId="3" fontId="0" fillId="18" borderId="25" xfId="0" applyNumberFormat="1" applyFill="1" applyBorder="1" applyAlignment="1">
      <alignment horizontal="right"/>
    </xf>
    <xf numFmtId="0" fontId="0" fillId="18" borderId="25" xfId="0" applyFill="1" applyBorder="1" applyAlignment="1">
      <alignment horizontal="left"/>
    </xf>
    <xf numFmtId="0" fontId="0" fillId="18" borderId="25" xfId="0" applyFill="1" applyBorder="1" applyAlignment="1">
      <alignment horizontal="right"/>
    </xf>
    <xf numFmtId="14" fontId="0" fillId="18" borderId="25" xfId="0" applyNumberFormat="1" applyFill="1" applyBorder="1" applyAlignment="1">
      <alignment horizontal="right"/>
    </xf>
    <xf numFmtId="3" fontId="0" fillId="18" borderId="25" xfId="0" applyNumberFormat="1" applyFill="1" applyBorder="1" applyAlignment="1">
      <alignment horizontal="left"/>
    </xf>
    <xf numFmtId="3" fontId="10" fillId="18" borderId="25" xfId="0" applyNumberFormat="1" applyFont="1" applyFill="1" applyBorder="1" applyAlignment="1">
      <alignment horizontal="right" wrapText="1"/>
    </xf>
    <xf numFmtId="3" fontId="10" fillId="18" borderId="26" xfId="0" applyNumberFormat="1" applyFont="1" applyFill="1" applyBorder="1" applyAlignment="1">
      <alignment horizontal="right" wrapText="1"/>
    </xf>
    <xf numFmtId="1" fontId="0" fillId="7" borderId="13" xfId="0" applyNumberFormat="1" applyFill="1" applyBorder="1" applyAlignment="1">
      <alignment horizontal="left"/>
    </xf>
    <xf numFmtId="1" fontId="0" fillId="7" borderId="0" xfId="0" applyNumberFormat="1" applyFill="1" applyAlignment="1">
      <alignment horizontal="left"/>
    </xf>
    <xf numFmtId="169" fontId="0" fillId="4" borderId="0" xfId="1" applyNumberFormat="1" applyFont="1" applyFill="1" applyBorder="1" applyAlignment="1" applyProtection="1">
      <alignment horizontal="right"/>
    </xf>
    <xf numFmtId="3" fontId="0" fillId="18" borderId="0" xfId="0" applyNumberFormat="1" applyFill="1" applyAlignment="1">
      <alignment horizontal="right"/>
    </xf>
    <xf numFmtId="3" fontId="0" fillId="18" borderId="0" xfId="0" applyNumberFormat="1" applyFill="1" applyAlignment="1">
      <alignment horizontal="left"/>
    </xf>
    <xf numFmtId="3" fontId="0" fillId="18" borderId="21" xfId="0" applyNumberFormat="1" applyFill="1" applyBorder="1" applyAlignment="1">
      <alignment horizontal="right"/>
    </xf>
    <xf numFmtId="1" fontId="0" fillId="0" borderId="0" xfId="0" applyNumberFormat="1"/>
    <xf numFmtId="1" fontId="0" fillId="7" borderId="27" xfId="0" applyNumberFormat="1" applyFill="1" applyBorder="1" applyAlignment="1">
      <alignment horizontal="left"/>
    </xf>
    <xf numFmtId="1" fontId="0" fillId="7" borderId="28" xfId="0" applyNumberFormat="1" applyFill="1" applyBorder="1" applyAlignment="1">
      <alignment horizontal="left"/>
    </xf>
    <xf numFmtId="169" fontId="0" fillId="4" borderId="28" xfId="1" applyNumberFormat="1" applyFont="1" applyFill="1" applyBorder="1" applyAlignment="1" applyProtection="1">
      <alignment horizontal="right"/>
    </xf>
    <xf numFmtId="3" fontId="0" fillId="18" borderId="28" xfId="0" applyNumberFormat="1" applyFill="1" applyBorder="1" applyAlignment="1">
      <alignment horizontal="right"/>
    </xf>
    <xf numFmtId="3" fontId="0" fillId="18" borderId="28" xfId="0" applyNumberFormat="1" applyFill="1" applyBorder="1" applyAlignment="1">
      <alignment horizontal="left"/>
    </xf>
    <xf numFmtId="3" fontId="0" fillId="18" borderId="29" xfId="0" applyNumberFormat="1" applyFill="1" applyBorder="1" applyAlignment="1">
      <alignment horizontal="right"/>
    </xf>
    <xf numFmtId="0" fontId="17" fillId="7" borderId="24" xfId="0" applyFont="1" applyFill="1" applyBorder="1"/>
    <xf numFmtId="0" fontId="0" fillId="7" borderId="25" xfId="0" applyFill="1" applyBorder="1" applyAlignment="1">
      <alignment horizontal="left"/>
    </xf>
    <xf numFmtId="0" fontId="0" fillId="7" borderId="25" xfId="0" applyFill="1" applyBorder="1" applyAlignment="1">
      <alignment horizontal="right"/>
    </xf>
    <xf numFmtId="0" fontId="0" fillId="7" borderId="26" xfId="0" applyFill="1" applyBorder="1" applyAlignment="1">
      <alignment horizontal="right"/>
    </xf>
    <xf numFmtId="0" fontId="0" fillId="7" borderId="13" xfId="0" applyFill="1" applyBorder="1"/>
    <xf numFmtId="0" fontId="0" fillId="7" borderId="0" xfId="0" applyFill="1" applyAlignment="1">
      <alignment horizontal="left"/>
    </xf>
    <xf numFmtId="0" fontId="11" fillId="7" borderId="0" xfId="0" applyFont="1" applyFill="1" applyAlignment="1">
      <alignment horizontal="left"/>
    </xf>
    <xf numFmtId="49" fontId="11" fillId="7" borderId="0" xfId="0" applyNumberFormat="1" applyFont="1" applyFill="1" applyAlignment="1">
      <alignment horizontal="left"/>
    </xf>
    <xf numFmtId="0" fontId="11" fillId="7" borderId="0" xfId="0" applyFont="1" applyFill="1" applyAlignment="1">
      <alignment horizontal="right"/>
    </xf>
    <xf numFmtId="49" fontId="11" fillId="7" borderId="0" xfId="0" applyNumberFormat="1" applyFont="1" applyFill="1" applyAlignment="1">
      <alignment horizontal="right"/>
    </xf>
    <xf numFmtId="0" fontId="0" fillId="7" borderId="21" xfId="0" applyFill="1" applyBorder="1" applyAlignment="1">
      <alignment horizontal="right"/>
    </xf>
    <xf numFmtId="0" fontId="0" fillId="7" borderId="0" xfId="0" applyFill="1" applyAlignment="1">
      <alignment horizontal="right"/>
    </xf>
    <xf numFmtId="3" fontId="0" fillId="7" borderId="0" xfId="0" applyNumberFormat="1" applyFill="1" applyAlignment="1">
      <alignment horizontal="left"/>
    </xf>
    <xf numFmtId="3" fontId="0" fillId="7" borderId="0" xfId="0" applyNumberFormat="1" applyFill="1" applyAlignment="1">
      <alignment horizontal="right"/>
    </xf>
    <xf numFmtId="0" fontId="0" fillId="7" borderId="27" xfId="0" applyFill="1" applyBorder="1"/>
    <xf numFmtId="0" fontId="0" fillId="7" borderId="28" xfId="0" applyFill="1" applyBorder="1" applyAlignment="1">
      <alignment horizontal="left"/>
    </xf>
    <xf numFmtId="0" fontId="0" fillId="7" borderId="28" xfId="0" applyFill="1" applyBorder="1" applyAlignment="1">
      <alignment horizontal="right"/>
    </xf>
    <xf numFmtId="0" fontId="0" fillId="7" borderId="29" xfId="0" applyFill="1" applyBorder="1" applyAlignment="1">
      <alignment horizontal="right"/>
    </xf>
    <xf numFmtId="0" fontId="18" fillId="0" borderId="0" xfId="0" applyFont="1"/>
    <xf numFmtId="0" fontId="11" fillId="0" borderId="30" xfId="0" applyFont="1" applyBorder="1" applyAlignment="1">
      <alignment horizontal="center"/>
    </xf>
    <xf numFmtId="0" fontId="11" fillId="0" borderId="30" xfId="0" applyFont="1" applyBorder="1" applyAlignment="1">
      <alignment horizontal="left"/>
    </xf>
    <xf numFmtId="0" fontId="10" fillId="0" borderId="30" xfId="0" applyFont="1" applyBorder="1" applyAlignment="1">
      <alignment horizontal="left"/>
    </xf>
    <xf numFmtId="3" fontId="12" fillId="3" borderId="3" xfId="1" applyNumberFormat="1" applyFont="1" applyFill="1" applyBorder="1" applyAlignment="1" applyProtection="1">
      <alignment horizontal="right"/>
      <protection locked="0" hidden="1"/>
    </xf>
    <xf numFmtId="3" fontId="12" fillId="16" borderId="3" xfId="1" applyNumberFormat="1" applyFont="1" applyFill="1" applyBorder="1" applyAlignment="1" applyProtection="1">
      <alignment horizontal="right"/>
      <protection locked="0" hidden="1"/>
    </xf>
    <xf numFmtId="3" fontId="12" fillId="3" borderId="4" xfId="1" applyNumberFormat="1" applyFont="1" applyFill="1" applyBorder="1" applyAlignment="1" applyProtection="1">
      <alignment horizontal="right"/>
      <protection locked="0" hidden="1"/>
    </xf>
    <xf numFmtId="3" fontId="12" fillId="16" borderId="4" xfId="1" applyNumberFormat="1" applyFont="1" applyFill="1" applyBorder="1" applyAlignment="1" applyProtection="1">
      <alignment horizontal="right"/>
      <protection locked="0" hidden="1"/>
    </xf>
    <xf numFmtId="167" fontId="13" fillId="0" borderId="1" xfId="1" applyNumberFormat="1" applyFont="1" applyFill="1" applyBorder="1" applyProtection="1">
      <protection locked="0" hidden="1"/>
    </xf>
    <xf numFmtId="3" fontId="12" fillId="0" borderId="4" xfId="1" applyNumberFormat="1" applyFont="1" applyFill="1" applyBorder="1" applyAlignment="1" applyProtection="1">
      <alignment horizontal="right"/>
      <protection locked="0" hidden="1"/>
    </xf>
    <xf numFmtId="3" fontId="12" fillId="0" borderId="23" xfId="1" applyNumberFormat="1" applyFont="1" applyFill="1" applyBorder="1" applyAlignment="1" applyProtection="1">
      <alignment horizontal="right"/>
      <protection locked="0" hidden="1"/>
    </xf>
    <xf numFmtId="164" fontId="10" fillId="0" borderId="45" xfId="1" applyNumberFormat="1" applyFont="1" applyBorder="1" applyAlignment="1" applyProtection="1">
      <alignment horizontal="left"/>
      <protection hidden="1"/>
    </xf>
    <xf numFmtId="164" fontId="18" fillId="0" borderId="0" xfId="1" applyNumberFormat="1" applyFont="1" applyBorder="1" applyAlignment="1" applyProtection="1">
      <alignment horizontal="left"/>
      <protection hidden="1"/>
    </xf>
    <xf numFmtId="164" fontId="10" fillId="0" borderId="2" xfId="1" applyNumberFormat="1" applyFont="1" applyBorder="1" applyAlignment="1" applyProtection="1">
      <alignment horizontal="left"/>
      <protection hidden="1"/>
    </xf>
    <xf numFmtId="164" fontId="10" fillId="0" borderId="28" xfId="1" applyNumberFormat="1" applyFont="1" applyBorder="1" applyAlignment="1" applyProtection="1">
      <alignment horizontal="left"/>
      <protection hidden="1"/>
    </xf>
    <xf numFmtId="164" fontId="11" fillId="0" borderId="45" xfId="1" applyNumberFormat="1" applyFont="1" applyBorder="1" applyAlignment="1" applyProtection="1">
      <alignment horizontal="left"/>
      <protection hidden="1"/>
    </xf>
    <xf numFmtId="164" fontId="12" fillId="0" borderId="11" xfId="1" applyNumberFormat="1" applyFont="1" applyBorder="1" applyProtection="1">
      <protection hidden="1"/>
    </xf>
    <xf numFmtId="164" fontId="13" fillId="0" borderId="11" xfId="1" applyNumberFormat="1" applyFont="1" applyBorder="1" applyAlignment="1" applyProtection="1">
      <alignment horizontal="left"/>
      <protection hidden="1"/>
    </xf>
    <xf numFmtId="164" fontId="13" fillId="0" borderId="11" xfId="1" applyNumberFormat="1" applyFont="1" applyBorder="1" applyAlignment="1" applyProtection="1">
      <alignment vertical="center" wrapText="1"/>
      <protection hidden="1"/>
    </xf>
    <xf numFmtId="164" fontId="10" fillId="0" borderId="4" xfId="1" applyNumberFormat="1" applyFont="1" applyBorder="1" applyProtection="1">
      <protection locked="0"/>
    </xf>
    <xf numFmtId="164" fontId="11" fillId="0" borderId="11" xfId="1" applyNumberFormat="1" applyFont="1" applyBorder="1" applyProtection="1">
      <protection locked="0"/>
    </xf>
    <xf numFmtId="164" fontId="10" fillId="0" borderId="11" xfId="1" applyNumberFormat="1" applyFont="1" applyBorder="1" applyProtection="1">
      <protection locked="0"/>
    </xf>
    <xf numFmtId="9" fontId="59" fillId="3" borderId="11" xfId="4" applyFont="1" applyFill="1" applyBorder="1" applyAlignment="1" applyProtection="1">
      <alignment horizontal="right"/>
      <protection locked="0"/>
    </xf>
    <xf numFmtId="9" fontId="58" fillId="3" borderId="11" xfId="4" applyFont="1" applyFill="1" applyBorder="1" applyAlignment="1" applyProtection="1">
      <alignment horizontal="right"/>
      <protection locked="0"/>
    </xf>
    <xf numFmtId="164" fontId="10" fillId="0" borderId="0" xfId="1" applyNumberFormat="1" applyFont="1" applyFill="1" applyBorder="1" applyProtection="1">
      <protection locked="0"/>
    </xf>
    <xf numFmtId="3" fontId="12" fillId="3" borderId="3" xfId="1" applyNumberFormat="1" applyFont="1" applyFill="1" applyBorder="1" applyAlignment="1" applyProtection="1">
      <alignment horizontal="right"/>
      <protection hidden="1"/>
    </xf>
    <xf numFmtId="3" fontId="12" fillId="3" borderId="4" xfId="1" applyNumberFormat="1" applyFont="1" applyFill="1" applyBorder="1" applyAlignment="1" applyProtection="1">
      <alignment horizontal="right"/>
      <protection hidden="1"/>
    </xf>
    <xf numFmtId="164" fontId="10" fillId="16" borderId="4" xfId="1" applyNumberFormat="1" applyFont="1" applyFill="1" applyBorder="1" applyAlignment="1" applyProtection="1">
      <alignment horizontal="left"/>
      <protection locked="0" hidden="1"/>
    </xf>
    <xf numFmtId="49" fontId="23" fillId="3" borderId="12" xfId="0" applyNumberFormat="1" applyFont="1" applyFill="1" applyBorder="1" applyAlignment="1" applyProtection="1">
      <alignment horizontal="center" vertical="center" wrapText="1"/>
      <protection hidden="1"/>
    </xf>
    <xf numFmtId="164" fontId="12" fillId="0" borderId="12" xfId="1" applyNumberFormat="1" applyFont="1" applyBorder="1" applyAlignment="1" applyProtection="1">
      <alignment horizontal="left"/>
      <protection hidden="1"/>
    </xf>
    <xf numFmtId="164" fontId="10" fillId="0" borderId="12" xfId="1" applyNumberFormat="1" applyFont="1" applyBorder="1" applyAlignment="1" applyProtection="1">
      <alignment horizontal="left"/>
      <protection hidden="1"/>
    </xf>
    <xf numFmtId="3" fontId="12" fillId="0" borderId="3" xfId="1" applyNumberFormat="1" applyFont="1" applyFill="1" applyBorder="1" applyAlignment="1" applyProtection="1">
      <alignment horizontal="right"/>
      <protection hidden="1"/>
    </xf>
    <xf numFmtId="3" fontId="12" fillId="16" borderId="3" xfId="1" applyNumberFormat="1" applyFont="1" applyFill="1" applyBorder="1" applyAlignment="1" applyProtection="1">
      <alignment horizontal="right"/>
      <protection hidden="1"/>
    </xf>
    <xf numFmtId="9" fontId="59" fillId="3" borderId="11" xfId="4" applyFont="1" applyFill="1" applyBorder="1" applyAlignment="1" applyProtection="1">
      <alignment horizontal="right"/>
      <protection hidden="1"/>
    </xf>
    <xf numFmtId="167" fontId="13" fillId="20" borderId="4" xfId="1" applyNumberFormat="1" applyFont="1" applyFill="1" applyBorder="1" applyProtection="1">
      <protection hidden="1"/>
    </xf>
    <xf numFmtId="164" fontId="68" fillId="16" borderId="4" xfId="1" applyNumberFormat="1" applyFont="1" applyFill="1" applyBorder="1" applyAlignment="1" applyProtection="1">
      <alignment horizontal="left"/>
      <protection locked="0" hidden="1"/>
    </xf>
    <xf numFmtId="9" fontId="59" fillId="20" borderId="11" xfId="4" applyFont="1" applyFill="1" applyBorder="1" applyAlignment="1" applyProtection="1">
      <alignment horizontal="right"/>
      <protection hidden="1"/>
    </xf>
    <xf numFmtId="9" fontId="58" fillId="3" borderId="11" xfId="4" applyFont="1" applyFill="1" applyBorder="1" applyAlignment="1" applyProtection="1">
      <alignment horizontal="right"/>
      <protection hidden="1"/>
    </xf>
    <xf numFmtId="164" fontId="10" fillId="0" borderId="22" xfId="1" applyNumberFormat="1" applyFont="1" applyBorder="1" applyAlignment="1" applyProtection="1">
      <alignment horizontal="left"/>
      <protection hidden="1"/>
    </xf>
    <xf numFmtId="3" fontId="12" fillId="16" borderId="4" xfId="1" applyNumberFormat="1" applyFont="1" applyFill="1" applyBorder="1" applyAlignment="1" applyProtection="1">
      <alignment horizontal="right"/>
      <protection hidden="1"/>
    </xf>
    <xf numFmtId="164" fontId="68" fillId="16" borderId="4" xfId="1" applyNumberFormat="1" applyFont="1" applyFill="1" applyBorder="1" applyAlignment="1" applyProtection="1">
      <alignment horizontal="left" wrapText="1"/>
      <protection locked="0" hidden="1"/>
    </xf>
    <xf numFmtId="9" fontId="59" fillId="0" borderId="11" xfId="4" applyFont="1" applyFill="1" applyBorder="1" applyAlignment="1" applyProtection="1">
      <alignment horizontal="right"/>
      <protection hidden="1"/>
    </xf>
    <xf numFmtId="164" fontId="18" fillId="0" borderId="12" xfId="1" applyNumberFormat="1" applyFont="1" applyBorder="1" applyAlignment="1" applyProtection="1">
      <alignment horizontal="left"/>
      <protection hidden="1"/>
    </xf>
    <xf numFmtId="164" fontId="10" fillId="0" borderId="9" xfId="1" applyNumberFormat="1" applyFont="1" applyBorder="1" applyAlignment="1" applyProtection="1">
      <alignment horizontal="left"/>
      <protection hidden="1"/>
    </xf>
    <xf numFmtId="164" fontId="10" fillId="0" borderId="26" xfId="1" applyNumberFormat="1" applyFont="1" applyBorder="1" applyAlignment="1" applyProtection="1">
      <alignment horizontal="left"/>
      <protection hidden="1"/>
    </xf>
    <xf numFmtId="164" fontId="10" fillId="0" borderId="21" xfId="1" applyNumberFormat="1" applyFont="1" applyBorder="1" applyAlignment="1" applyProtection="1">
      <alignment horizontal="left"/>
      <protection hidden="1"/>
    </xf>
    <xf numFmtId="164" fontId="18" fillId="0" borderId="21" xfId="1" applyNumberFormat="1" applyFont="1" applyBorder="1" applyAlignment="1" applyProtection="1">
      <alignment horizontal="left"/>
      <protection hidden="1"/>
    </xf>
    <xf numFmtId="164" fontId="10" fillId="0" borderId="29" xfId="1" applyNumberFormat="1" applyFont="1" applyBorder="1" applyAlignment="1" applyProtection="1">
      <alignment horizontal="left"/>
      <protection hidden="1"/>
    </xf>
    <xf numFmtId="164" fontId="11" fillId="0" borderId="22" xfId="1" applyNumberFormat="1" applyFont="1" applyBorder="1" applyAlignment="1" applyProtection="1">
      <alignment horizontal="left"/>
      <protection hidden="1"/>
    </xf>
    <xf numFmtId="167" fontId="69" fillId="0" borderId="1" xfId="1" applyNumberFormat="1" applyFont="1" applyFill="1" applyBorder="1" applyProtection="1">
      <protection hidden="1"/>
    </xf>
    <xf numFmtId="164" fontId="50" fillId="0" borderId="22" xfId="1" applyNumberFormat="1" applyFont="1" applyBorder="1" applyAlignment="1" applyProtection="1">
      <alignment horizontal="left"/>
      <protection hidden="1"/>
    </xf>
    <xf numFmtId="164" fontId="25" fillId="10" borderId="1" xfId="1" applyNumberFormat="1" applyFont="1" applyFill="1" applyBorder="1" applyAlignment="1" applyProtection="1">
      <alignment vertical="center" wrapText="1"/>
      <protection locked="0"/>
    </xf>
    <xf numFmtId="1" fontId="72" fillId="0" borderId="0" xfId="1" quotePrefix="1" applyNumberFormat="1" applyFont="1" applyFill="1" applyBorder="1" applyAlignment="1" applyProtection="1">
      <alignment horizontal="center" vertical="center" wrapText="1"/>
      <protection hidden="1"/>
    </xf>
    <xf numFmtId="2" fontId="65" fillId="0" borderId="0" xfId="1" quotePrefix="1" applyNumberFormat="1" applyFont="1" applyFill="1" applyBorder="1" applyAlignment="1" applyProtection="1">
      <alignment horizontal="center" vertical="center" wrapText="1"/>
      <protection hidden="1"/>
    </xf>
    <xf numFmtId="9" fontId="11" fillId="0" borderId="0" xfId="4" applyFont="1" applyFill="1" applyBorder="1" applyAlignment="1" applyProtection="1">
      <alignment horizontal="center"/>
      <protection hidden="1"/>
    </xf>
    <xf numFmtId="0" fontId="0" fillId="0" borderId="0" xfId="0" applyAlignment="1">
      <alignment horizontal="center" vertical="center"/>
    </xf>
    <xf numFmtId="0" fontId="13" fillId="0" borderId="0" xfId="0" applyFont="1"/>
    <xf numFmtId="0" fontId="11" fillId="0" borderId="13" xfId="0" applyFont="1" applyBorder="1" applyAlignment="1">
      <alignment horizontal="center" vertical="center"/>
    </xf>
    <xf numFmtId="0" fontId="11" fillId="0" borderId="21" xfId="0" applyFont="1"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10" fillId="0" borderId="13" xfId="0" applyFont="1" applyBorder="1" applyAlignment="1">
      <alignment horizontal="center" vertical="center"/>
    </xf>
    <xf numFmtId="0" fontId="10" fillId="0" borderId="21" xfId="0" applyFont="1" applyBorder="1" applyAlignment="1">
      <alignment horizontal="center" vertical="center"/>
    </xf>
    <xf numFmtId="0" fontId="10" fillId="0" borderId="0" xfId="0" applyFont="1" applyAlignment="1">
      <alignment horizontal="center" vertical="center"/>
    </xf>
    <xf numFmtId="3" fontId="0" fillId="0" borderId="13" xfId="0" applyNumberFormat="1" applyBorder="1" applyAlignment="1">
      <alignment horizontal="center" vertical="center"/>
    </xf>
    <xf numFmtId="9" fontId="0" fillId="0" borderId="21" xfId="4" applyFont="1" applyBorder="1" applyAlignment="1">
      <alignment horizontal="center" vertical="center"/>
    </xf>
    <xf numFmtId="9" fontId="0" fillId="0" borderId="0" xfId="4" applyFont="1" applyBorder="1" applyAlignment="1">
      <alignment horizontal="center" vertical="center"/>
    </xf>
    <xf numFmtId="0" fontId="74" fillId="21" borderId="1" xfId="0" applyFont="1" applyFill="1" applyBorder="1" applyAlignment="1">
      <alignment vertical="center" wrapText="1"/>
    </xf>
    <xf numFmtId="9" fontId="0" fillId="22" borderId="0" xfId="4" applyFont="1" applyFill="1" applyAlignment="1">
      <alignment horizontal="center" vertical="center"/>
    </xf>
    <xf numFmtId="9" fontId="0" fillId="0" borderId="0" xfId="4" applyFont="1" applyFill="1" applyAlignment="1">
      <alignment horizontal="center" vertical="center"/>
    </xf>
    <xf numFmtId="171" fontId="0" fillId="0" borderId="13" xfId="12" applyNumberFormat="1" applyFont="1" applyBorder="1" applyAlignment="1">
      <alignment horizontal="center" vertical="center"/>
    </xf>
    <xf numFmtId="171" fontId="0" fillId="0" borderId="21" xfId="12" applyNumberFormat="1" applyFont="1" applyBorder="1" applyAlignment="1">
      <alignment horizontal="center" vertical="center"/>
    </xf>
    <xf numFmtId="0" fontId="74" fillId="21" borderId="27" xfId="0" applyFont="1" applyFill="1" applyBorder="1" applyAlignment="1">
      <alignment vertical="center" wrapText="1"/>
    </xf>
    <xf numFmtId="0" fontId="0" fillId="23" borderId="13" xfId="0" applyFill="1" applyBorder="1" applyAlignment="1" applyProtection="1">
      <alignment horizontal="center" vertical="center"/>
      <protection locked="0"/>
    </xf>
    <xf numFmtId="171" fontId="0" fillId="0" borderId="13" xfId="12" applyNumberFormat="1" applyFont="1" applyBorder="1" applyAlignment="1">
      <alignment horizontal="center" vertical="center" wrapText="1"/>
    </xf>
    <xf numFmtId="44" fontId="0" fillId="0" borderId="21" xfId="12" applyFont="1" applyBorder="1" applyAlignment="1">
      <alignment horizontal="center" vertical="center" wrapText="1"/>
    </xf>
    <xf numFmtId="0" fontId="0" fillId="23" borderId="27" xfId="0" applyFill="1" applyBorder="1" applyAlignment="1" applyProtection="1">
      <alignment horizontal="center" vertical="center"/>
      <protection locked="0"/>
    </xf>
    <xf numFmtId="171" fontId="0" fillId="0" borderId="27" xfId="12" applyNumberFormat="1" applyFont="1" applyBorder="1" applyAlignment="1">
      <alignment horizontal="center" vertical="center" wrapText="1"/>
    </xf>
    <xf numFmtId="44" fontId="0" fillId="0" borderId="29" xfId="12" applyFont="1" applyBorder="1" applyAlignment="1">
      <alignment horizontal="center" vertical="center" wrapText="1"/>
    </xf>
    <xf numFmtId="0" fontId="0" fillId="0" borderId="13" xfId="0" applyBorder="1" applyAlignment="1">
      <alignment horizontal="center" vertical="center" wrapText="1"/>
    </xf>
    <xf numFmtId="0" fontId="0" fillId="0" borderId="21" xfId="0" applyBorder="1" applyAlignment="1">
      <alignment horizontal="center" vertical="center" wrapText="1"/>
    </xf>
    <xf numFmtId="3" fontId="0" fillId="0" borderId="0" xfId="0" applyNumberFormat="1" applyAlignment="1">
      <alignment horizontal="center" vertical="center"/>
    </xf>
    <xf numFmtId="0" fontId="10" fillId="24" borderId="0" xfId="0" applyFont="1" applyFill="1"/>
    <xf numFmtId="3" fontId="0" fillId="23" borderId="13" xfId="0" applyNumberFormat="1" applyFill="1" applyBorder="1" applyAlignment="1" applyProtection="1">
      <alignment horizontal="center" vertical="center"/>
      <protection locked="0"/>
    </xf>
    <xf numFmtId="171" fontId="0" fillId="0" borderId="21" xfId="12" applyNumberFormat="1" applyFont="1" applyBorder="1" applyAlignment="1">
      <alignment horizontal="center" vertical="center" wrapText="1"/>
    </xf>
    <xf numFmtId="3" fontId="0" fillId="0" borderId="27" xfId="0" applyNumberFormat="1" applyBorder="1" applyAlignment="1">
      <alignment horizontal="center" vertical="center"/>
    </xf>
    <xf numFmtId="0" fontId="0" fillId="0" borderId="27" xfId="0" applyBorder="1" applyAlignment="1">
      <alignment horizontal="center" vertical="center"/>
    </xf>
    <xf numFmtId="0" fontId="0" fillId="23" borderId="0" xfId="0" applyFill="1"/>
    <xf numFmtId="172" fontId="0" fillId="0" borderId="21" xfId="4" applyNumberFormat="1" applyFont="1" applyBorder="1" applyAlignment="1">
      <alignment horizontal="center" vertical="center"/>
    </xf>
    <xf numFmtId="172" fontId="0" fillId="0" borderId="29" xfId="4" applyNumberFormat="1" applyFont="1" applyBorder="1" applyAlignment="1">
      <alignment horizontal="center" vertical="center"/>
    </xf>
    <xf numFmtId="0" fontId="75" fillId="0" borderId="0" xfId="0" applyFont="1"/>
    <xf numFmtId="0" fontId="22" fillId="0" borderId="0" xfId="0" applyFont="1"/>
    <xf numFmtId="0" fontId="22" fillId="0" borderId="0" xfId="0" applyFont="1" applyAlignment="1">
      <alignment wrapText="1"/>
    </xf>
    <xf numFmtId="0" fontId="26" fillId="0" borderId="0" xfId="0" applyFont="1"/>
    <xf numFmtId="0" fontId="0" fillId="0" borderId="0" xfId="0" applyAlignment="1">
      <alignment wrapText="1"/>
    </xf>
    <xf numFmtId="2" fontId="0" fillId="0" borderId="0" xfId="0" applyNumberFormat="1"/>
    <xf numFmtId="49" fontId="40" fillId="3" borderId="0" xfId="0" applyNumberFormat="1" applyFont="1" applyFill="1" applyAlignment="1" applyProtection="1">
      <alignment horizontal="center" vertical="center" wrapText="1" shrinkToFit="1"/>
      <protection hidden="1"/>
    </xf>
    <xf numFmtId="164" fontId="41" fillId="0" borderId="0" xfId="1" applyNumberFormat="1" applyFont="1" applyBorder="1" applyAlignment="1" applyProtection="1">
      <alignment horizontal="center"/>
      <protection hidden="1"/>
    </xf>
    <xf numFmtId="164" fontId="13" fillId="0" borderId="15" xfId="1" applyNumberFormat="1" applyFont="1" applyBorder="1" applyAlignment="1" applyProtection="1">
      <alignment horizontal="left" vertical="center"/>
      <protection hidden="1"/>
    </xf>
    <xf numFmtId="0" fontId="12" fillId="0" borderId="16" xfId="0" applyFont="1" applyBorder="1" applyAlignment="1" applyProtection="1">
      <alignment horizontal="left" vertical="center"/>
      <protection hidden="1"/>
    </xf>
    <xf numFmtId="0" fontId="12" fillId="0" borderId="17" xfId="0" applyFont="1" applyBorder="1" applyAlignment="1" applyProtection="1">
      <alignment horizontal="left" vertical="center"/>
      <protection hidden="1"/>
    </xf>
    <xf numFmtId="164" fontId="12" fillId="0" borderId="15" xfId="1" applyNumberFormat="1" applyFont="1" applyBorder="1" applyAlignment="1" applyProtection="1">
      <alignment horizontal="left" vertical="center"/>
      <protection hidden="1"/>
    </xf>
    <xf numFmtId="164" fontId="12" fillId="0" borderId="16" xfId="1" applyNumberFormat="1" applyFont="1" applyBorder="1" applyAlignment="1" applyProtection="1">
      <alignment horizontal="left" vertical="center"/>
      <protection hidden="1"/>
    </xf>
    <xf numFmtId="164" fontId="12" fillId="0" borderId="17" xfId="1" applyNumberFormat="1" applyFont="1" applyBorder="1" applyAlignment="1" applyProtection="1">
      <alignment horizontal="left" vertical="center"/>
      <protection hidden="1"/>
    </xf>
    <xf numFmtId="164" fontId="27" fillId="13" borderId="44" xfId="1" applyNumberFormat="1" applyFont="1" applyFill="1" applyBorder="1" applyAlignment="1" applyProtection="1">
      <alignment horizontal="center" vertical="center"/>
      <protection hidden="1"/>
    </xf>
    <xf numFmtId="164" fontId="27" fillId="13" borderId="45" xfId="1" applyNumberFormat="1" applyFont="1" applyFill="1" applyBorder="1" applyAlignment="1" applyProtection="1">
      <alignment horizontal="center" vertical="center"/>
      <protection hidden="1"/>
    </xf>
    <xf numFmtId="164" fontId="27" fillId="13" borderId="22" xfId="1" applyNumberFormat="1" applyFont="1" applyFill="1" applyBorder="1" applyAlignment="1" applyProtection="1">
      <alignment horizontal="center" vertical="center"/>
      <protection hidden="1"/>
    </xf>
    <xf numFmtId="164" fontId="32" fillId="13" borderId="10" xfId="1" applyNumberFormat="1" applyFont="1" applyFill="1" applyBorder="1" applyAlignment="1" applyProtection="1">
      <alignment horizontal="center" vertical="center"/>
      <protection hidden="1"/>
    </xf>
    <xf numFmtId="164" fontId="32" fillId="13" borderId="0" xfId="1" applyNumberFormat="1" applyFont="1" applyFill="1" applyBorder="1" applyAlignment="1" applyProtection="1">
      <alignment horizontal="center" vertical="center"/>
      <protection hidden="1"/>
    </xf>
    <xf numFmtId="164" fontId="32" fillId="13" borderId="12" xfId="1" applyNumberFormat="1" applyFont="1" applyFill="1" applyBorder="1" applyAlignment="1" applyProtection="1">
      <alignment horizontal="center" vertical="center"/>
      <protection hidden="1"/>
    </xf>
    <xf numFmtId="164" fontId="32" fillId="13" borderId="44" xfId="1" applyNumberFormat="1" applyFont="1" applyFill="1" applyBorder="1" applyAlignment="1" applyProtection="1">
      <alignment horizontal="center" vertical="center"/>
      <protection hidden="1"/>
    </xf>
    <xf numFmtId="164" fontId="32" fillId="13" borderId="45" xfId="1" applyNumberFormat="1" applyFont="1" applyFill="1" applyBorder="1" applyAlignment="1" applyProtection="1">
      <alignment horizontal="center" vertical="center"/>
      <protection hidden="1"/>
    </xf>
    <xf numFmtId="164" fontId="32" fillId="13" borderId="22" xfId="1" applyNumberFormat="1" applyFont="1" applyFill="1" applyBorder="1" applyAlignment="1" applyProtection="1">
      <alignment horizontal="center" vertical="center"/>
      <protection hidden="1"/>
    </xf>
    <xf numFmtId="0" fontId="19" fillId="0" borderId="0" xfId="0" applyFont="1" applyAlignment="1" applyProtection="1">
      <alignment horizontal="center"/>
      <protection hidden="1"/>
    </xf>
    <xf numFmtId="0" fontId="32" fillId="3" borderId="0" xfId="0" applyFont="1" applyFill="1" applyAlignment="1" applyProtection="1">
      <alignment horizontal="center"/>
      <protection hidden="1"/>
    </xf>
    <xf numFmtId="167" fontId="11" fillId="3" borderId="23" xfId="1" applyNumberFormat="1" applyFont="1" applyFill="1" applyBorder="1" applyAlignment="1" applyProtection="1">
      <alignment horizontal="right" vertical="center"/>
      <protection hidden="1"/>
    </xf>
    <xf numFmtId="167" fontId="11" fillId="3" borderId="3" xfId="1" applyNumberFormat="1" applyFont="1" applyFill="1" applyBorder="1" applyAlignment="1" applyProtection="1">
      <alignment horizontal="right" vertical="center"/>
      <protection hidden="1"/>
    </xf>
    <xf numFmtId="164" fontId="13" fillId="0" borderId="13" xfId="1" applyNumberFormat="1" applyFont="1" applyBorder="1" applyAlignment="1" applyProtection="1">
      <alignment vertical="center" wrapText="1"/>
      <protection hidden="1"/>
    </xf>
    <xf numFmtId="164" fontId="13" fillId="0" borderId="0" xfId="1" applyNumberFormat="1" applyFont="1" applyAlignment="1" applyProtection="1">
      <alignment vertical="center" wrapText="1"/>
      <protection hidden="1"/>
    </xf>
    <xf numFmtId="0" fontId="30" fillId="3" borderId="0" xfId="0" applyFont="1" applyFill="1" applyAlignment="1" applyProtection="1">
      <alignment horizontal="center" vertical="center" wrapText="1"/>
      <protection hidden="1"/>
    </xf>
    <xf numFmtId="0" fontId="25" fillId="3" borderId="23" xfId="0" applyFont="1" applyFill="1" applyBorder="1" applyAlignment="1" applyProtection="1">
      <alignment horizontal="center" vertical="center" shrinkToFit="1"/>
      <protection locked="0"/>
    </xf>
    <xf numFmtId="0" fontId="25" fillId="3" borderId="3" xfId="0" applyFont="1" applyFill="1" applyBorder="1" applyAlignment="1" applyProtection="1">
      <alignment horizontal="center" vertical="center" shrinkToFit="1"/>
      <protection locked="0"/>
    </xf>
    <xf numFmtId="0" fontId="35" fillId="4" borderId="43" xfId="0" applyFont="1" applyFill="1" applyBorder="1" applyAlignment="1" applyProtection="1">
      <alignment horizontal="center"/>
      <protection locked="0"/>
    </xf>
    <xf numFmtId="0" fontId="11" fillId="0" borderId="44" xfId="0" applyFont="1" applyBorder="1" applyAlignment="1" applyProtection="1">
      <alignment horizontal="left" vertical="center"/>
      <protection hidden="1"/>
    </xf>
    <xf numFmtId="0" fontId="11" fillId="0" borderId="45" xfId="0" applyFont="1" applyBorder="1" applyAlignment="1" applyProtection="1">
      <alignment horizontal="left" vertical="center"/>
      <protection hidden="1"/>
    </xf>
    <xf numFmtId="0" fontId="11" fillId="0" borderId="22" xfId="0" applyFont="1" applyBorder="1" applyAlignment="1" applyProtection="1">
      <alignment horizontal="left" vertical="center"/>
      <protection hidden="1"/>
    </xf>
    <xf numFmtId="0" fontId="11" fillId="0" borderId="8" xfId="0" applyFont="1" applyBorder="1" applyAlignment="1" applyProtection="1">
      <alignment horizontal="left" vertical="center"/>
      <protection hidden="1"/>
    </xf>
    <xf numFmtId="0" fontId="11" fillId="0" borderId="2" xfId="0" applyFont="1" applyBorder="1" applyAlignment="1" applyProtection="1">
      <alignment horizontal="left" vertical="center"/>
      <protection hidden="1"/>
    </xf>
    <xf numFmtId="0" fontId="11" fillId="0" borderId="9" xfId="0" applyFont="1" applyBorder="1" applyAlignment="1" applyProtection="1">
      <alignment horizontal="left" vertical="center"/>
      <protection hidden="1"/>
    </xf>
    <xf numFmtId="164" fontId="22" fillId="4" borderId="5" xfId="1" applyNumberFormat="1" applyFont="1" applyFill="1" applyBorder="1" applyAlignment="1" applyProtection="1">
      <alignment horizontal="left"/>
      <protection locked="0"/>
    </xf>
    <xf numFmtId="164" fontId="22" fillId="4" borderId="6" xfId="1" applyNumberFormat="1" applyFont="1" applyFill="1" applyBorder="1" applyAlignment="1" applyProtection="1">
      <alignment horizontal="left"/>
      <protection locked="0"/>
    </xf>
    <xf numFmtId="164" fontId="22" fillId="4" borderId="7" xfId="1" applyNumberFormat="1" applyFont="1" applyFill="1" applyBorder="1" applyAlignment="1" applyProtection="1">
      <alignment horizontal="left"/>
      <protection locked="0"/>
    </xf>
    <xf numFmtId="164" fontId="11" fillId="0" borderId="5" xfId="1" applyNumberFormat="1" applyFont="1" applyFill="1" applyBorder="1" applyAlignment="1" applyProtection="1">
      <alignment horizontal="left" wrapText="1"/>
      <protection hidden="1"/>
    </xf>
    <xf numFmtId="164" fontId="11" fillId="0" borderId="6" xfId="1" applyNumberFormat="1" applyFont="1" applyFill="1" applyBorder="1" applyAlignment="1" applyProtection="1">
      <alignment horizontal="left" wrapText="1"/>
      <protection hidden="1"/>
    </xf>
    <xf numFmtId="164" fontId="11" fillId="0" borderId="7" xfId="1" applyNumberFormat="1" applyFont="1" applyFill="1" applyBorder="1" applyAlignment="1" applyProtection="1">
      <alignment horizontal="left" wrapText="1"/>
      <protection hidden="1"/>
    </xf>
    <xf numFmtId="164" fontId="22" fillId="4" borderId="4" xfId="1" applyNumberFormat="1" applyFont="1" applyFill="1" applyBorder="1" applyAlignment="1" applyProtection="1">
      <alignment horizontal="left" wrapText="1"/>
      <protection locked="0"/>
    </xf>
    <xf numFmtId="164" fontId="27" fillId="3" borderId="0" xfId="1" applyNumberFormat="1" applyFont="1" applyFill="1" applyBorder="1" applyAlignment="1" applyProtection="1">
      <alignment horizontal="center"/>
      <protection hidden="1"/>
    </xf>
    <xf numFmtId="164" fontId="22" fillId="3" borderId="0" xfId="1" applyNumberFormat="1" applyFont="1" applyFill="1" applyAlignment="1" applyProtection="1">
      <alignment horizontal="left" wrapText="1"/>
      <protection hidden="1"/>
    </xf>
    <xf numFmtId="0" fontId="37" fillId="3" borderId="0" xfId="0" applyFont="1" applyFill="1" applyAlignment="1" applyProtection="1">
      <alignment horizontal="left" wrapText="1"/>
      <protection hidden="1"/>
    </xf>
    <xf numFmtId="43" fontId="11" fillId="0" borderId="15" xfId="1" applyFont="1" applyBorder="1" applyAlignment="1" applyProtection="1">
      <alignment horizontal="left" vertical="center" wrapText="1"/>
      <protection hidden="1"/>
    </xf>
    <xf numFmtId="0" fontId="10" fillId="0" borderId="16" xfId="0" applyFont="1" applyBorder="1" applyAlignment="1" applyProtection="1">
      <alignment horizontal="left" vertical="center"/>
      <protection hidden="1"/>
    </xf>
    <xf numFmtId="164" fontId="11" fillId="0" borderId="4" xfId="1" applyNumberFormat="1" applyFont="1" applyBorder="1" applyAlignment="1" applyProtection="1">
      <alignment wrapText="1"/>
      <protection hidden="1"/>
    </xf>
    <xf numFmtId="164" fontId="22" fillId="4" borderId="23" xfId="1" applyNumberFormat="1" applyFont="1" applyFill="1" applyBorder="1" applyAlignment="1" applyProtection="1">
      <alignment horizontal="left" wrapText="1"/>
      <protection locked="0"/>
    </xf>
    <xf numFmtId="0" fontId="22" fillId="4" borderId="31" xfId="0" applyFont="1" applyFill="1" applyBorder="1" applyAlignment="1" applyProtection="1">
      <alignment horizontal="left" wrapText="1"/>
      <protection locked="0"/>
    </xf>
    <xf numFmtId="0" fontId="22" fillId="4" borderId="37" xfId="0" applyFont="1" applyFill="1" applyBorder="1" applyAlignment="1" applyProtection="1">
      <alignment horizontal="left" wrapText="1"/>
      <protection locked="0"/>
    </xf>
    <xf numFmtId="0" fontId="22" fillId="4" borderId="47" xfId="0" applyFont="1" applyFill="1" applyBorder="1" applyAlignment="1" applyProtection="1">
      <alignment horizontal="left" wrapText="1"/>
      <protection locked="0"/>
    </xf>
    <xf numFmtId="0" fontId="22" fillId="4" borderId="7" xfId="0" applyFont="1" applyFill="1" applyBorder="1" applyAlignment="1" applyProtection="1">
      <alignment horizontal="left" wrapText="1"/>
      <protection locked="0"/>
    </xf>
    <xf numFmtId="0" fontId="22" fillId="4" borderId="4" xfId="0" applyFont="1" applyFill="1" applyBorder="1" applyAlignment="1" applyProtection="1">
      <alignment horizontal="left" wrapText="1"/>
      <protection locked="0"/>
    </xf>
    <xf numFmtId="0" fontId="22" fillId="4" borderId="46" xfId="0" applyFont="1" applyFill="1" applyBorder="1" applyAlignment="1" applyProtection="1">
      <alignment horizontal="left" wrapText="1"/>
      <protection locked="0"/>
    </xf>
    <xf numFmtId="0" fontId="22" fillId="4" borderId="9" xfId="0" applyFont="1" applyFill="1" applyBorder="1" applyAlignment="1" applyProtection="1">
      <alignment horizontal="left" wrapText="1"/>
      <protection locked="0"/>
    </xf>
    <xf numFmtId="0" fontId="22" fillId="4" borderId="3" xfId="0" applyFont="1" applyFill="1" applyBorder="1" applyAlignment="1" applyProtection="1">
      <alignment horizontal="left" wrapText="1"/>
      <protection locked="0"/>
    </xf>
    <xf numFmtId="0" fontId="22" fillId="4" borderId="40" xfId="0" applyFont="1" applyFill="1" applyBorder="1" applyAlignment="1" applyProtection="1">
      <alignment horizontal="left" wrapText="1"/>
      <protection locked="0"/>
    </xf>
    <xf numFmtId="164" fontId="11" fillId="0" borderId="39" xfId="1" applyNumberFormat="1" applyFont="1" applyBorder="1" applyAlignment="1" applyProtection="1">
      <alignment horizontal="left" wrapText="1"/>
      <protection hidden="1"/>
    </xf>
    <xf numFmtId="164" fontId="11" fillId="0" borderId="32" xfId="1" applyNumberFormat="1" applyFont="1" applyBorder="1" applyAlignment="1" applyProtection="1">
      <alignment horizontal="left" wrapText="1"/>
      <protection hidden="1"/>
    </xf>
    <xf numFmtId="164" fontId="11" fillId="0" borderId="14" xfId="1" applyNumberFormat="1" applyFont="1" applyBorder="1" applyAlignment="1" applyProtection="1">
      <alignment horizontal="left" wrapText="1"/>
      <protection hidden="1"/>
    </xf>
    <xf numFmtId="43" fontId="17" fillId="0" borderId="48" xfId="1" applyFont="1" applyBorder="1" applyAlignment="1" applyProtection="1">
      <alignment horizontal="left" wrapText="1"/>
      <protection hidden="1"/>
    </xf>
    <xf numFmtId="43" fontId="17" fillId="0" borderId="49" xfId="1" applyFont="1" applyBorder="1" applyAlignment="1" applyProtection="1">
      <alignment horizontal="left" wrapText="1"/>
      <protection hidden="1"/>
    </xf>
    <xf numFmtId="0" fontId="10" fillId="0" borderId="49" xfId="0" applyFont="1" applyBorder="1" applyAlignment="1" applyProtection="1">
      <alignment horizontal="left" wrapText="1"/>
      <protection hidden="1"/>
    </xf>
    <xf numFmtId="0" fontId="37" fillId="0" borderId="50" xfId="0" applyFont="1" applyBorder="1" applyAlignment="1" applyProtection="1">
      <alignment horizontal="left" wrapText="1"/>
      <protection hidden="1"/>
    </xf>
    <xf numFmtId="0" fontId="28" fillId="3" borderId="18" xfId="0" applyFont="1" applyFill="1" applyBorder="1" applyAlignment="1" applyProtection="1">
      <alignment horizontal="center" vertical="center"/>
      <protection hidden="1"/>
    </xf>
    <xf numFmtId="0" fontId="28" fillId="3" borderId="20" xfId="0" applyFont="1" applyFill="1" applyBorder="1" applyAlignment="1" applyProtection="1">
      <alignment horizontal="center" vertical="center"/>
      <protection hidden="1"/>
    </xf>
    <xf numFmtId="164" fontId="32" fillId="3" borderId="0" xfId="1" applyNumberFormat="1" applyFont="1" applyFill="1" applyBorder="1" applyAlignment="1" applyProtection="1">
      <alignment horizontal="center"/>
      <protection hidden="1"/>
    </xf>
    <xf numFmtId="0" fontId="28" fillId="3" borderId="18" xfId="0" applyFont="1" applyFill="1" applyBorder="1" applyAlignment="1" applyProtection="1">
      <alignment horizontal="center" vertical="center" wrapText="1"/>
      <protection hidden="1"/>
    </xf>
    <xf numFmtId="0" fontId="28" fillId="3" borderId="20" xfId="0" applyFont="1" applyFill="1" applyBorder="1" applyAlignment="1" applyProtection="1">
      <alignment horizontal="center" vertical="center" wrapText="1"/>
      <protection hidden="1"/>
    </xf>
    <xf numFmtId="0" fontId="63" fillId="3" borderId="0" xfId="0" applyFont="1" applyFill="1" applyAlignment="1" applyProtection="1">
      <alignment horizontal="left" vertical="center" wrapText="1"/>
      <protection hidden="1"/>
    </xf>
    <xf numFmtId="0" fontId="28" fillId="8" borderId="18" xfId="0" applyFont="1" applyFill="1" applyBorder="1" applyAlignment="1" applyProtection="1">
      <alignment horizontal="center" vertical="center"/>
      <protection hidden="1"/>
    </xf>
    <xf numFmtId="0" fontId="28" fillId="8" borderId="20" xfId="0" applyFont="1" applyFill="1" applyBorder="1" applyAlignment="1" applyProtection="1">
      <alignment horizontal="center" vertical="center"/>
      <protection hidden="1"/>
    </xf>
    <xf numFmtId="0" fontId="22" fillId="3" borderId="24" xfId="0" applyFont="1" applyFill="1" applyBorder="1" applyAlignment="1" applyProtection="1">
      <alignment horizontal="center" vertical="top" wrapText="1"/>
      <protection locked="0"/>
    </xf>
    <xf numFmtId="0" fontId="22" fillId="3" borderId="25" xfId="0" applyFont="1" applyFill="1" applyBorder="1" applyAlignment="1" applyProtection="1">
      <alignment horizontal="center" vertical="top" wrapText="1"/>
      <protection locked="0"/>
    </xf>
    <xf numFmtId="0" fontId="22" fillId="3" borderId="26" xfId="0" applyFont="1" applyFill="1" applyBorder="1" applyAlignment="1" applyProtection="1">
      <alignment horizontal="center" vertical="top" wrapText="1"/>
      <protection locked="0"/>
    </xf>
    <xf numFmtId="0" fontId="22" fillId="3" borderId="27" xfId="0" applyFont="1" applyFill="1" applyBorder="1" applyAlignment="1" applyProtection="1">
      <alignment horizontal="center" vertical="top" wrapText="1"/>
      <protection locked="0"/>
    </xf>
    <xf numFmtId="0" fontId="22" fillId="3" borderId="28" xfId="0" applyFont="1" applyFill="1" applyBorder="1" applyAlignment="1" applyProtection="1">
      <alignment horizontal="center" vertical="top" wrapText="1"/>
      <protection locked="0"/>
    </xf>
    <xf numFmtId="0" fontId="22" fillId="3" borderId="29" xfId="0" applyFont="1" applyFill="1" applyBorder="1" applyAlignment="1" applyProtection="1">
      <alignment horizontal="center" vertical="top" wrapText="1"/>
      <protection locked="0"/>
    </xf>
    <xf numFmtId="0" fontId="29" fillId="3" borderId="24" xfId="0" applyFont="1" applyFill="1" applyBorder="1" applyAlignment="1" applyProtection="1">
      <alignment horizontal="center" vertical="top" wrapText="1"/>
      <protection locked="0"/>
    </xf>
    <xf numFmtId="0" fontId="29" fillId="3" borderId="25" xfId="0" applyFont="1" applyFill="1" applyBorder="1" applyAlignment="1" applyProtection="1">
      <alignment horizontal="center" vertical="top" wrapText="1"/>
      <protection locked="0"/>
    </xf>
    <xf numFmtId="0" fontId="29" fillId="3" borderId="26" xfId="0" applyFont="1" applyFill="1" applyBorder="1" applyAlignment="1" applyProtection="1">
      <alignment horizontal="center" vertical="top" wrapText="1"/>
      <protection locked="0"/>
    </xf>
    <xf numFmtId="0" fontId="29" fillId="3" borderId="27" xfId="0" applyFont="1" applyFill="1" applyBorder="1" applyAlignment="1" applyProtection="1">
      <alignment horizontal="center" vertical="top" wrapText="1"/>
      <protection locked="0"/>
    </xf>
    <xf numFmtId="0" fontId="29" fillId="3" borderId="28" xfId="0" applyFont="1" applyFill="1" applyBorder="1" applyAlignment="1" applyProtection="1">
      <alignment horizontal="center" vertical="top" wrapText="1"/>
      <protection locked="0"/>
    </xf>
    <xf numFmtId="0" fontId="29" fillId="3" borderId="29" xfId="0" applyFont="1" applyFill="1" applyBorder="1" applyAlignment="1" applyProtection="1">
      <alignment horizontal="center" vertical="top" wrapText="1"/>
      <protection locked="0"/>
    </xf>
    <xf numFmtId="0" fontId="23" fillId="3" borderId="0" xfId="0" applyFont="1" applyFill="1" applyAlignment="1" applyProtection="1">
      <alignment horizontal="left"/>
      <protection hidden="1"/>
    </xf>
    <xf numFmtId="0" fontId="25" fillId="0" borderId="0" xfId="0" applyFont="1" applyAlignment="1">
      <alignment horizontal="center" vertical="center"/>
    </xf>
    <xf numFmtId="0" fontId="25" fillId="0" borderId="28" xfId="0" applyFont="1" applyBorder="1" applyAlignment="1">
      <alignment horizontal="center" vertical="center"/>
    </xf>
    <xf numFmtId="0" fontId="13" fillId="0" borderId="24" xfId="1" applyNumberFormat="1" applyFont="1" applyFill="1" applyBorder="1" applyAlignment="1" applyProtection="1">
      <alignment horizontal="center" vertical="center" wrapText="1"/>
      <protection hidden="1"/>
    </xf>
    <xf numFmtId="0" fontId="13" fillId="0" borderId="26" xfId="1" applyNumberFormat="1" applyFont="1" applyFill="1" applyBorder="1" applyAlignment="1" applyProtection="1">
      <alignment horizontal="center" vertical="center" wrapText="1"/>
      <protection hidden="1"/>
    </xf>
    <xf numFmtId="2" fontId="13" fillId="0" borderId="24" xfId="1" applyNumberFormat="1" applyFont="1" applyFill="1" applyBorder="1" applyAlignment="1" applyProtection="1">
      <alignment horizontal="center" vertical="center" wrapText="1"/>
      <protection hidden="1"/>
    </xf>
    <xf numFmtId="2" fontId="13" fillId="0" borderId="26" xfId="1" applyNumberFormat="1" applyFont="1" applyFill="1" applyBorder="1" applyAlignment="1" applyProtection="1">
      <alignment horizontal="center" vertical="center" wrapText="1"/>
      <protection hidden="1"/>
    </xf>
    <xf numFmtId="0" fontId="13" fillId="0" borderId="0" xfId="0" applyFont="1" applyAlignment="1">
      <alignment horizontal="center" vertical="center"/>
    </xf>
    <xf numFmtId="0" fontId="24" fillId="0" borderId="0" xfId="0" applyFont="1" applyAlignment="1">
      <alignment horizontal="right"/>
    </xf>
    <xf numFmtId="0" fontId="0" fillId="0" borderId="0" xfId="0" applyAlignment="1">
      <alignment horizontal="right"/>
    </xf>
    <xf numFmtId="0" fontId="23" fillId="0" borderId="18" xfId="0" applyFont="1" applyBorder="1" applyAlignment="1">
      <alignment horizontal="center"/>
    </xf>
    <xf numFmtId="0" fontId="23" fillId="0" borderId="24" xfId="0" applyFont="1" applyBorder="1" applyAlignment="1">
      <alignment horizontal="center" vertical="center"/>
    </xf>
    <xf numFmtId="0" fontId="23" fillId="0" borderId="26" xfId="0" applyFont="1" applyBorder="1" applyAlignment="1">
      <alignment horizontal="center" vertical="center"/>
    </xf>
    <xf numFmtId="0" fontId="23" fillId="0" borderId="0" xfId="0" applyFont="1" applyAlignment="1">
      <alignment vertical="center"/>
    </xf>
    <xf numFmtId="0" fontId="23" fillId="0" borderId="19" xfId="0" applyFont="1" applyBorder="1" applyAlignment="1">
      <alignment horizontal="center"/>
    </xf>
    <xf numFmtId="0" fontId="23" fillId="0" borderId="13" xfId="0" applyFont="1" applyBorder="1" applyAlignment="1">
      <alignment horizontal="center"/>
    </xf>
    <xf numFmtId="0" fontId="23" fillId="0" borderId="21" xfId="0" applyFont="1" applyBorder="1" applyAlignment="1">
      <alignment horizontal="center"/>
    </xf>
    <xf numFmtId="0" fontId="23" fillId="0" borderId="0" xfId="0" applyFont="1" applyAlignment="1">
      <alignment horizontal="center"/>
    </xf>
    <xf numFmtId="0" fontId="22" fillId="0" borderId="19" xfId="0" applyFont="1" applyBorder="1"/>
    <xf numFmtId="0" fontId="22" fillId="0" borderId="13" xfId="0" applyFont="1" applyBorder="1"/>
    <xf numFmtId="0" fontId="22" fillId="0" borderId="21" xfId="0" applyFont="1" applyBorder="1"/>
    <xf numFmtId="168" fontId="22" fillId="0" borderId="19" xfId="0" applyNumberFormat="1" applyFont="1" applyBorder="1" applyAlignment="1">
      <alignment horizontal="center"/>
    </xf>
    <xf numFmtId="168" fontId="22" fillId="0" borderId="13" xfId="1" applyNumberFormat="1" applyFont="1" applyBorder="1" applyAlignment="1">
      <alignment horizontal="center"/>
    </xf>
    <xf numFmtId="168" fontId="22" fillId="0" borderId="21" xfId="1" applyNumberFormat="1" applyFont="1" applyBorder="1" applyAlignment="1">
      <alignment horizontal="center"/>
    </xf>
    <xf numFmtId="168" fontId="22" fillId="0" borderId="13" xfId="0" applyNumberFormat="1" applyFont="1" applyBorder="1" applyAlignment="1">
      <alignment horizontal="center"/>
    </xf>
    <xf numFmtId="168" fontId="22" fillId="0" borderId="21" xfId="0" applyNumberFormat="1" applyFont="1" applyBorder="1" applyAlignment="1">
      <alignment horizontal="center"/>
    </xf>
    <xf numFmtId="0" fontId="22" fillId="0" borderId="0" xfId="0" applyFont="1" applyAlignment="1">
      <alignment horizontal="center"/>
    </xf>
    <xf numFmtId="0" fontId="22" fillId="0" borderId="19" xfId="0" applyFont="1" applyBorder="1" applyAlignment="1">
      <alignment horizontal="center"/>
    </xf>
    <xf numFmtId="0" fontId="22" fillId="0" borderId="13" xfId="0" applyFont="1" applyBorder="1" applyAlignment="1">
      <alignment horizontal="center"/>
    </xf>
    <xf numFmtId="0" fontId="22" fillId="0" borderId="21" xfId="0" applyFont="1" applyBorder="1" applyAlignment="1">
      <alignment horizontal="center"/>
    </xf>
    <xf numFmtId="2" fontId="22" fillId="0" borderId="19" xfId="0" applyNumberFormat="1" applyFont="1" applyBorder="1" applyAlignment="1">
      <alignment horizontal="center"/>
    </xf>
    <xf numFmtId="2" fontId="22" fillId="0" borderId="13" xfId="0" applyNumberFormat="1" applyFont="1" applyBorder="1" applyAlignment="1">
      <alignment horizontal="center"/>
    </xf>
    <xf numFmtId="2" fontId="22" fillId="0" borderId="21" xfId="0" applyNumberFormat="1" applyFont="1" applyBorder="1" applyAlignment="1">
      <alignment horizontal="center"/>
    </xf>
    <xf numFmtId="9" fontId="22" fillId="0" borderId="20" xfId="4" applyFont="1" applyBorder="1" applyAlignment="1">
      <alignment horizontal="center"/>
    </xf>
    <xf numFmtId="9" fontId="22" fillId="0" borderId="0" xfId="4" applyFont="1"/>
    <xf numFmtId="9" fontId="22" fillId="0" borderId="27" xfId="4" applyFont="1" applyBorder="1" applyAlignment="1">
      <alignment horizontal="center"/>
    </xf>
    <xf numFmtId="9" fontId="22" fillId="0" borderId="29" xfId="4" applyFont="1" applyBorder="1" applyAlignment="1">
      <alignment horizontal="center"/>
    </xf>
    <xf numFmtId="2" fontId="22" fillId="0" borderId="27" xfId="0" applyNumberFormat="1" applyFont="1" applyBorder="1" applyAlignment="1">
      <alignment horizontal="center"/>
    </xf>
    <xf numFmtId="2" fontId="22" fillId="0" borderId="29" xfId="0" applyNumberFormat="1" applyFont="1" applyBorder="1" applyAlignment="1">
      <alignment horizontal="center"/>
    </xf>
    <xf numFmtId="168" fontId="22" fillId="0" borderId="27" xfId="0" applyNumberFormat="1" applyFont="1" applyBorder="1" applyAlignment="1">
      <alignment horizontal="center"/>
    </xf>
    <xf numFmtId="168" fontId="22" fillId="0" borderId="29" xfId="0" applyNumberFormat="1" applyFont="1" applyBorder="1" applyAlignment="1">
      <alignment horizontal="center"/>
    </xf>
    <xf numFmtId="0" fontId="76" fillId="0" borderId="0" xfId="13" applyFont="1" applyFill="1"/>
    <xf numFmtId="0" fontId="0" fillId="0" borderId="0" xfId="0" applyFill="1"/>
    <xf numFmtId="0" fontId="1" fillId="0" borderId="0" xfId="13" applyFill="1"/>
    <xf numFmtId="4" fontId="1" fillId="0" borderId="0" xfId="13" applyNumberFormat="1" applyFill="1"/>
    <xf numFmtId="4" fontId="76" fillId="0" borderId="0" xfId="13" applyNumberFormat="1" applyFont="1" applyFill="1"/>
    <xf numFmtId="0" fontId="76" fillId="25" borderId="0" xfId="13" applyFont="1" applyFill="1"/>
    <xf numFmtId="0" fontId="0" fillId="23" borderId="0" xfId="0" applyFill="1" applyProtection="1">
      <protection locked="0"/>
    </xf>
  </cellXfs>
  <cellStyles count="14">
    <cellStyle name="Comma" xfId="1" builtinId="3"/>
    <cellStyle name="Currency" xfId="12" builtinId="4"/>
    <cellStyle name="Filled" xfId="2" xr:uid="{00000000-0005-0000-0000-000001000000}"/>
    <cellStyle name="Heading" xfId="3" xr:uid="{00000000-0005-0000-0000-000002000000}"/>
    <cellStyle name="Normal" xfId="0" builtinId="0"/>
    <cellStyle name="Normal 2" xfId="5" xr:uid="{0F123F24-3F91-418B-AB34-1254BC0B6314}"/>
    <cellStyle name="Normal 3" xfId="6" xr:uid="{BC7D0DE6-2F2A-42D8-9E97-5518F2261AC5}"/>
    <cellStyle name="Normal 4" xfId="7" xr:uid="{97F7F70F-817C-4D7B-9CD7-3FDF961445B8}"/>
    <cellStyle name="Normal 5" xfId="8" xr:uid="{B65BE97A-E159-4AE3-A6BD-2A9F80843261}"/>
    <cellStyle name="Normal 6" xfId="9" xr:uid="{80202C85-31E5-41C8-A18A-483A37545AE8}"/>
    <cellStyle name="Normal 7" xfId="10" xr:uid="{A5AB5543-D47B-4367-B5F0-BF1E50D3B00F}"/>
    <cellStyle name="Normal 8" xfId="11" xr:uid="{9A1242AC-80DE-4EA5-AE2F-C3623104964D}"/>
    <cellStyle name="Normal 9" xfId="13" xr:uid="{D9DA365B-B427-4B5F-B0F2-F9221F7B676D}"/>
    <cellStyle name="Percent" xfId="4" builtinId="5"/>
  </cellStyles>
  <dxfs count="6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ndense val="0"/>
        <extend val="0"/>
        <color auto="1"/>
      </font>
      <fill>
        <patternFill>
          <bgColor indexed="42"/>
        </patternFill>
      </fill>
    </dxf>
    <dxf>
      <font>
        <condense val="0"/>
        <extend val="0"/>
        <color auto="1"/>
      </font>
      <fill>
        <patternFill>
          <bgColor indexed="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rgb="FFFFCC66"/>
        </patternFill>
      </fill>
    </dxf>
    <dxf>
      <font>
        <color rgb="FF9C0006"/>
      </font>
      <fill>
        <patternFill>
          <bgColor rgb="FFFFC7CE"/>
        </patternFill>
      </fill>
    </dxf>
    <dxf>
      <font>
        <color rgb="FF006100"/>
      </font>
      <fill>
        <patternFill>
          <bgColor rgb="FFC6EFCE"/>
        </patternFill>
      </fill>
    </dxf>
    <dxf>
      <font>
        <color theme="1"/>
      </font>
      <fill>
        <patternFill>
          <bgColor rgb="FFFFCC66"/>
        </patternFill>
      </fill>
    </dxf>
    <dxf>
      <font>
        <color rgb="FF9C0006"/>
      </font>
      <fill>
        <patternFill>
          <bgColor rgb="FFFFC7CE"/>
        </patternFill>
      </fill>
    </dxf>
    <dxf>
      <font>
        <color rgb="FF006100"/>
      </font>
      <fill>
        <patternFill>
          <bgColor rgb="FFC6EFCE"/>
        </patternFill>
      </fill>
    </dxf>
    <dxf>
      <font>
        <color theme="1"/>
      </font>
      <fill>
        <patternFill>
          <bgColor rgb="FFFFCC66"/>
        </patternFill>
      </fill>
    </dxf>
    <dxf>
      <font>
        <color rgb="FF9C0006"/>
      </font>
      <fill>
        <patternFill>
          <bgColor rgb="FFFFC7CE"/>
        </patternFill>
      </fill>
    </dxf>
    <dxf>
      <font>
        <color rgb="FF006100"/>
      </font>
      <fill>
        <patternFill>
          <bgColor rgb="FFC6EFCE"/>
        </patternFill>
      </fill>
    </dxf>
    <dxf>
      <font>
        <color theme="1"/>
      </font>
      <fill>
        <patternFill>
          <bgColor rgb="FFFFCC66"/>
        </patternFill>
      </fill>
    </dxf>
    <dxf>
      <font>
        <color rgb="FF9C0006"/>
      </font>
      <fill>
        <patternFill>
          <bgColor rgb="FFFFC7CE"/>
        </patternFill>
      </fill>
    </dxf>
    <dxf>
      <font>
        <color rgb="FF006100"/>
      </font>
      <fill>
        <patternFill>
          <bgColor rgb="FFC6EFCE"/>
        </patternFill>
      </fill>
    </dxf>
    <dxf>
      <font>
        <color theme="1"/>
      </font>
      <fill>
        <patternFill>
          <bgColor rgb="FFFFCC66"/>
        </patternFill>
      </fill>
    </dxf>
    <dxf>
      <font>
        <color rgb="FF9C0006"/>
      </font>
      <fill>
        <patternFill>
          <bgColor rgb="FFFFC7CE"/>
        </patternFill>
      </fill>
    </dxf>
    <dxf>
      <font>
        <color rgb="FF006100"/>
      </font>
      <fill>
        <patternFill>
          <bgColor rgb="FFC6EFCE"/>
        </patternFill>
      </fill>
    </dxf>
    <dxf>
      <font>
        <color theme="1"/>
      </font>
      <fill>
        <patternFill>
          <bgColor rgb="FFFFCC66"/>
        </patternFill>
      </fill>
    </dxf>
    <dxf>
      <font>
        <color rgb="FF9C0006"/>
      </font>
      <fill>
        <patternFill>
          <bgColor rgb="FFFFC7CE"/>
        </patternFill>
      </fill>
    </dxf>
    <dxf>
      <font>
        <color rgb="FF006100"/>
      </font>
      <fill>
        <patternFill>
          <bgColor rgb="FFC6EFCE"/>
        </patternFill>
      </fill>
    </dxf>
    <dxf>
      <font>
        <color theme="1"/>
      </font>
      <fill>
        <patternFill>
          <bgColor rgb="FFFFCC66"/>
        </patternFill>
      </fill>
    </dxf>
    <dxf>
      <font>
        <color rgb="FF9C0006"/>
      </font>
      <fill>
        <patternFill>
          <bgColor rgb="FFFFC7CE"/>
        </patternFill>
      </fill>
    </dxf>
    <dxf>
      <font>
        <color rgb="FF006100"/>
      </font>
      <fill>
        <patternFill>
          <bgColor rgb="FFC6EFCE"/>
        </patternFill>
      </fill>
    </dxf>
    <dxf>
      <font>
        <color theme="1"/>
      </font>
      <fill>
        <patternFill>
          <bgColor rgb="FFFFCC66"/>
        </patternFill>
      </fill>
    </dxf>
    <dxf>
      <font>
        <color rgb="FF9C0006"/>
      </font>
      <fill>
        <patternFill>
          <bgColor rgb="FFFFC7CE"/>
        </patternFill>
      </fill>
    </dxf>
    <dxf>
      <font>
        <b/>
        <i/>
        <condense val="0"/>
        <extend val="0"/>
      </font>
      <fill>
        <patternFill>
          <bgColor indexed="10"/>
        </patternFill>
      </fill>
    </dxf>
    <dxf>
      <font>
        <b/>
        <i/>
        <condense val="0"/>
        <extend val="0"/>
      </font>
      <fill>
        <patternFill>
          <bgColor indexed="10"/>
        </patternFill>
      </fill>
    </dxf>
    <dxf>
      <font>
        <b/>
        <i/>
        <condense val="0"/>
        <extend val="0"/>
      </font>
      <fill>
        <patternFill>
          <bgColor indexed="10"/>
        </patternFill>
      </fill>
    </dxf>
    <dxf>
      <font>
        <b/>
        <i/>
        <condense val="0"/>
        <extend val="0"/>
      </font>
      <fill>
        <patternFill>
          <bgColor indexed="10"/>
        </patternFill>
      </fill>
    </dxf>
    <dxf>
      <font>
        <b/>
        <i/>
        <condense val="0"/>
        <extend val="0"/>
      </font>
      <fill>
        <patternFill>
          <bgColor indexed="13"/>
        </patternFill>
      </fill>
    </dxf>
    <dxf>
      <font>
        <b/>
        <i/>
        <condense val="0"/>
        <extend val="0"/>
      </font>
      <fill>
        <patternFill>
          <bgColor indexed="10"/>
        </patternFill>
      </fill>
    </dxf>
    <dxf>
      <fill>
        <patternFill>
          <bgColor indexed="10"/>
        </patternFill>
      </fill>
    </dxf>
    <dxf>
      <fill>
        <patternFill>
          <bgColor indexed="13"/>
        </patternFill>
      </fill>
    </dxf>
    <dxf>
      <fill>
        <patternFill>
          <bgColor indexed="10"/>
        </patternFill>
      </fill>
    </dxf>
    <dxf>
      <font>
        <color auto="1"/>
      </font>
      <fill>
        <patternFill>
          <bgColor rgb="FFFFFF00"/>
        </patternFill>
      </fill>
    </dxf>
    <dxf>
      <fill>
        <patternFill>
          <bgColor indexed="10"/>
        </patternFill>
      </fill>
    </dxf>
    <dxf>
      <fill>
        <patternFill>
          <bgColor indexed="13"/>
        </patternFill>
      </fill>
    </dxf>
    <dxf>
      <fill>
        <patternFill>
          <bgColor indexed="9"/>
        </patternFill>
      </fill>
    </dxf>
    <dxf>
      <fill>
        <patternFill>
          <bgColor indexed="10"/>
        </patternFill>
      </fill>
    </dxf>
    <dxf>
      <font>
        <b/>
        <i val="0"/>
        <condense val="0"/>
        <extend val="0"/>
      </font>
      <fill>
        <patternFill>
          <bgColor indexed="10"/>
        </patternFill>
      </fill>
    </dxf>
    <dxf>
      <fill>
        <patternFill>
          <bgColor indexed="13"/>
        </patternFill>
      </fill>
    </dxf>
    <dxf>
      <fill>
        <patternFill>
          <bgColor indexed="10"/>
        </patternFill>
      </fill>
    </dxf>
    <dxf>
      <fill>
        <patternFill>
          <bgColor indexed="10"/>
        </patternFill>
      </fill>
    </dxf>
  </dxfs>
  <tableStyles count="0" defaultTableStyle="TableStyleMedium2" defaultPivotStyle="PivotStyleLight16"/>
  <colors>
    <mruColors>
      <color rgb="FFFFFF99"/>
      <color rgb="FFFFFFA7"/>
      <color rgb="FF9966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320040</xdr:colOff>
          <xdr:row>3</xdr:row>
          <xdr:rowOff>0</xdr:rowOff>
        </xdr:from>
        <xdr:to>
          <xdr:col>11</xdr:col>
          <xdr:colOff>281940</xdr:colOff>
          <xdr:row>70</xdr:row>
          <xdr:rowOff>38100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Claire Hughes" id="{A61C0F36-E252-4CA2-8F9A-7D276277EAA7}" userId="S::Claire.Hughes@cambridgeshire.gov.uk::0e787fed-0ccd-4118-b4e5-7d7e809c393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94" dT="2023-02-16T09:56:44.37" personId="{A61C0F36-E252-4CA2-8F9A-7D276277EAA7}" id="{7CDE45E0-F5A2-4222-85FC-D42E85A95957}">
    <text>Federated with Newton</text>
  </threadedComment>
  <threadedComment ref="A300" dT="2023-02-16T09:57:32.59" personId="{A61C0F36-E252-4CA2-8F9A-7D276277EAA7}" id="{36BB96CD-7366-48F3-98F2-E64BB911264E}">
    <text>Federated with Stukeley Meadows</text>
  </threadedComment>
</ThreadedComments>
</file>

<file path=xl/threadedComments/threadedComment2.xml><?xml version="1.0" encoding="utf-8"?>
<ThreadedComments xmlns="http://schemas.microsoft.com/office/spreadsheetml/2018/threadedcomments" xmlns:x="http://schemas.openxmlformats.org/spreadsheetml/2006/main">
  <threadedComment ref="A294" dT="2023-02-16T09:56:44.37" personId="{A61C0F36-E252-4CA2-8F9A-7D276277EAA7}" id="{92E5C62F-3FA0-4190-B1DC-CE77736A49D0}">
    <text>Federated with Newton</text>
  </threadedComment>
  <threadedComment ref="A300" dT="2023-02-16T09:57:32.59" personId="{A61C0F36-E252-4CA2-8F9A-7D276277EAA7}" id="{FCE614A8-2D96-4724-B2FB-0C27B7908858}">
    <text>Federated with Stukeley Meadows</text>
  </threadedComment>
</ThreadedComments>
</file>

<file path=xl/threadedComments/threadedComment3.xml><?xml version="1.0" encoding="utf-8"?>
<ThreadedComments xmlns="http://schemas.microsoft.com/office/spreadsheetml/2018/threadedcomments" xmlns:x="http://schemas.openxmlformats.org/spreadsheetml/2006/main">
  <threadedComment ref="C106" dT="2023-02-16T09:56:44.37" personId="{A61C0F36-E252-4CA2-8F9A-7D276277EAA7}" id="{FD13AE66-691A-413D-9358-9CFE955C0491}">
    <text>Federated with Newton</text>
  </threadedComment>
  <threadedComment ref="C112" dT="2023-02-16T09:57:32.59" personId="{A61C0F36-E252-4CA2-8F9A-7D276277EAA7}" id="{281FB432-6AE7-413A-9699-873069EA536E}">
    <text>Federated with Stukeley Meadows</text>
  </threadedComment>
</ThreadedComments>
</file>

<file path=xl/threadedComments/threadedComment4.xml><?xml version="1.0" encoding="utf-8"?>
<ThreadedComments xmlns="http://schemas.microsoft.com/office/spreadsheetml/2018/threadedcomments" xmlns:x="http://schemas.openxmlformats.org/spreadsheetml/2006/main">
  <threadedComment ref="C104" dT="2023-02-16T09:56:44.37" personId="{A61C0F36-E252-4CA2-8F9A-7D276277EAA7}" id="{FA607035-3CE1-483D-98C5-9BEC146B9B81}">
    <text>Federated with Newton</text>
  </threadedComment>
  <threadedComment ref="C110" dT="2023-02-16T09:57:32.59" personId="{A61C0F36-E252-4CA2-8F9A-7D276277EAA7}" id="{BEDBB9C9-C03A-4EAC-B175-BA54B09569A8}">
    <text>Federated with Stukeley Meadows</text>
  </threadedComment>
</ThreadedComments>
</file>

<file path=xl/threadedComments/threadedComment5.xml><?xml version="1.0" encoding="utf-8"?>
<ThreadedComments xmlns="http://schemas.microsoft.com/office/spreadsheetml/2018/threadedcomments" xmlns:x="http://schemas.openxmlformats.org/spreadsheetml/2006/main">
  <threadedComment ref="B106" dT="2023-02-16T09:56:44.37" personId="{A61C0F36-E252-4CA2-8F9A-7D276277EAA7}" id="{8380C2DC-1C54-4797-872A-17F729331925}">
    <text>Federated with Newton</text>
  </threadedComment>
  <threadedComment ref="B112" dT="2023-02-16T09:57:32.59" personId="{A61C0F36-E252-4CA2-8F9A-7D276277EAA7}" id="{1FBFAD6E-B8C2-4FA7-A34A-B8928FBD32F1}">
    <text>Federated with Stukeley Meadows</text>
  </threadedComment>
</ThreadedComments>
</file>

<file path=xl/threadedComments/threadedComment6.xml><?xml version="1.0" encoding="utf-8"?>
<ThreadedComments xmlns="http://schemas.microsoft.com/office/spreadsheetml/2018/threadedcomments" xmlns:x="http://schemas.openxmlformats.org/spreadsheetml/2006/main">
  <threadedComment ref="C104" dT="2023-02-16T09:56:44.37" personId="{A61C0F36-E252-4CA2-8F9A-7D276277EAA7}" id="{0E23AB42-B1D1-4D16-8175-8588C296BAAD}">
    <text>Federated with Newton</text>
  </threadedComment>
  <threadedComment ref="C110" dT="2023-02-16T09:57:32.59" personId="{A61C0F36-E252-4CA2-8F9A-7D276277EAA7}" id="{C65E3089-8192-4960-AFBD-8E04CBAEE0F5}">
    <text>Federated with Stukeley Meadows</text>
  </threadedComment>
</ThreadedComments>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6.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7.xml"/><Relationship Id="rId1"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1.bin"/><Relationship Id="rId4" Type="http://schemas.microsoft.com/office/2017/10/relationships/threadedComment" Target="../threadedComments/threadedComment5.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2.bin"/><Relationship Id="rId4" Type="http://schemas.microsoft.com/office/2017/10/relationships/threadedComment" Target="../threadedComments/threadedComment6.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A273C-EE6F-4856-B151-487F835A173A}">
  <sheetPr codeName="Sheet1"/>
  <dimension ref="C1:I192"/>
  <sheetViews>
    <sheetView workbookViewId="0">
      <selection activeCell="L27" sqref="L27"/>
    </sheetView>
  </sheetViews>
  <sheetFormatPr defaultRowHeight="13.2"/>
  <sheetData>
    <row r="1" spans="3:9" ht="13.8" thickBot="1">
      <c r="C1" s="304" t="s">
        <v>0</v>
      </c>
      <c r="D1" s="305" t="s">
        <v>1</v>
      </c>
      <c r="E1" s="305"/>
      <c r="F1" s="306">
        <v>0</v>
      </c>
      <c r="G1" s="306">
        <v>199401</v>
      </c>
      <c r="H1" s="306">
        <v>209912</v>
      </c>
      <c r="I1" s="305" t="s">
        <v>2</v>
      </c>
    </row>
    <row r="2" spans="3:9" ht="13.8" thickBot="1">
      <c r="C2" s="305" t="s">
        <v>3</v>
      </c>
      <c r="D2" s="305" t="s">
        <v>4</v>
      </c>
      <c r="E2" s="305"/>
      <c r="F2" s="306">
        <v>0</v>
      </c>
      <c r="G2" s="306">
        <v>199401</v>
      </c>
      <c r="H2" s="306">
        <v>209912</v>
      </c>
      <c r="I2" s="305" t="s">
        <v>2</v>
      </c>
    </row>
    <row r="3" spans="3:9" ht="13.8" thickBot="1">
      <c r="C3" s="305" t="s">
        <v>5</v>
      </c>
      <c r="D3" s="305" t="s">
        <v>6</v>
      </c>
      <c r="E3" s="305"/>
      <c r="F3" s="306">
        <v>0</v>
      </c>
      <c r="G3" s="306">
        <v>199401</v>
      </c>
      <c r="H3" s="306">
        <v>209912</v>
      </c>
      <c r="I3" s="305" t="s">
        <v>2</v>
      </c>
    </row>
    <row r="4" spans="3:9" ht="13.8" thickBot="1">
      <c r="C4" s="305" t="s">
        <v>7</v>
      </c>
      <c r="D4" s="305" t="s">
        <v>8</v>
      </c>
      <c r="E4" s="305"/>
      <c r="F4" s="306">
        <v>0</v>
      </c>
      <c r="G4" s="306">
        <v>199401</v>
      </c>
      <c r="H4" s="306">
        <v>209912</v>
      </c>
      <c r="I4" s="305" t="s">
        <v>2</v>
      </c>
    </row>
    <row r="5" spans="3:9" ht="13.8" thickBot="1">
      <c r="C5" s="305" t="s">
        <v>9</v>
      </c>
      <c r="D5" s="305" t="s">
        <v>10</v>
      </c>
      <c r="E5" s="305"/>
      <c r="F5" s="306">
        <v>0</v>
      </c>
      <c r="G5" s="306">
        <v>199401</v>
      </c>
      <c r="H5" s="306">
        <v>209912</v>
      </c>
      <c r="I5" s="305" t="s">
        <v>2</v>
      </c>
    </row>
    <row r="6" spans="3:9" ht="13.8" thickBot="1">
      <c r="C6" s="305" t="s">
        <v>11</v>
      </c>
      <c r="D6" s="305" t="s">
        <v>12</v>
      </c>
      <c r="E6" s="305"/>
      <c r="F6" s="306">
        <v>0</v>
      </c>
      <c r="G6" s="306">
        <v>199401</v>
      </c>
      <c r="H6" s="306">
        <v>209912</v>
      </c>
      <c r="I6" s="305" t="s">
        <v>2</v>
      </c>
    </row>
    <row r="7" spans="3:9" ht="13.8" thickBot="1">
      <c r="C7" s="305" t="s">
        <v>13</v>
      </c>
      <c r="D7" s="305" t="s">
        <v>14</v>
      </c>
      <c r="E7" s="305"/>
      <c r="F7" s="306">
        <v>0</v>
      </c>
      <c r="G7" s="306">
        <v>199401</v>
      </c>
      <c r="H7" s="306">
        <v>209912</v>
      </c>
      <c r="I7" s="305" t="s">
        <v>2</v>
      </c>
    </row>
    <row r="8" spans="3:9" ht="13.8" thickBot="1">
      <c r="C8" s="305" t="s">
        <v>15</v>
      </c>
      <c r="D8" s="305" t="s">
        <v>16</v>
      </c>
      <c r="E8" s="305"/>
      <c r="F8" s="306">
        <v>0</v>
      </c>
      <c r="G8" s="306">
        <v>199401</v>
      </c>
      <c r="H8" s="306">
        <v>209912</v>
      </c>
      <c r="I8" s="305" t="s">
        <v>2</v>
      </c>
    </row>
    <row r="9" spans="3:9" ht="13.8" thickBot="1">
      <c r="C9" s="305" t="s">
        <v>17</v>
      </c>
      <c r="D9" s="305" t="s">
        <v>18</v>
      </c>
      <c r="E9" s="305"/>
      <c r="F9" s="306">
        <v>0</v>
      </c>
      <c r="G9" s="306">
        <v>199401</v>
      </c>
      <c r="H9" s="306">
        <v>209912</v>
      </c>
      <c r="I9" s="305" t="s">
        <v>2</v>
      </c>
    </row>
    <row r="10" spans="3:9" ht="13.8" thickBot="1">
      <c r="C10" s="305" t="s">
        <v>19</v>
      </c>
      <c r="D10" s="305" t="s">
        <v>20</v>
      </c>
      <c r="E10" s="305"/>
      <c r="F10" s="306">
        <v>0</v>
      </c>
      <c r="G10" s="306">
        <v>199401</v>
      </c>
      <c r="H10" s="306">
        <v>209912</v>
      </c>
      <c r="I10" s="305" t="s">
        <v>2</v>
      </c>
    </row>
    <row r="11" spans="3:9" ht="13.8" thickBot="1">
      <c r="C11" s="305" t="s">
        <v>21</v>
      </c>
      <c r="D11" s="305" t="s">
        <v>22</v>
      </c>
      <c r="E11" s="305"/>
      <c r="F11" s="306">
        <v>0</v>
      </c>
      <c r="G11" s="306">
        <v>199401</v>
      </c>
      <c r="H11" s="306">
        <v>209912</v>
      </c>
      <c r="I11" s="305" t="s">
        <v>2</v>
      </c>
    </row>
    <row r="12" spans="3:9" ht="13.8" thickBot="1">
      <c r="C12" s="305" t="s">
        <v>23</v>
      </c>
      <c r="D12" s="305" t="s">
        <v>24</v>
      </c>
      <c r="E12" s="305"/>
      <c r="F12" s="306">
        <v>0</v>
      </c>
      <c r="G12" s="306">
        <v>199401</v>
      </c>
      <c r="H12" s="306">
        <v>209912</v>
      </c>
      <c r="I12" s="305" t="s">
        <v>2</v>
      </c>
    </row>
    <row r="13" spans="3:9" ht="13.8" thickBot="1">
      <c r="C13" s="305" t="s">
        <v>25</v>
      </c>
      <c r="D13" s="305" t="s">
        <v>26</v>
      </c>
      <c r="E13" s="305"/>
      <c r="F13" s="306">
        <v>0</v>
      </c>
      <c r="G13" s="306">
        <v>199401</v>
      </c>
      <c r="H13" s="306">
        <v>209912</v>
      </c>
      <c r="I13" s="305" t="s">
        <v>2</v>
      </c>
    </row>
    <row r="14" spans="3:9" ht="13.8" thickBot="1">
      <c r="C14" s="305" t="s">
        <v>27</v>
      </c>
      <c r="D14" s="305" t="s">
        <v>28</v>
      </c>
      <c r="E14" s="305"/>
      <c r="F14" s="306">
        <v>0</v>
      </c>
      <c r="G14" s="306">
        <v>199401</v>
      </c>
      <c r="H14" s="306">
        <v>209912</v>
      </c>
      <c r="I14" s="305" t="s">
        <v>2</v>
      </c>
    </row>
    <row r="15" spans="3:9" ht="13.8" thickBot="1">
      <c r="C15" s="305" t="s">
        <v>29</v>
      </c>
      <c r="D15" s="305" t="s">
        <v>30</v>
      </c>
      <c r="E15" s="305"/>
      <c r="F15" s="306">
        <v>0</v>
      </c>
      <c r="G15" s="306">
        <v>199401</v>
      </c>
      <c r="H15" s="306">
        <v>209912</v>
      </c>
      <c r="I15" s="305" t="s">
        <v>2</v>
      </c>
    </row>
    <row r="16" spans="3:9" ht="13.8" thickBot="1">
      <c r="C16" s="305" t="s">
        <v>31</v>
      </c>
      <c r="D16" s="305" t="s">
        <v>32</v>
      </c>
      <c r="E16" s="305"/>
      <c r="F16" s="306">
        <v>0</v>
      </c>
      <c r="G16" s="306">
        <v>199401</v>
      </c>
      <c r="H16" s="306">
        <v>209912</v>
      </c>
      <c r="I16" s="305" t="s">
        <v>2</v>
      </c>
    </row>
    <row r="17" spans="3:9" ht="13.8" thickBot="1">
      <c r="C17" s="305" t="s">
        <v>33</v>
      </c>
      <c r="D17" s="305" t="s">
        <v>34</v>
      </c>
      <c r="E17" s="305"/>
      <c r="F17" s="306">
        <v>0</v>
      </c>
      <c r="G17" s="306">
        <v>199401</v>
      </c>
      <c r="H17" s="306">
        <v>209912</v>
      </c>
      <c r="I17" s="305" t="s">
        <v>2</v>
      </c>
    </row>
    <row r="18" spans="3:9" ht="13.8" thickBot="1">
      <c r="C18" s="305" t="s">
        <v>35</v>
      </c>
      <c r="D18" s="305" t="s">
        <v>36</v>
      </c>
      <c r="E18" s="305"/>
      <c r="F18" s="306">
        <v>0</v>
      </c>
      <c r="G18" s="306">
        <v>199401</v>
      </c>
      <c r="H18" s="306">
        <v>209912</v>
      </c>
      <c r="I18" s="305" t="s">
        <v>2</v>
      </c>
    </row>
    <row r="19" spans="3:9" ht="13.8" thickBot="1">
      <c r="C19" s="305" t="s">
        <v>37</v>
      </c>
      <c r="D19" s="305" t="s">
        <v>38</v>
      </c>
      <c r="E19" s="305"/>
      <c r="F19" s="306">
        <v>0</v>
      </c>
      <c r="G19" s="306">
        <v>199401</v>
      </c>
      <c r="H19" s="306">
        <v>209912</v>
      </c>
      <c r="I19" s="305" t="s">
        <v>2</v>
      </c>
    </row>
    <row r="20" spans="3:9" ht="13.8" thickBot="1">
      <c r="C20" s="305" t="s">
        <v>39</v>
      </c>
      <c r="D20" s="305" t="s">
        <v>40</v>
      </c>
      <c r="E20" s="305"/>
      <c r="F20" s="306">
        <v>0</v>
      </c>
      <c r="G20" s="306">
        <v>199401</v>
      </c>
      <c r="H20" s="306">
        <v>209912</v>
      </c>
      <c r="I20" s="305" t="s">
        <v>2</v>
      </c>
    </row>
    <row r="21" spans="3:9" ht="13.8" thickBot="1">
      <c r="C21" s="305" t="s">
        <v>41</v>
      </c>
      <c r="D21" s="305" t="s">
        <v>42</v>
      </c>
      <c r="E21" s="305"/>
      <c r="F21" s="306">
        <v>0</v>
      </c>
      <c r="G21" s="306">
        <v>199401</v>
      </c>
      <c r="H21" s="306">
        <v>209912</v>
      </c>
      <c r="I21" s="305" t="s">
        <v>2</v>
      </c>
    </row>
    <row r="22" spans="3:9" ht="13.8" thickBot="1">
      <c r="C22" s="305" t="s">
        <v>43</v>
      </c>
      <c r="D22" s="305" t="s">
        <v>44</v>
      </c>
      <c r="E22" s="305"/>
      <c r="F22" s="306">
        <v>0</v>
      </c>
      <c r="G22" s="306">
        <v>199401</v>
      </c>
      <c r="H22" s="306">
        <v>209912</v>
      </c>
      <c r="I22" s="305" t="s">
        <v>2</v>
      </c>
    </row>
    <row r="23" spans="3:9" ht="13.8" thickBot="1">
      <c r="C23" s="305" t="s">
        <v>45</v>
      </c>
      <c r="D23" s="305" t="s">
        <v>46</v>
      </c>
      <c r="E23" s="305"/>
      <c r="F23" s="306">
        <v>0</v>
      </c>
      <c r="G23" s="306">
        <v>199401</v>
      </c>
      <c r="H23" s="306">
        <v>209912</v>
      </c>
      <c r="I23" s="305" t="s">
        <v>2</v>
      </c>
    </row>
    <row r="24" spans="3:9" ht="13.8" thickBot="1">
      <c r="C24" s="305" t="s">
        <v>47</v>
      </c>
      <c r="D24" s="305" t="s">
        <v>48</v>
      </c>
      <c r="E24" s="305"/>
      <c r="F24" s="306">
        <v>0</v>
      </c>
      <c r="G24" s="306">
        <v>199401</v>
      </c>
      <c r="H24" s="306">
        <v>209912</v>
      </c>
      <c r="I24" s="305" t="s">
        <v>2</v>
      </c>
    </row>
    <row r="25" spans="3:9" ht="13.8" thickBot="1">
      <c r="C25" s="305" t="s">
        <v>49</v>
      </c>
      <c r="D25" s="305" t="s">
        <v>50</v>
      </c>
      <c r="E25" s="305"/>
      <c r="F25" s="306">
        <v>0</v>
      </c>
      <c r="G25" s="306">
        <v>199401</v>
      </c>
      <c r="H25" s="306">
        <v>209912</v>
      </c>
      <c r="I25" s="305" t="s">
        <v>2</v>
      </c>
    </row>
    <row r="26" spans="3:9" ht="13.8" thickBot="1">
      <c r="C26" s="305" t="s">
        <v>51</v>
      </c>
      <c r="D26" s="305" t="s">
        <v>52</v>
      </c>
      <c r="E26" s="305"/>
      <c r="F26" s="306">
        <v>0</v>
      </c>
      <c r="G26" s="306">
        <v>199401</v>
      </c>
      <c r="H26" s="306">
        <v>209912</v>
      </c>
      <c r="I26" s="305" t="s">
        <v>2</v>
      </c>
    </row>
    <row r="27" spans="3:9" ht="13.8" thickBot="1">
      <c r="C27" s="305" t="s">
        <v>53</v>
      </c>
      <c r="D27" s="305" t="s">
        <v>54</v>
      </c>
      <c r="E27" s="305"/>
      <c r="F27" s="306">
        <v>0</v>
      </c>
      <c r="G27" s="306">
        <v>199401</v>
      </c>
      <c r="H27" s="306">
        <v>209912</v>
      </c>
      <c r="I27" s="305" t="s">
        <v>2</v>
      </c>
    </row>
    <row r="28" spans="3:9" ht="13.8" thickBot="1">
      <c r="C28" s="305" t="s">
        <v>55</v>
      </c>
      <c r="D28" s="305" t="s">
        <v>56</v>
      </c>
      <c r="E28" s="305"/>
      <c r="F28" s="306">
        <v>0</v>
      </c>
      <c r="G28" s="306">
        <v>199401</v>
      </c>
      <c r="H28" s="306">
        <v>209912</v>
      </c>
      <c r="I28" s="305" t="s">
        <v>2</v>
      </c>
    </row>
    <row r="29" spans="3:9" ht="13.8" thickBot="1">
      <c r="C29" s="305" t="s">
        <v>57</v>
      </c>
      <c r="D29" s="305" t="s">
        <v>58</v>
      </c>
      <c r="E29" s="305"/>
      <c r="F29" s="306">
        <v>0</v>
      </c>
      <c r="G29" s="306">
        <v>199401</v>
      </c>
      <c r="H29" s="306">
        <v>209912</v>
      </c>
      <c r="I29" s="305" t="s">
        <v>2</v>
      </c>
    </row>
    <row r="30" spans="3:9" ht="13.8" thickBot="1">
      <c r="C30" s="305" t="s">
        <v>59</v>
      </c>
      <c r="D30" s="305" t="s">
        <v>60</v>
      </c>
      <c r="E30" s="305"/>
      <c r="F30" s="306">
        <v>0</v>
      </c>
      <c r="G30" s="306">
        <v>199401</v>
      </c>
      <c r="H30" s="306">
        <v>209912</v>
      </c>
      <c r="I30" s="305" t="s">
        <v>2</v>
      </c>
    </row>
    <row r="31" spans="3:9" ht="13.8" thickBot="1">
      <c r="C31" s="305" t="s">
        <v>61</v>
      </c>
      <c r="D31" s="305" t="s">
        <v>62</v>
      </c>
      <c r="E31" s="305"/>
      <c r="F31" s="306">
        <v>0</v>
      </c>
      <c r="G31" s="306">
        <v>199401</v>
      </c>
      <c r="H31" s="306">
        <v>209912</v>
      </c>
      <c r="I31" s="305" t="s">
        <v>2</v>
      </c>
    </row>
    <row r="32" spans="3:9" ht="13.8" thickBot="1">
      <c r="C32" s="305" t="s">
        <v>63</v>
      </c>
      <c r="D32" s="305" t="s">
        <v>64</v>
      </c>
      <c r="E32" s="305"/>
      <c r="F32" s="306">
        <v>0</v>
      </c>
      <c r="G32" s="306">
        <v>199401</v>
      </c>
      <c r="H32" s="306">
        <v>209912</v>
      </c>
      <c r="I32" s="305" t="s">
        <v>2</v>
      </c>
    </row>
    <row r="33" spans="3:9" ht="13.8" thickBot="1">
      <c r="C33" s="305" t="s">
        <v>65</v>
      </c>
      <c r="D33" s="305" t="s">
        <v>66</v>
      </c>
      <c r="E33" s="305"/>
      <c r="F33" s="306">
        <v>0</v>
      </c>
      <c r="G33" s="306">
        <v>199401</v>
      </c>
      <c r="H33" s="306">
        <v>209912</v>
      </c>
      <c r="I33" s="305" t="s">
        <v>2</v>
      </c>
    </row>
    <row r="34" spans="3:9" ht="13.8" thickBot="1">
      <c r="C34" s="305" t="s">
        <v>67</v>
      </c>
      <c r="D34" s="305" t="s">
        <v>68</v>
      </c>
      <c r="E34" s="305"/>
      <c r="F34" s="306">
        <v>0</v>
      </c>
      <c r="G34" s="306">
        <v>199401</v>
      </c>
      <c r="H34" s="306">
        <v>209912</v>
      </c>
      <c r="I34" s="305" t="s">
        <v>2</v>
      </c>
    </row>
    <row r="35" spans="3:9" ht="13.8" thickBot="1">
      <c r="C35" s="305" t="s">
        <v>69</v>
      </c>
      <c r="D35" s="305" t="s">
        <v>70</v>
      </c>
      <c r="E35" s="305"/>
      <c r="F35" s="306">
        <v>0</v>
      </c>
      <c r="G35" s="306">
        <v>199401</v>
      </c>
      <c r="H35" s="306">
        <v>209912</v>
      </c>
      <c r="I35" s="305" t="s">
        <v>2</v>
      </c>
    </row>
    <row r="36" spans="3:9" ht="13.8" thickBot="1">
      <c r="C36" s="305" t="s">
        <v>71</v>
      </c>
      <c r="D36" s="305" t="s">
        <v>72</v>
      </c>
      <c r="E36" s="305"/>
      <c r="F36" s="306">
        <v>0</v>
      </c>
      <c r="G36" s="306">
        <v>199401</v>
      </c>
      <c r="H36" s="306">
        <v>209912</v>
      </c>
      <c r="I36" s="305" t="s">
        <v>2</v>
      </c>
    </row>
    <row r="37" spans="3:9" ht="13.8" thickBot="1">
      <c r="C37" s="305" t="s">
        <v>73</v>
      </c>
      <c r="D37" s="305" t="s">
        <v>74</v>
      </c>
      <c r="E37" s="305"/>
      <c r="F37" s="306">
        <v>0</v>
      </c>
      <c r="G37" s="306">
        <v>199401</v>
      </c>
      <c r="H37" s="306">
        <v>209912</v>
      </c>
      <c r="I37" s="305" t="s">
        <v>2</v>
      </c>
    </row>
    <row r="38" spans="3:9" ht="13.8" thickBot="1">
      <c r="C38" s="305" t="s">
        <v>75</v>
      </c>
      <c r="D38" s="305" t="s">
        <v>76</v>
      </c>
      <c r="E38" s="305"/>
      <c r="F38" s="306">
        <v>0</v>
      </c>
      <c r="G38" s="306">
        <v>199401</v>
      </c>
      <c r="H38" s="306">
        <v>209912</v>
      </c>
      <c r="I38" s="305" t="s">
        <v>2</v>
      </c>
    </row>
    <row r="39" spans="3:9" ht="13.8" thickBot="1">
      <c r="C39" s="305" t="s">
        <v>77</v>
      </c>
      <c r="D39" s="305" t="s">
        <v>78</v>
      </c>
      <c r="E39" s="305"/>
      <c r="F39" s="306">
        <v>0</v>
      </c>
      <c r="G39" s="306">
        <v>199401</v>
      </c>
      <c r="H39" s="306">
        <v>209912</v>
      </c>
      <c r="I39" s="305" t="s">
        <v>2</v>
      </c>
    </row>
    <row r="40" spans="3:9" ht="13.8" thickBot="1">
      <c r="C40" s="305" t="s">
        <v>79</v>
      </c>
      <c r="D40" s="305" t="s">
        <v>80</v>
      </c>
      <c r="E40" s="305"/>
      <c r="F40" s="306">
        <v>0</v>
      </c>
      <c r="G40" s="306">
        <v>199401</v>
      </c>
      <c r="H40" s="306">
        <v>209912</v>
      </c>
      <c r="I40" s="305" t="s">
        <v>2</v>
      </c>
    </row>
    <row r="41" spans="3:9" ht="13.8" thickBot="1">
      <c r="C41" s="305" t="s">
        <v>81</v>
      </c>
      <c r="D41" s="305" t="s">
        <v>82</v>
      </c>
      <c r="E41" s="305"/>
      <c r="F41" s="306">
        <v>0</v>
      </c>
      <c r="G41" s="306">
        <v>199401</v>
      </c>
      <c r="H41" s="306">
        <v>209912</v>
      </c>
      <c r="I41" s="305" t="s">
        <v>2</v>
      </c>
    </row>
    <row r="42" spans="3:9" ht="13.8" thickBot="1">
      <c r="C42" s="305" t="s">
        <v>83</v>
      </c>
      <c r="D42" s="305" t="s">
        <v>84</v>
      </c>
      <c r="E42" s="305"/>
      <c r="F42" s="306">
        <v>0</v>
      </c>
      <c r="G42" s="306">
        <v>199401</v>
      </c>
      <c r="H42" s="306">
        <v>209912</v>
      </c>
      <c r="I42" s="305" t="s">
        <v>2</v>
      </c>
    </row>
    <row r="43" spans="3:9" ht="13.8" thickBot="1">
      <c r="C43" s="305" t="s">
        <v>85</v>
      </c>
      <c r="D43" s="305" t="s">
        <v>86</v>
      </c>
      <c r="E43" s="305"/>
      <c r="F43" s="306">
        <v>0</v>
      </c>
      <c r="G43" s="306">
        <v>199401</v>
      </c>
      <c r="H43" s="306">
        <v>209912</v>
      </c>
      <c r="I43" s="305" t="s">
        <v>2</v>
      </c>
    </row>
    <row r="44" spans="3:9" ht="13.8" thickBot="1">
      <c r="C44" s="305" t="s">
        <v>87</v>
      </c>
      <c r="D44" s="305" t="s">
        <v>88</v>
      </c>
      <c r="E44" s="305"/>
      <c r="F44" s="306">
        <v>0</v>
      </c>
      <c r="G44" s="306">
        <v>199401</v>
      </c>
      <c r="H44" s="306">
        <v>209912</v>
      </c>
      <c r="I44" s="305" t="s">
        <v>2</v>
      </c>
    </row>
    <row r="45" spans="3:9" ht="13.8" thickBot="1">
      <c r="C45" s="305" t="s">
        <v>89</v>
      </c>
      <c r="D45" s="305" t="s">
        <v>90</v>
      </c>
      <c r="E45" s="305"/>
      <c r="F45" s="306">
        <v>0</v>
      </c>
      <c r="G45" s="306">
        <v>199401</v>
      </c>
      <c r="H45" s="306">
        <v>209912</v>
      </c>
      <c r="I45" s="305" t="s">
        <v>2</v>
      </c>
    </row>
    <row r="46" spans="3:9" ht="13.8" thickBot="1">
      <c r="C46" s="305" t="s">
        <v>91</v>
      </c>
      <c r="D46" s="305" t="s">
        <v>92</v>
      </c>
      <c r="E46" s="305"/>
      <c r="F46" s="306">
        <v>0</v>
      </c>
      <c r="G46" s="306">
        <v>199401</v>
      </c>
      <c r="H46" s="306">
        <v>209912</v>
      </c>
      <c r="I46" s="305" t="s">
        <v>2</v>
      </c>
    </row>
    <row r="47" spans="3:9" ht="13.8" thickBot="1">
      <c r="C47" s="305" t="s">
        <v>93</v>
      </c>
      <c r="D47" s="305" t="s">
        <v>94</v>
      </c>
      <c r="E47" s="305"/>
      <c r="F47" s="306">
        <v>0</v>
      </c>
      <c r="G47" s="306">
        <v>199401</v>
      </c>
      <c r="H47" s="306">
        <v>209912</v>
      </c>
      <c r="I47" s="305" t="s">
        <v>2</v>
      </c>
    </row>
    <row r="48" spans="3:9" ht="13.8" thickBot="1">
      <c r="C48" s="305" t="s">
        <v>95</v>
      </c>
      <c r="D48" s="305" t="s">
        <v>96</v>
      </c>
      <c r="E48" s="305"/>
      <c r="F48" s="306">
        <v>0</v>
      </c>
      <c r="G48" s="306">
        <v>199401</v>
      </c>
      <c r="H48" s="306">
        <v>209912</v>
      </c>
      <c r="I48" s="305" t="s">
        <v>2</v>
      </c>
    </row>
    <row r="49" spans="3:9" ht="13.8" thickBot="1">
      <c r="C49" s="305" t="s">
        <v>97</v>
      </c>
      <c r="D49" s="305" t="s">
        <v>98</v>
      </c>
      <c r="E49" s="305"/>
      <c r="F49" s="306">
        <v>0</v>
      </c>
      <c r="G49" s="306">
        <v>199401</v>
      </c>
      <c r="H49" s="306">
        <v>209912</v>
      </c>
      <c r="I49" s="305" t="s">
        <v>2</v>
      </c>
    </row>
    <row r="50" spans="3:9" ht="13.8" thickBot="1">
      <c r="C50" s="305" t="s">
        <v>99</v>
      </c>
      <c r="D50" s="305" t="s">
        <v>100</v>
      </c>
      <c r="E50" s="305"/>
      <c r="F50" s="306">
        <v>0</v>
      </c>
      <c r="G50" s="306">
        <v>199401</v>
      </c>
      <c r="H50" s="306">
        <v>209912</v>
      </c>
      <c r="I50" s="305" t="s">
        <v>2</v>
      </c>
    </row>
    <row r="51" spans="3:9" ht="13.8" thickBot="1">
      <c r="C51" s="305" t="s">
        <v>101</v>
      </c>
      <c r="D51" s="305" t="s">
        <v>102</v>
      </c>
      <c r="E51" s="305"/>
      <c r="F51" s="306">
        <v>0</v>
      </c>
      <c r="G51" s="306">
        <v>199401</v>
      </c>
      <c r="H51" s="306">
        <v>209912</v>
      </c>
      <c r="I51" s="305" t="s">
        <v>2</v>
      </c>
    </row>
    <row r="52" spans="3:9" ht="13.8" thickBot="1">
      <c r="C52" s="305" t="s">
        <v>103</v>
      </c>
      <c r="D52" s="305" t="s">
        <v>104</v>
      </c>
      <c r="E52" s="305"/>
      <c r="F52" s="306">
        <v>0</v>
      </c>
      <c r="G52" s="306">
        <v>199401</v>
      </c>
      <c r="H52" s="306">
        <v>209912</v>
      </c>
      <c r="I52" s="305" t="s">
        <v>2</v>
      </c>
    </row>
    <row r="53" spans="3:9" ht="13.8" thickBot="1">
      <c r="C53" s="305" t="s">
        <v>105</v>
      </c>
      <c r="D53" s="305" t="s">
        <v>106</v>
      </c>
      <c r="E53" s="305"/>
      <c r="F53" s="306">
        <v>0</v>
      </c>
      <c r="G53" s="306">
        <v>199401</v>
      </c>
      <c r="H53" s="306">
        <v>209912</v>
      </c>
      <c r="I53" s="305" t="s">
        <v>2</v>
      </c>
    </row>
    <row r="54" spans="3:9" ht="13.8" thickBot="1">
      <c r="C54" s="305" t="s">
        <v>107</v>
      </c>
      <c r="D54" s="305" t="s">
        <v>108</v>
      </c>
      <c r="E54" s="305"/>
      <c r="F54" s="306">
        <v>0</v>
      </c>
      <c r="G54" s="306">
        <v>199401</v>
      </c>
      <c r="H54" s="306">
        <v>209912</v>
      </c>
      <c r="I54" s="305" t="s">
        <v>2</v>
      </c>
    </row>
    <row r="55" spans="3:9" ht="13.8" thickBot="1">
      <c r="C55" s="305" t="s">
        <v>109</v>
      </c>
      <c r="D55" s="305" t="s">
        <v>110</v>
      </c>
      <c r="E55" s="305"/>
      <c r="F55" s="306">
        <v>0</v>
      </c>
      <c r="G55" s="306">
        <v>199401</v>
      </c>
      <c r="H55" s="306">
        <v>209912</v>
      </c>
      <c r="I55" s="305" t="s">
        <v>2</v>
      </c>
    </row>
    <row r="56" spans="3:9" ht="13.8" thickBot="1">
      <c r="C56" s="305" t="s">
        <v>111</v>
      </c>
      <c r="D56" s="305" t="s">
        <v>112</v>
      </c>
      <c r="E56" s="305"/>
      <c r="F56" s="306">
        <v>0</v>
      </c>
      <c r="G56" s="306">
        <v>199401</v>
      </c>
      <c r="H56" s="306">
        <v>209912</v>
      </c>
      <c r="I56" s="305" t="s">
        <v>2</v>
      </c>
    </row>
    <row r="57" spans="3:9" ht="13.8" thickBot="1">
      <c r="C57" s="305" t="s">
        <v>113</v>
      </c>
      <c r="D57" s="305" t="s">
        <v>114</v>
      </c>
      <c r="E57" s="305"/>
      <c r="F57" s="306">
        <v>0</v>
      </c>
      <c r="G57" s="306">
        <v>199401</v>
      </c>
      <c r="H57" s="306">
        <v>209912</v>
      </c>
      <c r="I57" s="305" t="s">
        <v>2</v>
      </c>
    </row>
    <row r="58" spans="3:9" ht="13.8" thickBot="1">
      <c r="C58" s="305" t="s">
        <v>115</v>
      </c>
      <c r="D58" s="305" t="s">
        <v>116</v>
      </c>
      <c r="E58" s="305"/>
      <c r="F58" s="306">
        <v>0</v>
      </c>
      <c r="G58" s="306">
        <v>199401</v>
      </c>
      <c r="H58" s="306">
        <v>209912</v>
      </c>
      <c r="I58" s="305" t="s">
        <v>2</v>
      </c>
    </row>
    <row r="59" spans="3:9" ht="13.8" thickBot="1">
      <c r="C59" s="305" t="s">
        <v>117</v>
      </c>
      <c r="D59" s="305" t="s">
        <v>118</v>
      </c>
      <c r="E59" s="305"/>
      <c r="F59" s="306">
        <v>0</v>
      </c>
      <c r="G59" s="306">
        <v>199401</v>
      </c>
      <c r="H59" s="306">
        <v>209912</v>
      </c>
      <c r="I59" s="305" t="s">
        <v>2</v>
      </c>
    </row>
    <row r="60" spans="3:9" ht="13.8" thickBot="1">
      <c r="C60" s="305" t="s">
        <v>119</v>
      </c>
      <c r="D60" s="305" t="s">
        <v>120</v>
      </c>
      <c r="E60" s="305"/>
      <c r="F60" s="306">
        <v>0</v>
      </c>
      <c r="G60" s="306">
        <v>199401</v>
      </c>
      <c r="H60" s="306">
        <v>209912</v>
      </c>
      <c r="I60" s="305" t="s">
        <v>2</v>
      </c>
    </row>
    <row r="61" spans="3:9" ht="13.8" thickBot="1">
      <c r="C61" s="305" t="s">
        <v>121</v>
      </c>
      <c r="D61" s="305" t="s">
        <v>122</v>
      </c>
      <c r="E61" s="305"/>
      <c r="F61" s="306">
        <v>0</v>
      </c>
      <c r="G61" s="306">
        <v>199401</v>
      </c>
      <c r="H61" s="306">
        <v>209912</v>
      </c>
      <c r="I61" s="305" t="s">
        <v>2</v>
      </c>
    </row>
    <row r="62" spans="3:9" ht="13.8" thickBot="1">
      <c r="C62" s="305" t="s">
        <v>123</v>
      </c>
      <c r="D62" s="305" t="s">
        <v>124</v>
      </c>
      <c r="E62" s="305"/>
      <c r="F62" s="306">
        <v>0</v>
      </c>
      <c r="G62" s="306">
        <v>199401</v>
      </c>
      <c r="H62" s="306">
        <v>209912</v>
      </c>
      <c r="I62" s="305" t="s">
        <v>2</v>
      </c>
    </row>
    <row r="63" spans="3:9" ht="13.8" thickBot="1">
      <c r="C63" s="305" t="s">
        <v>125</v>
      </c>
      <c r="D63" s="305" t="s">
        <v>126</v>
      </c>
      <c r="E63" s="305"/>
      <c r="F63" s="306">
        <v>0</v>
      </c>
      <c r="G63" s="306">
        <v>199401</v>
      </c>
      <c r="H63" s="306">
        <v>209912</v>
      </c>
      <c r="I63" s="305" t="s">
        <v>2</v>
      </c>
    </row>
    <row r="64" spans="3:9" ht="13.8" thickBot="1">
      <c r="C64" s="305" t="s">
        <v>127</v>
      </c>
      <c r="D64" s="305" t="s">
        <v>128</v>
      </c>
      <c r="E64" s="305"/>
      <c r="F64" s="306">
        <v>0</v>
      </c>
      <c r="G64" s="306">
        <v>199401</v>
      </c>
      <c r="H64" s="306">
        <v>209912</v>
      </c>
      <c r="I64" s="305" t="s">
        <v>2</v>
      </c>
    </row>
    <row r="65" spans="3:9" ht="13.8" thickBot="1">
      <c r="C65" s="305" t="s">
        <v>129</v>
      </c>
      <c r="D65" s="305" t="s">
        <v>130</v>
      </c>
      <c r="E65" s="305"/>
      <c r="F65" s="306">
        <v>0</v>
      </c>
      <c r="G65" s="306">
        <v>199401</v>
      </c>
      <c r="H65" s="306">
        <v>209912</v>
      </c>
      <c r="I65" s="305" t="s">
        <v>2</v>
      </c>
    </row>
    <row r="66" spans="3:9" ht="13.8" thickBot="1">
      <c r="C66" s="305" t="s">
        <v>131</v>
      </c>
      <c r="D66" s="305" t="s">
        <v>132</v>
      </c>
      <c r="E66" s="305"/>
      <c r="F66" s="306">
        <v>0</v>
      </c>
      <c r="G66" s="306">
        <v>199401</v>
      </c>
      <c r="H66" s="306">
        <v>209912</v>
      </c>
      <c r="I66" s="305" t="s">
        <v>2</v>
      </c>
    </row>
    <row r="67" spans="3:9" ht="13.8" thickBot="1">
      <c r="C67" s="305" t="s">
        <v>133</v>
      </c>
      <c r="D67" s="305" t="s">
        <v>134</v>
      </c>
      <c r="E67" s="305"/>
      <c r="F67" s="306">
        <v>0</v>
      </c>
      <c r="G67" s="306">
        <v>199401</v>
      </c>
      <c r="H67" s="306">
        <v>209912</v>
      </c>
      <c r="I67" s="305" t="s">
        <v>2</v>
      </c>
    </row>
    <row r="68" spans="3:9" ht="13.8" thickBot="1">
      <c r="C68" s="305" t="s">
        <v>135</v>
      </c>
      <c r="D68" s="305" t="s">
        <v>136</v>
      </c>
      <c r="E68" s="305"/>
      <c r="F68" s="306">
        <v>0</v>
      </c>
      <c r="G68" s="306">
        <v>199401</v>
      </c>
      <c r="H68" s="306">
        <v>209912</v>
      </c>
      <c r="I68" s="305" t="s">
        <v>2</v>
      </c>
    </row>
    <row r="69" spans="3:9" ht="13.8" thickBot="1">
      <c r="C69" s="305" t="s">
        <v>137</v>
      </c>
      <c r="D69" s="305" t="s">
        <v>138</v>
      </c>
      <c r="E69" s="305"/>
      <c r="F69" s="306">
        <v>0</v>
      </c>
      <c r="G69" s="306">
        <v>199401</v>
      </c>
      <c r="H69" s="306">
        <v>209912</v>
      </c>
      <c r="I69" s="305" t="s">
        <v>2</v>
      </c>
    </row>
    <row r="70" spans="3:9" ht="13.8" thickBot="1">
      <c r="C70" s="305" t="s">
        <v>139</v>
      </c>
      <c r="D70" s="305" t="s">
        <v>140</v>
      </c>
      <c r="E70" s="305"/>
      <c r="F70" s="306">
        <v>0</v>
      </c>
      <c r="G70" s="306">
        <v>199401</v>
      </c>
      <c r="H70" s="306">
        <v>209912</v>
      </c>
      <c r="I70" s="305" t="s">
        <v>2</v>
      </c>
    </row>
    <row r="71" spans="3:9" ht="13.8" thickBot="1">
      <c r="C71" s="305" t="s">
        <v>141</v>
      </c>
      <c r="D71" s="305" t="s">
        <v>142</v>
      </c>
      <c r="E71" s="305"/>
      <c r="F71" s="306">
        <v>0</v>
      </c>
      <c r="G71" s="306">
        <v>199401</v>
      </c>
      <c r="H71" s="306">
        <v>209912</v>
      </c>
      <c r="I71" s="305" t="s">
        <v>2</v>
      </c>
    </row>
    <row r="72" spans="3:9" ht="13.8" thickBot="1">
      <c r="C72" s="305" t="s">
        <v>143</v>
      </c>
      <c r="D72" s="305" t="s">
        <v>144</v>
      </c>
      <c r="E72" s="305"/>
      <c r="F72" s="306">
        <v>0</v>
      </c>
      <c r="G72" s="306">
        <v>199401</v>
      </c>
      <c r="H72" s="306">
        <v>209912</v>
      </c>
      <c r="I72" s="305" t="s">
        <v>2</v>
      </c>
    </row>
    <row r="73" spans="3:9" ht="13.8" thickBot="1">
      <c r="C73" s="305" t="s">
        <v>145</v>
      </c>
      <c r="D73" s="305" t="s">
        <v>146</v>
      </c>
      <c r="E73" s="305"/>
      <c r="F73" s="306">
        <v>0</v>
      </c>
      <c r="G73" s="306">
        <v>199401</v>
      </c>
      <c r="H73" s="306">
        <v>209912</v>
      </c>
      <c r="I73" s="305" t="s">
        <v>2</v>
      </c>
    </row>
    <row r="74" spans="3:9" ht="13.8" thickBot="1">
      <c r="C74" s="305" t="s">
        <v>147</v>
      </c>
      <c r="D74" s="305" t="s">
        <v>148</v>
      </c>
      <c r="E74" s="305"/>
      <c r="F74" s="306">
        <v>0</v>
      </c>
      <c r="G74" s="306">
        <v>199401</v>
      </c>
      <c r="H74" s="306">
        <v>209912</v>
      </c>
      <c r="I74" s="305" t="s">
        <v>2</v>
      </c>
    </row>
    <row r="75" spans="3:9" ht="13.8" thickBot="1">
      <c r="C75" s="305" t="s">
        <v>149</v>
      </c>
      <c r="D75" s="305" t="s">
        <v>150</v>
      </c>
      <c r="E75" s="305"/>
      <c r="F75" s="306">
        <v>0</v>
      </c>
      <c r="G75" s="306">
        <v>199401</v>
      </c>
      <c r="H75" s="306">
        <v>209912</v>
      </c>
      <c r="I75" s="305" t="s">
        <v>2</v>
      </c>
    </row>
    <row r="76" spans="3:9" ht="13.8" thickBot="1">
      <c r="C76" s="305" t="s">
        <v>151</v>
      </c>
      <c r="D76" s="305" t="s">
        <v>152</v>
      </c>
      <c r="E76" s="305"/>
      <c r="F76" s="306">
        <v>0</v>
      </c>
      <c r="G76" s="306">
        <v>199401</v>
      </c>
      <c r="H76" s="306">
        <v>209912</v>
      </c>
      <c r="I76" s="305" t="s">
        <v>2</v>
      </c>
    </row>
    <row r="77" spans="3:9" ht="13.8" thickBot="1">
      <c r="C77" s="305" t="s">
        <v>153</v>
      </c>
      <c r="D77" s="305" t="s">
        <v>154</v>
      </c>
      <c r="E77" s="305"/>
      <c r="F77" s="306">
        <v>0</v>
      </c>
      <c r="G77" s="306">
        <v>199401</v>
      </c>
      <c r="H77" s="306">
        <v>209912</v>
      </c>
      <c r="I77" s="305" t="s">
        <v>2</v>
      </c>
    </row>
    <row r="78" spans="3:9" ht="13.8" thickBot="1">
      <c r="C78" s="305" t="s">
        <v>155</v>
      </c>
      <c r="D78" s="305" t="s">
        <v>156</v>
      </c>
      <c r="E78" s="305"/>
      <c r="F78" s="306">
        <v>0</v>
      </c>
      <c r="G78" s="306">
        <v>199401</v>
      </c>
      <c r="H78" s="306">
        <v>209912</v>
      </c>
      <c r="I78" s="305" t="s">
        <v>2</v>
      </c>
    </row>
    <row r="79" spans="3:9" ht="13.8" thickBot="1">
      <c r="C79" s="305" t="s">
        <v>157</v>
      </c>
      <c r="D79" s="305" t="s">
        <v>158</v>
      </c>
      <c r="E79" s="305"/>
      <c r="F79" s="306">
        <v>0</v>
      </c>
      <c r="G79" s="306">
        <v>199401</v>
      </c>
      <c r="H79" s="306">
        <v>209912</v>
      </c>
      <c r="I79" s="305" t="s">
        <v>2</v>
      </c>
    </row>
    <row r="80" spans="3:9" ht="13.8" thickBot="1">
      <c r="C80" s="305" t="s">
        <v>159</v>
      </c>
      <c r="D80" s="305" t="s">
        <v>160</v>
      </c>
      <c r="E80" s="305"/>
      <c r="F80" s="306">
        <v>0</v>
      </c>
      <c r="G80" s="306">
        <v>199401</v>
      </c>
      <c r="H80" s="306">
        <v>209912</v>
      </c>
      <c r="I80" s="305" t="s">
        <v>2</v>
      </c>
    </row>
    <row r="81" spans="3:9" ht="13.8" thickBot="1">
      <c r="C81" s="305" t="s">
        <v>161</v>
      </c>
      <c r="D81" s="305" t="s">
        <v>162</v>
      </c>
      <c r="E81" s="305"/>
      <c r="F81" s="306">
        <v>0</v>
      </c>
      <c r="G81" s="306">
        <v>199401</v>
      </c>
      <c r="H81" s="306">
        <v>209912</v>
      </c>
      <c r="I81" s="305" t="s">
        <v>2</v>
      </c>
    </row>
    <row r="82" spans="3:9" ht="13.8" thickBot="1">
      <c r="C82" s="305" t="s">
        <v>163</v>
      </c>
      <c r="D82" s="305" t="s">
        <v>164</v>
      </c>
      <c r="E82" s="305"/>
      <c r="F82" s="306">
        <v>0</v>
      </c>
      <c r="G82" s="306">
        <v>199401</v>
      </c>
      <c r="H82" s="306">
        <v>209912</v>
      </c>
      <c r="I82" s="305" t="s">
        <v>2</v>
      </c>
    </row>
    <row r="83" spans="3:9" ht="13.8" thickBot="1">
      <c r="C83" s="305" t="s">
        <v>165</v>
      </c>
      <c r="D83" s="305" t="s">
        <v>166</v>
      </c>
      <c r="E83" s="305"/>
      <c r="F83" s="306">
        <v>0</v>
      </c>
      <c r="G83" s="306">
        <v>199401</v>
      </c>
      <c r="H83" s="306">
        <v>209912</v>
      </c>
      <c r="I83" s="305" t="s">
        <v>2</v>
      </c>
    </row>
    <row r="84" spans="3:9" ht="13.8" thickBot="1">
      <c r="C84" s="305" t="s">
        <v>167</v>
      </c>
      <c r="D84" s="305" t="s">
        <v>168</v>
      </c>
      <c r="E84" s="305"/>
      <c r="F84" s="306">
        <v>0</v>
      </c>
      <c r="G84" s="306">
        <v>199401</v>
      </c>
      <c r="H84" s="306">
        <v>209912</v>
      </c>
      <c r="I84" s="305" t="s">
        <v>2</v>
      </c>
    </row>
    <row r="85" spans="3:9" ht="13.8" thickBot="1">
      <c r="C85" s="305" t="s">
        <v>169</v>
      </c>
      <c r="D85" s="305" t="s">
        <v>170</v>
      </c>
      <c r="E85" s="305"/>
      <c r="F85" s="306">
        <v>0</v>
      </c>
      <c r="G85" s="306">
        <v>199401</v>
      </c>
      <c r="H85" s="306">
        <v>209912</v>
      </c>
      <c r="I85" s="305" t="s">
        <v>2</v>
      </c>
    </row>
    <row r="86" spans="3:9" ht="13.8" thickBot="1">
      <c r="C86" s="305" t="s">
        <v>171</v>
      </c>
      <c r="D86" s="305" t="s">
        <v>172</v>
      </c>
      <c r="E86" s="305"/>
      <c r="F86" s="306">
        <v>0</v>
      </c>
      <c r="G86" s="306">
        <v>199401</v>
      </c>
      <c r="H86" s="306">
        <v>209912</v>
      </c>
      <c r="I86" s="305" t="s">
        <v>2</v>
      </c>
    </row>
    <row r="87" spans="3:9" ht="13.8" thickBot="1">
      <c r="C87" s="305" t="s">
        <v>173</v>
      </c>
      <c r="D87" s="305" t="s">
        <v>174</v>
      </c>
      <c r="E87" s="305"/>
      <c r="F87" s="306">
        <v>0</v>
      </c>
      <c r="G87" s="306">
        <v>199401</v>
      </c>
      <c r="H87" s="306">
        <v>209912</v>
      </c>
      <c r="I87" s="305" t="s">
        <v>2</v>
      </c>
    </row>
    <row r="88" spans="3:9" ht="13.8" thickBot="1">
      <c r="C88" s="305" t="s">
        <v>175</v>
      </c>
      <c r="D88" s="305" t="s">
        <v>176</v>
      </c>
      <c r="E88" s="305"/>
      <c r="F88" s="306">
        <v>0</v>
      </c>
      <c r="G88" s="306">
        <v>199401</v>
      </c>
      <c r="H88" s="306">
        <v>209912</v>
      </c>
      <c r="I88" s="305" t="s">
        <v>2</v>
      </c>
    </row>
    <row r="89" spans="3:9" ht="13.8" thickBot="1">
      <c r="C89" s="305" t="s">
        <v>177</v>
      </c>
      <c r="D89" s="305" t="s">
        <v>178</v>
      </c>
      <c r="E89" s="305"/>
      <c r="F89" s="306">
        <v>0</v>
      </c>
      <c r="G89" s="306">
        <v>199401</v>
      </c>
      <c r="H89" s="306">
        <v>209912</v>
      </c>
      <c r="I89" s="305" t="s">
        <v>2</v>
      </c>
    </row>
    <row r="90" spans="3:9" ht="13.8" thickBot="1">
      <c r="C90" s="305" t="s">
        <v>179</v>
      </c>
      <c r="D90" s="305" t="s">
        <v>180</v>
      </c>
      <c r="E90" s="305"/>
      <c r="F90" s="306">
        <v>0</v>
      </c>
      <c r="G90" s="306">
        <v>199401</v>
      </c>
      <c r="H90" s="306">
        <v>209912</v>
      </c>
      <c r="I90" s="305" t="s">
        <v>2</v>
      </c>
    </row>
    <row r="91" spans="3:9" ht="13.8" thickBot="1">
      <c r="C91" s="305" t="s">
        <v>181</v>
      </c>
      <c r="D91" s="305" t="s">
        <v>182</v>
      </c>
      <c r="E91" s="305"/>
      <c r="F91" s="306">
        <v>0</v>
      </c>
      <c r="G91" s="306">
        <v>199401</v>
      </c>
      <c r="H91" s="306">
        <v>209912</v>
      </c>
      <c r="I91" s="305" t="s">
        <v>2</v>
      </c>
    </row>
    <row r="92" spans="3:9" ht="13.8" thickBot="1">
      <c r="C92" s="305" t="s">
        <v>183</v>
      </c>
      <c r="D92" s="305" t="s">
        <v>184</v>
      </c>
      <c r="E92" s="305"/>
      <c r="F92" s="306">
        <v>0</v>
      </c>
      <c r="G92" s="306">
        <v>199401</v>
      </c>
      <c r="H92" s="306">
        <v>209912</v>
      </c>
      <c r="I92" s="305" t="s">
        <v>2</v>
      </c>
    </row>
    <row r="93" spans="3:9" ht="13.8" thickBot="1">
      <c r="C93" s="305" t="s">
        <v>185</v>
      </c>
      <c r="D93" s="305" t="s">
        <v>186</v>
      </c>
      <c r="E93" s="305"/>
      <c r="F93" s="306">
        <v>0</v>
      </c>
      <c r="G93" s="306">
        <v>199401</v>
      </c>
      <c r="H93" s="306">
        <v>209912</v>
      </c>
      <c r="I93" s="305" t="s">
        <v>2</v>
      </c>
    </row>
    <row r="94" spans="3:9" ht="13.8" thickBot="1">
      <c r="C94" s="305" t="s">
        <v>187</v>
      </c>
      <c r="D94" s="305" t="s">
        <v>188</v>
      </c>
      <c r="E94" s="305"/>
      <c r="F94" s="306">
        <v>0</v>
      </c>
      <c r="G94" s="306">
        <v>199401</v>
      </c>
      <c r="H94" s="306">
        <v>209912</v>
      </c>
      <c r="I94" s="305" t="s">
        <v>2</v>
      </c>
    </row>
    <row r="95" spans="3:9" ht="13.8" thickBot="1">
      <c r="C95" s="305" t="s">
        <v>189</v>
      </c>
      <c r="D95" s="305" t="s">
        <v>190</v>
      </c>
      <c r="E95" s="305"/>
      <c r="F95" s="306">
        <v>0</v>
      </c>
      <c r="G95" s="306">
        <v>199401</v>
      </c>
      <c r="H95" s="306">
        <v>209912</v>
      </c>
      <c r="I95" s="305" t="s">
        <v>2</v>
      </c>
    </row>
    <row r="96" spans="3:9" ht="13.8" thickBot="1">
      <c r="C96" s="305" t="s">
        <v>191</v>
      </c>
      <c r="D96" s="305" t="s">
        <v>192</v>
      </c>
      <c r="E96" s="305"/>
      <c r="F96" s="306">
        <v>0</v>
      </c>
      <c r="G96" s="306">
        <v>199401</v>
      </c>
      <c r="H96" s="306">
        <v>209912</v>
      </c>
      <c r="I96" s="305" t="s">
        <v>2</v>
      </c>
    </row>
    <row r="97" spans="3:9" ht="13.8" thickBot="1">
      <c r="C97" s="305" t="s">
        <v>193</v>
      </c>
      <c r="D97" s="305" t="s">
        <v>194</v>
      </c>
      <c r="E97" s="305"/>
      <c r="F97" s="306">
        <v>0</v>
      </c>
      <c r="G97" s="306">
        <v>199401</v>
      </c>
      <c r="H97" s="306">
        <v>209912</v>
      </c>
      <c r="I97" s="305" t="s">
        <v>2</v>
      </c>
    </row>
    <row r="98" spans="3:9" ht="13.8" thickBot="1">
      <c r="C98" s="305" t="s">
        <v>195</v>
      </c>
      <c r="D98" s="305" t="s">
        <v>196</v>
      </c>
      <c r="E98" s="305"/>
      <c r="F98" s="306">
        <v>0</v>
      </c>
      <c r="G98" s="306">
        <v>199401</v>
      </c>
      <c r="H98" s="306">
        <v>209912</v>
      </c>
      <c r="I98" s="305" t="s">
        <v>2</v>
      </c>
    </row>
    <row r="99" spans="3:9" ht="13.8" thickBot="1">
      <c r="C99" s="305" t="s">
        <v>197</v>
      </c>
      <c r="D99" s="305" t="s">
        <v>198</v>
      </c>
      <c r="E99" s="305"/>
      <c r="F99" s="306">
        <v>0</v>
      </c>
      <c r="G99" s="306">
        <v>199401</v>
      </c>
      <c r="H99" s="306">
        <v>209912</v>
      </c>
      <c r="I99" s="305" t="s">
        <v>2</v>
      </c>
    </row>
    <row r="100" spans="3:9" ht="13.8" thickBot="1">
      <c r="C100" s="305" t="s">
        <v>199</v>
      </c>
      <c r="D100" s="305" t="s">
        <v>200</v>
      </c>
      <c r="E100" s="305"/>
      <c r="F100" s="306">
        <v>0</v>
      </c>
      <c r="G100" s="306">
        <v>199401</v>
      </c>
      <c r="H100" s="306">
        <v>209912</v>
      </c>
      <c r="I100" s="305" t="s">
        <v>2</v>
      </c>
    </row>
    <row r="101" spans="3:9" ht="13.8" thickBot="1">
      <c r="C101" s="305" t="s">
        <v>201</v>
      </c>
      <c r="D101" s="305" t="s">
        <v>202</v>
      </c>
      <c r="E101" s="305"/>
      <c r="F101" s="306">
        <v>0</v>
      </c>
      <c r="G101" s="306">
        <v>199401</v>
      </c>
      <c r="H101" s="306">
        <v>209912</v>
      </c>
      <c r="I101" s="305" t="s">
        <v>2</v>
      </c>
    </row>
    <row r="102" spans="3:9" ht="13.8" thickBot="1">
      <c r="C102" s="305" t="s">
        <v>203</v>
      </c>
      <c r="D102" s="305" t="s">
        <v>204</v>
      </c>
      <c r="E102" s="305"/>
      <c r="F102" s="306">
        <v>0</v>
      </c>
      <c r="G102" s="306">
        <v>199401</v>
      </c>
      <c r="H102" s="306">
        <v>209912</v>
      </c>
      <c r="I102" s="305" t="s">
        <v>2</v>
      </c>
    </row>
    <row r="103" spans="3:9" ht="13.8" thickBot="1">
      <c r="C103" s="305" t="s">
        <v>205</v>
      </c>
      <c r="D103" s="305" t="s">
        <v>206</v>
      </c>
      <c r="E103" s="305"/>
      <c r="F103" s="306">
        <v>0</v>
      </c>
      <c r="G103" s="306">
        <v>199401</v>
      </c>
      <c r="H103" s="306">
        <v>209912</v>
      </c>
      <c r="I103" s="305" t="s">
        <v>2</v>
      </c>
    </row>
    <row r="104" spans="3:9" ht="13.8" thickBot="1">
      <c r="C104" s="305" t="s">
        <v>207</v>
      </c>
      <c r="D104" s="305" t="s">
        <v>208</v>
      </c>
      <c r="E104" s="305"/>
      <c r="F104" s="306">
        <v>0</v>
      </c>
      <c r="G104" s="306">
        <v>199401</v>
      </c>
      <c r="H104" s="306">
        <v>209912</v>
      </c>
      <c r="I104" s="305" t="s">
        <v>2</v>
      </c>
    </row>
    <row r="105" spans="3:9" ht="13.8" thickBot="1">
      <c r="C105" s="305" t="s">
        <v>209</v>
      </c>
      <c r="D105" s="305" t="s">
        <v>210</v>
      </c>
      <c r="E105" s="305"/>
      <c r="F105" s="306">
        <v>0</v>
      </c>
      <c r="G105" s="306">
        <v>199401</v>
      </c>
      <c r="H105" s="306">
        <v>209912</v>
      </c>
      <c r="I105" s="305" t="s">
        <v>2</v>
      </c>
    </row>
    <row r="106" spans="3:9" ht="13.8" thickBot="1">
      <c r="C106" s="305" t="s">
        <v>211</v>
      </c>
      <c r="D106" s="305" t="s">
        <v>212</v>
      </c>
      <c r="E106" s="305"/>
      <c r="F106" s="306">
        <v>0</v>
      </c>
      <c r="G106" s="306">
        <v>199401</v>
      </c>
      <c r="H106" s="306">
        <v>209912</v>
      </c>
      <c r="I106" s="305" t="s">
        <v>2</v>
      </c>
    </row>
    <row r="107" spans="3:9" ht="13.8" thickBot="1">
      <c r="C107" s="305" t="s">
        <v>213</v>
      </c>
      <c r="D107" s="305" t="s">
        <v>214</v>
      </c>
      <c r="E107" s="305"/>
      <c r="F107" s="306">
        <v>0</v>
      </c>
      <c r="G107" s="306">
        <v>199401</v>
      </c>
      <c r="H107" s="306">
        <v>209912</v>
      </c>
      <c r="I107" s="305" t="s">
        <v>2</v>
      </c>
    </row>
    <row r="108" spans="3:9" ht="13.8" thickBot="1">
      <c r="C108" s="305" t="s">
        <v>215</v>
      </c>
      <c r="D108" s="305" t="s">
        <v>216</v>
      </c>
      <c r="E108" s="305"/>
      <c r="F108" s="306">
        <v>0</v>
      </c>
      <c r="G108" s="306">
        <v>199401</v>
      </c>
      <c r="H108" s="306">
        <v>209912</v>
      </c>
      <c r="I108" s="305" t="s">
        <v>2</v>
      </c>
    </row>
    <row r="109" spans="3:9" ht="13.8" thickBot="1">
      <c r="C109" s="305" t="s">
        <v>217</v>
      </c>
      <c r="D109" s="305" t="s">
        <v>218</v>
      </c>
      <c r="E109" s="305"/>
      <c r="F109" s="306">
        <v>0</v>
      </c>
      <c r="G109" s="306">
        <v>199401</v>
      </c>
      <c r="H109" s="306">
        <v>209912</v>
      </c>
      <c r="I109" s="305" t="s">
        <v>2</v>
      </c>
    </row>
    <row r="110" spans="3:9" ht="13.8" thickBot="1">
      <c r="C110" s="305" t="s">
        <v>219</v>
      </c>
      <c r="D110" s="305" t="s">
        <v>220</v>
      </c>
      <c r="E110" s="305"/>
      <c r="F110" s="306">
        <v>0</v>
      </c>
      <c r="G110" s="306">
        <v>199401</v>
      </c>
      <c r="H110" s="306">
        <v>209912</v>
      </c>
      <c r="I110" s="305" t="s">
        <v>2</v>
      </c>
    </row>
    <row r="111" spans="3:9" ht="13.8" thickBot="1">
      <c r="C111" s="305" t="s">
        <v>221</v>
      </c>
      <c r="D111" s="305" t="s">
        <v>222</v>
      </c>
      <c r="E111" s="305"/>
      <c r="F111" s="306">
        <v>0</v>
      </c>
      <c r="G111" s="306">
        <v>199401</v>
      </c>
      <c r="H111" s="306">
        <v>209912</v>
      </c>
      <c r="I111" s="305" t="s">
        <v>2</v>
      </c>
    </row>
    <row r="112" spans="3:9" ht="13.8" thickBot="1">
      <c r="C112" s="305" t="s">
        <v>223</v>
      </c>
      <c r="D112" s="305" t="s">
        <v>224</v>
      </c>
      <c r="E112" s="305"/>
      <c r="F112" s="306">
        <v>0</v>
      </c>
      <c r="G112" s="306">
        <v>199401</v>
      </c>
      <c r="H112" s="306">
        <v>209912</v>
      </c>
      <c r="I112" s="305" t="s">
        <v>2</v>
      </c>
    </row>
    <row r="113" spans="3:9" ht="13.8" thickBot="1">
      <c r="C113" s="305" t="s">
        <v>225</v>
      </c>
      <c r="D113" s="305" t="s">
        <v>226</v>
      </c>
      <c r="E113" s="305"/>
      <c r="F113" s="306">
        <v>0</v>
      </c>
      <c r="G113" s="306">
        <v>199401</v>
      </c>
      <c r="H113" s="306">
        <v>209912</v>
      </c>
      <c r="I113" s="305" t="s">
        <v>2</v>
      </c>
    </row>
    <row r="114" spans="3:9" ht="13.8" thickBot="1">
      <c r="C114" s="305" t="s">
        <v>227</v>
      </c>
      <c r="D114" s="305" t="s">
        <v>228</v>
      </c>
      <c r="E114" s="305"/>
      <c r="F114" s="306">
        <v>0</v>
      </c>
      <c r="G114" s="306">
        <v>199401</v>
      </c>
      <c r="H114" s="306">
        <v>209912</v>
      </c>
      <c r="I114" s="305" t="s">
        <v>2</v>
      </c>
    </row>
    <row r="115" spans="3:9" ht="13.8" thickBot="1">
      <c r="C115" s="305" t="s">
        <v>229</v>
      </c>
      <c r="D115" s="305" t="s">
        <v>230</v>
      </c>
      <c r="E115" s="305"/>
      <c r="F115" s="306">
        <v>0</v>
      </c>
      <c r="G115" s="306">
        <v>199401</v>
      </c>
      <c r="H115" s="306">
        <v>209912</v>
      </c>
      <c r="I115" s="305" t="s">
        <v>2</v>
      </c>
    </row>
    <row r="116" spans="3:9" ht="13.8" thickBot="1">
      <c r="C116" s="305" t="s">
        <v>231</v>
      </c>
      <c r="D116" s="305" t="s">
        <v>232</v>
      </c>
      <c r="E116" s="305"/>
      <c r="F116" s="306">
        <v>0</v>
      </c>
      <c r="G116" s="306">
        <v>199401</v>
      </c>
      <c r="H116" s="306">
        <v>209912</v>
      </c>
      <c r="I116" s="305" t="s">
        <v>2</v>
      </c>
    </row>
    <row r="117" spans="3:9" ht="13.8" thickBot="1">
      <c r="C117" s="305" t="s">
        <v>233</v>
      </c>
      <c r="D117" s="305" t="s">
        <v>234</v>
      </c>
      <c r="E117" s="305"/>
      <c r="F117" s="306">
        <v>0</v>
      </c>
      <c r="G117" s="306">
        <v>199401</v>
      </c>
      <c r="H117" s="306">
        <v>209912</v>
      </c>
      <c r="I117" s="305" t="s">
        <v>2</v>
      </c>
    </row>
    <row r="118" spans="3:9" ht="13.8" thickBot="1">
      <c r="C118" s="305" t="s">
        <v>235</v>
      </c>
      <c r="D118" s="305" t="s">
        <v>236</v>
      </c>
      <c r="E118" s="305"/>
      <c r="F118" s="306">
        <v>0</v>
      </c>
      <c r="G118" s="306">
        <v>199401</v>
      </c>
      <c r="H118" s="306">
        <v>209912</v>
      </c>
      <c r="I118" s="305" t="s">
        <v>2</v>
      </c>
    </row>
    <row r="119" spans="3:9" ht="13.8" thickBot="1">
      <c r="C119" s="305" t="s">
        <v>237</v>
      </c>
      <c r="D119" s="305" t="s">
        <v>238</v>
      </c>
      <c r="E119" s="305"/>
      <c r="F119" s="306">
        <v>0</v>
      </c>
      <c r="G119" s="306">
        <v>199401</v>
      </c>
      <c r="H119" s="306">
        <v>209912</v>
      </c>
      <c r="I119" s="305" t="s">
        <v>2</v>
      </c>
    </row>
    <row r="120" spans="3:9" ht="13.8" thickBot="1">
      <c r="C120" s="305" t="s">
        <v>239</v>
      </c>
      <c r="D120" s="305" t="s">
        <v>240</v>
      </c>
      <c r="E120" s="305"/>
      <c r="F120" s="306">
        <v>0</v>
      </c>
      <c r="G120" s="306">
        <v>199401</v>
      </c>
      <c r="H120" s="306">
        <v>209912</v>
      </c>
      <c r="I120" s="305" t="s">
        <v>2</v>
      </c>
    </row>
    <row r="121" spans="3:9" ht="13.8" thickBot="1">
      <c r="C121" s="305" t="s">
        <v>241</v>
      </c>
      <c r="D121" s="305" t="s">
        <v>242</v>
      </c>
      <c r="E121" s="305"/>
      <c r="F121" s="306">
        <v>0</v>
      </c>
      <c r="G121" s="306">
        <v>199401</v>
      </c>
      <c r="H121" s="306">
        <v>209912</v>
      </c>
      <c r="I121" s="305" t="s">
        <v>2</v>
      </c>
    </row>
    <row r="122" spans="3:9" ht="13.8" thickBot="1">
      <c r="C122" s="305" t="s">
        <v>243</v>
      </c>
      <c r="D122" s="305" t="s">
        <v>244</v>
      </c>
      <c r="E122" s="305"/>
      <c r="F122" s="306">
        <v>0</v>
      </c>
      <c r="G122" s="306">
        <v>199401</v>
      </c>
      <c r="H122" s="306">
        <v>209912</v>
      </c>
      <c r="I122" s="305" t="s">
        <v>2</v>
      </c>
    </row>
    <row r="123" spans="3:9" ht="13.8" thickBot="1">
      <c r="C123" s="305" t="s">
        <v>245</v>
      </c>
      <c r="D123" s="305" t="s">
        <v>246</v>
      </c>
      <c r="E123" s="305"/>
      <c r="F123" s="306">
        <v>0</v>
      </c>
      <c r="G123" s="306">
        <v>199401</v>
      </c>
      <c r="H123" s="306">
        <v>209912</v>
      </c>
      <c r="I123" s="305" t="s">
        <v>2</v>
      </c>
    </row>
    <row r="124" spans="3:9" ht="13.8" thickBot="1">
      <c r="C124" s="305" t="s">
        <v>247</v>
      </c>
      <c r="D124" s="305" t="s">
        <v>248</v>
      </c>
      <c r="E124" s="305"/>
      <c r="F124" s="306">
        <v>0</v>
      </c>
      <c r="G124" s="306">
        <v>199401</v>
      </c>
      <c r="H124" s="306">
        <v>209912</v>
      </c>
      <c r="I124" s="305" t="s">
        <v>2</v>
      </c>
    </row>
    <row r="125" spans="3:9" ht="13.8" thickBot="1">
      <c r="C125" s="305" t="s">
        <v>249</v>
      </c>
      <c r="D125" s="305" t="s">
        <v>250</v>
      </c>
      <c r="E125" s="305"/>
      <c r="F125" s="306">
        <v>0</v>
      </c>
      <c r="G125" s="306">
        <v>199401</v>
      </c>
      <c r="H125" s="306">
        <v>209912</v>
      </c>
      <c r="I125" s="305" t="s">
        <v>2</v>
      </c>
    </row>
    <row r="126" spans="3:9" ht="13.8" thickBot="1">
      <c r="C126" s="305" t="s">
        <v>251</v>
      </c>
      <c r="D126" s="305" t="s">
        <v>252</v>
      </c>
      <c r="E126" s="305"/>
      <c r="F126" s="306">
        <v>0</v>
      </c>
      <c r="G126" s="306">
        <v>199401</v>
      </c>
      <c r="H126" s="306">
        <v>209912</v>
      </c>
      <c r="I126" s="305" t="s">
        <v>2</v>
      </c>
    </row>
    <row r="127" spans="3:9" ht="13.8" thickBot="1">
      <c r="C127" s="305" t="s">
        <v>253</v>
      </c>
      <c r="D127" s="305" t="s">
        <v>254</v>
      </c>
      <c r="E127" s="305"/>
      <c r="F127" s="306">
        <v>0</v>
      </c>
      <c r="G127" s="306">
        <v>199401</v>
      </c>
      <c r="H127" s="306">
        <v>209912</v>
      </c>
      <c r="I127" s="305" t="s">
        <v>2</v>
      </c>
    </row>
    <row r="128" spans="3:9" ht="13.8" thickBot="1">
      <c r="C128" s="305" t="s">
        <v>255</v>
      </c>
      <c r="D128" s="305" t="s">
        <v>256</v>
      </c>
      <c r="E128" s="305"/>
      <c r="F128" s="306">
        <v>0</v>
      </c>
      <c r="G128" s="306">
        <v>199401</v>
      </c>
      <c r="H128" s="306">
        <v>209912</v>
      </c>
      <c r="I128" s="305" t="s">
        <v>2</v>
      </c>
    </row>
    <row r="129" spans="3:9" ht="13.8" thickBot="1">
      <c r="C129" s="305" t="s">
        <v>257</v>
      </c>
      <c r="D129" s="305" t="s">
        <v>258</v>
      </c>
      <c r="E129" s="305"/>
      <c r="F129" s="306">
        <v>0</v>
      </c>
      <c r="G129" s="306">
        <v>199401</v>
      </c>
      <c r="H129" s="306">
        <v>209912</v>
      </c>
      <c r="I129" s="305" t="s">
        <v>2</v>
      </c>
    </row>
    <row r="130" spans="3:9" ht="13.8" thickBot="1">
      <c r="C130" s="305" t="s">
        <v>259</v>
      </c>
      <c r="D130" s="305" t="s">
        <v>260</v>
      </c>
      <c r="E130" s="305"/>
      <c r="F130" s="306">
        <v>0</v>
      </c>
      <c r="G130" s="306">
        <v>199401</v>
      </c>
      <c r="H130" s="306">
        <v>209912</v>
      </c>
      <c r="I130" s="305" t="s">
        <v>2</v>
      </c>
    </row>
    <row r="131" spans="3:9" ht="13.8" thickBot="1">
      <c r="C131" s="305" t="s">
        <v>261</v>
      </c>
      <c r="D131" s="305" t="s">
        <v>262</v>
      </c>
      <c r="E131" s="305"/>
      <c r="F131" s="306">
        <v>0</v>
      </c>
      <c r="G131" s="306">
        <v>199401</v>
      </c>
      <c r="H131" s="306">
        <v>209912</v>
      </c>
      <c r="I131" s="305" t="s">
        <v>2</v>
      </c>
    </row>
    <row r="132" spans="3:9" ht="13.8" thickBot="1">
      <c r="C132" s="305" t="s">
        <v>263</v>
      </c>
      <c r="D132" s="305" t="s">
        <v>264</v>
      </c>
      <c r="E132" s="305"/>
      <c r="F132" s="306">
        <v>0</v>
      </c>
      <c r="G132" s="306">
        <v>199401</v>
      </c>
      <c r="H132" s="306">
        <v>209912</v>
      </c>
      <c r="I132" s="305" t="s">
        <v>2</v>
      </c>
    </row>
    <row r="133" spans="3:9" ht="13.8" thickBot="1">
      <c r="C133" s="305" t="s">
        <v>265</v>
      </c>
      <c r="D133" s="305" t="s">
        <v>266</v>
      </c>
      <c r="E133" s="305"/>
      <c r="F133" s="306">
        <v>0</v>
      </c>
      <c r="G133" s="306">
        <v>199401</v>
      </c>
      <c r="H133" s="306">
        <v>209912</v>
      </c>
      <c r="I133" s="305" t="s">
        <v>2</v>
      </c>
    </row>
    <row r="134" spans="3:9" ht="13.8" thickBot="1">
      <c r="C134" s="305" t="s">
        <v>267</v>
      </c>
      <c r="D134" s="305" t="s">
        <v>268</v>
      </c>
      <c r="E134" s="305"/>
      <c r="F134" s="306">
        <v>0</v>
      </c>
      <c r="G134" s="306">
        <v>199401</v>
      </c>
      <c r="H134" s="306">
        <v>209912</v>
      </c>
      <c r="I134" s="305" t="s">
        <v>2</v>
      </c>
    </row>
    <row r="135" spans="3:9" ht="13.8" thickBot="1">
      <c r="C135" s="305" t="s">
        <v>269</v>
      </c>
      <c r="D135" s="305" t="s">
        <v>270</v>
      </c>
      <c r="E135" s="305"/>
      <c r="F135" s="306">
        <v>0</v>
      </c>
      <c r="G135" s="306">
        <v>199401</v>
      </c>
      <c r="H135" s="306">
        <v>209912</v>
      </c>
      <c r="I135" s="305" t="s">
        <v>2</v>
      </c>
    </row>
    <row r="136" spans="3:9" ht="13.8" thickBot="1">
      <c r="C136" s="305" t="s">
        <v>271</v>
      </c>
      <c r="D136" s="305" t="s">
        <v>272</v>
      </c>
      <c r="E136" s="305"/>
      <c r="F136" s="306">
        <v>0</v>
      </c>
      <c r="G136" s="306">
        <v>199401</v>
      </c>
      <c r="H136" s="306">
        <v>209912</v>
      </c>
      <c r="I136" s="305" t="s">
        <v>2</v>
      </c>
    </row>
    <row r="137" spans="3:9" ht="13.8" thickBot="1">
      <c r="C137" s="305" t="s">
        <v>273</v>
      </c>
      <c r="D137" s="305" t="s">
        <v>274</v>
      </c>
      <c r="E137" s="305"/>
      <c r="F137" s="306">
        <v>0</v>
      </c>
      <c r="G137" s="306">
        <v>199401</v>
      </c>
      <c r="H137" s="306">
        <v>209912</v>
      </c>
      <c r="I137" s="305" t="s">
        <v>2</v>
      </c>
    </row>
    <row r="138" spans="3:9" ht="13.8" thickBot="1">
      <c r="C138" s="305" t="s">
        <v>275</v>
      </c>
      <c r="D138" s="305" t="s">
        <v>276</v>
      </c>
      <c r="E138" s="305"/>
      <c r="F138" s="306">
        <v>0</v>
      </c>
      <c r="G138" s="306">
        <v>199401</v>
      </c>
      <c r="H138" s="306">
        <v>209912</v>
      </c>
      <c r="I138" s="305" t="s">
        <v>2</v>
      </c>
    </row>
    <row r="139" spans="3:9" ht="13.8" thickBot="1">
      <c r="C139" s="305" t="s">
        <v>277</v>
      </c>
      <c r="D139" s="305" t="s">
        <v>278</v>
      </c>
      <c r="E139" s="305"/>
      <c r="F139" s="306">
        <v>0</v>
      </c>
      <c r="G139" s="306">
        <v>199401</v>
      </c>
      <c r="H139" s="306">
        <v>209912</v>
      </c>
      <c r="I139" s="305" t="s">
        <v>2</v>
      </c>
    </row>
    <row r="140" spans="3:9" ht="13.8" thickBot="1">
      <c r="C140" s="305" t="s">
        <v>279</v>
      </c>
      <c r="D140" s="305" t="s">
        <v>280</v>
      </c>
      <c r="E140" s="305"/>
      <c r="F140" s="306">
        <v>0</v>
      </c>
      <c r="G140" s="306">
        <v>199401</v>
      </c>
      <c r="H140" s="306">
        <v>209912</v>
      </c>
      <c r="I140" s="305" t="s">
        <v>2</v>
      </c>
    </row>
    <row r="141" spans="3:9" ht="13.8" thickBot="1">
      <c r="C141" s="305" t="s">
        <v>281</v>
      </c>
      <c r="D141" s="305" t="s">
        <v>282</v>
      </c>
      <c r="E141" s="305"/>
      <c r="F141" s="306">
        <v>0</v>
      </c>
      <c r="G141" s="306">
        <v>199401</v>
      </c>
      <c r="H141" s="306">
        <v>209912</v>
      </c>
      <c r="I141" s="305" t="s">
        <v>2</v>
      </c>
    </row>
    <row r="142" spans="3:9" ht="13.8" thickBot="1">
      <c r="C142" s="305" t="s">
        <v>283</v>
      </c>
      <c r="D142" s="305" t="s">
        <v>284</v>
      </c>
      <c r="E142" s="305"/>
      <c r="F142" s="306">
        <v>0</v>
      </c>
      <c r="G142" s="306">
        <v>199401</v>
      </c>
      <c r="H142" s="306">
        <v>209912</v>
      </c>
      <c r="I142" s="305" t="s">
        <v>2</v>
      </c>
    </row>
    <row r="143" spans="3:9" ht="13.8" thickBot="1">
      <c r="C143" s="305" t="s">
        <v>285</v>
      </c>
      <c r="D143" s="305" t="s">
        <v>286</v>
      </c>
      <c r="E143" s="305"/>
      <c r="F143" s="306">
        <v>0</v>
      </c>
      <c r="G143" s="306">
        <v>199401</v>
      </c>
      <c r="H143" s="306">
        <v>209912</v>
      </c>
      <c r="I143" s="305" t="s">
        <v>2</v>
      </c>
    </row>
    <row r="144" spans="3:9" ht="13.8" thickBot="1">
      <c r="C144" s="305" t="s">
        <v>287</v>
      </c>
      <c r="D144" s="305" t="s">
        <v>288</v>
      </c>
      <c r="E144" s="305"/>
      <c r="F144" s="306">
        <v>0</v>
      </c>
      <c r="G144" s="306">
        <v>199401</v>
      </c>
      <c r="H144" s="306">
        <v>209912</v>
      </c>
      <c r="I144" s="305" t="s">
        <v>2</v>
      </c>
    </row>
    <row r="145" spans="3:9" ht="13.8" thickBot="1">
      <c r="C145" s="305" t="s">
        <v>289</v>
      </c>
      <c r="D145" s="305" t="s">
        <v>290</v>
      </c>
      <c r="E145" s="305"/>
      <c r="F145" s="306">
        <v>0</v>
      </c>
      <c r="G145" s="306">
        <v>199401</v>
      </c>
      <c r="H145" s="306">
        <v>209912</v>
      </c>
      <c r="I145" s="305" t="s">
        <v>2</v>
      </c>
    </row>
    <row r="146" spans="3:9" ht="13.8" thickBot="1">
      <c r="C146" s="305" t="s">
        <v>291</v>
      </c>
      <c r="D146" s="305" t="s">
        <v>292</v>
      </c>
      <c r="E146" s="305"/>
      <c r="F146" s="306">
        <v>0</v>
      </c>
      <c r="G146" s="306">
        <v>199401</v>
      </c>
      <c r="H146" s="306">
        <v>209912</v>
      </c>
      <c r="I146" s="305" t="s">
        <v>2</v>
      </c>
    </row>
    <row r="147" spans="3:9" ht="13.8" thickBot="1">
      <c r="C147" s="305" t="s">
        <v>293</v>
      </c>
      <c r="D147" s="305" t="s">
        <v>294</v>
      </c>
      <c r="E147" s="305"/>
      <c r="F147" s="306">
        <v>0</v>
      </c>
      <c r="G147" s="306">
        <v>199401</v>
      </c>
      <c r="H147" s="306">
        <v>209912</v>
      </c>
      <c r="I147" s="305" t="s">
        <v>2</v>
      </c>
    </row>
    <row r="148" spans="3:9" ht="13.8" thickBot="1">
      <c r="C148" s="305" t="s">
        <v>295</v>
      </c>
      <c r="D148" s="305" t="s">
        <v>296</v>
      </c>
      <c r="E148" s="305"/>
      <c r="F148" s="306">
        <v>0</v>
      </c>
      <c r="G148" s="306">
        <v>199401</v>
      </c>
      <c r="H148" s="306">
        <v>209912</v>
      </c>
      <c r="I148" s="305" t="s">
        <v>2</v>
      </c>
    </row>
    <row r="149" spans="3:9" ht="13.8" thickBot="1">
      <c r="C149" s="305" t="s">
        <v>297</v>
      </c>
      <c r="D149" s="305" t="s">
        <v>298</v>
      </c>
      <c r="E149" s="305"/>
      <c r="F149" s="306">
        <v>0</v>
      </c>
      <c r="G149" s="306">
        <v>199401</v>
      </c>
      <c r="H149" s="306">
        <v>209912</v>
      </c>
      <c r="I149" s="305" t="s">
        <v>2</v>
      </c>
    </row>
    <row r="150" spans="3:9" ht="13.8" thickBot="1">
      <c r="C150" s="305" t="s">
        <v>299</v>
      </c>
      <c r="D150" s="305" t="s">
        <v>300</v>
      </c>
      <c r="E150" s="305"/>
      <c r="F150" s="306">
        <v>0</v>
      </c>
      <c r="G150" s="306">
        <v>199401</v>
      </c>
      <c r="H150" s="306">
        <v>209912</v>
      </c>
      <c r="I150" s="305" t="s">
        <v>2</v>
      </c>
    </row>
    <row r="151" spans="3:9" ht="13.8" thickBot="1">
      <c r="C151" s="305" t="s">
        <v>301</v>
      </c>
      <c r="D151" s="305" t="s">
        <v>302</v>
      </c>
      <c r="E151" s="305"/>
      <c r="F151" s="306">
        <v>0</v>
      </c>
      <c r="G151" s="306">
        <v>199401</v>
      </c>
      <c r="H151" s="306">
        <v>209912</v>
      </c>
      <c r="I151" s="305" t="s">
        <v>2</v>
      </c>
    </row>
    <row r="152" spans="3:9" ht="13.8" thickBot="1">
      <c r="C152" s="305" t="s">
        <v>303</v>
      </c>
      <c r="D152" s="305" t="s">
        <v>304</v>
      </c>
      <c r="E152" s="305"/>
      <c r="F152" s="306">
        <v>0</v>
      </c>
      <c r="G152" s="306">
        <v>199401</v>
      </c>
      <c r="H152" s="306">
        <v>209912</v>
      </c>
      <c r="I152" s="305" t="s">
        <v>2</v>
      </c>
    </row>
    <row r="153" spans="3:9" ht="13.8" thickBot="1">
      <c r="C153" s="305" t="s">
        <v>305</v>
      </c>
      <c r="D153" s="305" t="s">
        <v>306</v>
      </c>
      <c r="E153" s="305"/>
      <c r="F153" s="306">
        <v>0</v>
      </c>
      <c r="G153" s="306">
        <v>199401</v>
      </c>
      <c r="H153" s="306">
        <v>209912</v>
      </c>
      <c r="I153" s="305" t="s">
        <v>2</v>
      </c>
    </row>
    <row r="154" spans="3:9" ht="13.8" thickBot="1">
      <c r="C154" s="305" t="s">
        <v>307</v>
      </c>
      <c r="D154" s="305" t="s">
        <v>308</v>
      </c>
      <c r="E154" s="305"/>
      <c r="F154" s="306">
        <v>0</v>
      </c>
      <c r="G154" s="306">
        <v>199401</v>
      </c>
      <c r="H154" s="306">
        <v>209912</v>
      </c>
      <c r="I154" s="305" t="s">
        <v>2</v>
      </c>
    </row>
    <row r="155" spans="3:9" ht="13.8" thickBot="1">
      <c r="C155" s="305" t="s">
        <v>309</v>
      </c>
      <c r="D155" s="305" t="s">
        <v>310</v>
      </c>
      <c r="E155" s="305"/>
      <c r="F155" s="306">
        <v>0</v>
      </c>
      <c r="G155" s="306">
        <v>199401</v>
      </c>
      <c r="H155" s="306">
        <v>209912</v>
      </c>
      <c r="I155" s="305" t="s">
        <v>2</v>
      </c>
    </row>
    <row r="156" spans="3:9" ht="13.8" thickBot="1">
      <c r="C156" s="305" t="s">
        <v>311</v>
      </c>
      <c r="D156" s="305" t="s">
        <v>312</v>
      </c>
      <c r="E156" s="305"/>
      <c r="F156" s="306">
        <v>0</v>
      </c>
      <c r="G156" s="306">
        <v>199401</v>
      </c>
      <c r="H156" s="306">
        <v>209912</v>
      </c>
      <c r="I156" s="305" t="s">
        <v>2</v>
      </c>
    </row>
    <row r="157" spans="3:9" ht="13.8" thickBot="1">
      <c r="C157" s="305" t="s">
        <v>313</v>
      </c>
      <c r="D157" s="305" t="s">
        <v>314</v>
      </c>
      <c r="E157" s="305"/>
      <c r="F157" s="306">
        <v>0</v>
      </c>
      <c r="G157" s="306">
        <v>199401</v>
      </c>
      <c r="H157" s="306">
        <v>209912</v>
      </c>
      <c r="I157" s="305" t="s">
        <v>2</v>
      </c>
    </row>
    <row r="158" spans="3:9" ht="13.8" thickBot="1">
      <c r="C158" s="305" t="s">
        <v>315</v>
      </c>
      <c r="D158" s="305" t="s">
        <v>316</v>
      </c>
      <c r="E158" s="305"/>
      <c r="F158" s="306">
        <v>0</v>
      </c>
      <c r="G158" s="306">
        <v>199401</v>
      </c>
      <c r="H158" s="306">
        <v>209912</v>
      </c>
      <c r="I158" s="305" t="s">
        <v>2</v>
      </c>
    </row>
    <row r="159" spans="3:9" ht="13.8" thickBot="1">
      <c r="C159" s="305" t="s">
        <v>317</v>
      </c>
      <c r="D159" s="305" t="s">
        <v>318</v>
      </c>
      <c r="E159" s="305"/>
      <c r="F159" s="306">
        <v>0</v>
      </c>
      <c r="G159" s="306">
        <v>199401</v>
      </c>
      <c r="H159" s="306">
        <v>209912</v>
      </c>
      <c r="I159" s="305" t="s">
        <v>2</v>
      </c>
    </row>
    <row r="160" spans="3:9" ht="13.8" thickBot="1">
      <c r="C160" s="305" t="s">
        <v>319</v>
      </c>
      <c r="D160" s="305" t="s">
        <v>320</v>
      </c>
      <c r="E160" s="305"/>
      <c r="F160" s="306">
        <v>0</v>
      </c>
      <c r="G160" s="306">
        <v>199401</v>
      </c>
      <c r="H160" s="306">
        <v>209912</v>
      </c>
      <c r="I160" s="305" t="s">
        <v>2</v>
      </c>
    </row>
    <row r="161" spans="3:9" ht="13.8" thickBot="1">
      <c r="C161" s="305" t="s">
        <v>321</v>
      </c>
      <c r="D161" s="305" t="s">
        <v>322</v>
      </c>
      <c r="E161" s="305"/>
      <c r="F161" s="306">
        <v>0</v>
      </c>
      <c r="G161" s="306">
        <v>199401</v>
      </c>
      <c r="H161" s="306">
        <v>209912</v>
      </c>
      <c r="I161" s="305" t="s">
        <v>2</v>
      </c>
    </row>
    <row r="162" spans="3:9" ht="13.8" thickBot="1">
      <c r="C162" s="305" t="s">
        <v>323</v>
      </c>
      <c r="D162" s="305" t="s">
        <v>324</v>
      </c>
      <c r="E162" s="305"/>
      <c r="F162" s="306">
        <v>0</v>
      </c>
      <c r="G162" s="306">
        <v>199401</v>
      </c>
      <c r="H162" s="306">
        <v>209912</v>
      </c>
      <c r="I162" s="305" t="s">
        <v>2</v>
      </c>
    </row>
    <row r="163" spans="3:9" ht="13.8" thickBot="1">
      <c r="C163" s="305" t="s">
        <v>325</v>
      </c>
      <c r="D163" s="305" t="s">
        <v>326</v>
      </c>
      <c r="E163" s="305"/>
      <c r="F163" s="306">
        <v>0</v>
      </c>
      <c r="G163" s="306">
        <v>199401</v>
      </c>
      <c r="H163" s="306">
        <v>209912</v>
      </c>
      <c r="I163" s="305" t="s">
        <v>2</v>
      </c>
    </row>
    <row r="164" spans="3:9" ht="13.8" thickBot="1">
      <c r="C164" s="305" t="s">
        <v>327</v>
      </c>
      <c r="D164" s="305" t="s">
        <v>328</v>
      </c>
      <c r="E164" s="305"/>
      <c r="F164" s="306">
        <v>0</v>
      </c>
      <c r="G164" s="306">
        <v>199401</v>
      </c>
      <c r="H164" s="306">
        <v>209912</v>
      </c>
      <c r="I164" s="305" t="s">
        <v>2</v>
      </c>
    </row>
    <row r="165" spans="3:9" ht="13.8" thickBot="1">
      <c r="C165" s="305" t="s">
        <v>329</v>
      </c>
      <c r="D165" s="305" t="s">
        <v>330</v>
      </c>
      <c r="E165" s="305"/>
      <c r="F165" s="306">
        <v>0</v>
      </c>
      <c r="G165" s="306">
        <v>199401</v>
      </c>
      <c r="H165" s="306">
        <v>209912</v>
      </c>
      <c r="I165" s="305" t="s">
        <v>2</v>
      </c>
    </row>
    <row r="166" spans="3:9" ht="13.8" thickBot="1">
      <c r="C166" s="305" t="s">
        <v>331</v>
      </c>
      <c r="D166" s="305" t="s">
        <v>332</v>
      </c>
      <c r="E166" s="305"/>
      <c r="F166" s="306">
        <v>0</v>
      </c>
      <c r="G166" s="306">
        <v>199401</v>
      </c>
      <c r="H166" s="306">
        <v>209912</v>
      </c>
      <c r="I166" s="305" t="s">
        <v>2</v>
      </c>
    </row>
    <row r="167" spans="3:9" ht="13.8" thickBot="1">
      <c r="C167" s="305" t="s">
        <v>333</v>
      </c>
      <c r="D167" s="305" t="s">
        <v>334</v>
      </c>
      <c r="E167" s="305"/>
      <c r="F167" s="306">
        <v>0</v>
      </c>
      <c r="G167" s="306">
        <v>199401</v>
      </c>
      <c r="H167" s="306">
        <v>209912</v>
      </c>
      <c r="I167" s="305" t="s">
        <v>2</v>
      </c>
    </row>
    <row r="168" spans="3:9" ht="13.8" thickBot="1">
      <c r="C168" s="305" t="s">
        <v>335</v>
      </c>
      <c r="D168" s="305" t="s">
        <v>336</v>
      </c>
      <c r="E168" s="305"/>
      <c r="F168" s="306">
        <v>0</v>
      </c>
      <c r="G168" s="306">
        <v>199401</v>
      </c>
      <c r="H168" s="306">
        <v>209912</v>
      </c>
      <c r="I168" s="305" t="s">
        <v>2</v>
      </c>
    </row>
    <row r="169" spans="3:9" ht="13.8" thickBot="1">
      <c r="C169" s="305" t="s">
        <v>337</v>
      </c>
      <c r="D169" s="305" t="s">
        <v>338</v>
      </c>
      <c r="E169" s="305"/>
      <c r="F169" s="306">
        <v>0</v>
      </c>
      <c r="G169" s="306">
        <v>199401</v>
      </c>
      <c r="H169" s="306">
        <v>209912</v>
      </c>
      <c r="I169" s="305" t="s">
        <v>2</v>
      </c>
    </row>
    <row r="170" spans="3:9" ht="13.8" thickBot="1">
      <c r="C170" s="305" t="s">
        <v>339</v>
      </c>
      <c r="D170" s="305" t="s">
        <v>340</v>
      </c>
      <c r="E170" s="305"/>
      <c r="F170" s="306">
        <v>0</v>
      </c>
      <c r="G170" s="306">
        <v>199401</v>
      </c>
      <c r="H170" s="306">
        <v>209912</v>
      </c>
      <c r="I170" s="305" t="s">
        <v>2</v>
      </c>
    </row>
    <row r="171" spans="3:9" ht="13.8" thickBot="1">
      <c r="C171" s="305" t="s">
        <v>341</v>
      </c>
      <c r="D171" s="305" t="s">
        <v>342</v>
      </c>
      <c r="E171" s="305"/>
      <c r="F171" s="306">
        <v>0</v>
      </c>
      <c r="G171" s="306">
        <v>199401</v>
      </c>
      <c r="H171" s="306">
        <v>209912</v>
      </c>
      <c r="I171" s="305" t="s">
        <v>2</v>
      </c>
    </row>
    <row r="172" spans="3:9" ht="13.8" thickBot="1">
      <c r="C172" s="305" t="s">
        <v>343</v>
      </c>
      <c r="D172" s="305" t="s">
        <v>344</v>
      </c>
      <c r="E172" s="305"/>
      <c r="F172" s="306">
        <v>0</v>
      </c>
      <c r="G172" s="306">
        <v>199401</v>
      </c>
      <c r="H172" s="306">
        <v>209912</v>
      </c>
      <c r="I172" s="305" t="s">
        <v>2</v>
      </c>
    </row>
    <row r="173" spans="3:9" ht="13.8" thickBot="1">
      <c r="C173" s="305" t="s">
        <v>345</v>
      </c>
      <c r="D173" s="305" t="s">
        <v>346</v>
      </c>
      <c r="E173" s="305"/>
      <c r="F173" s="306">
        <v>0</v>
      </c>
      <c r="G173" s="306">
        <v>199401</v>
      </c>
      <c r="H173" s="306">
        <v>209912</v>
      </c>
      <c r="I173" s="305" t="s">
        <v>2</v>
      </c>
    </row>
    <row r="174" spans="3:9" ht="13.8" thickBot="1">
      <c r="C174" s="305" t="s">
        <v>347</v>
      </c>
      <c r="D174" s="305" t="s">
        <v>348</v>
      </c>
      <c r="E174" s="305"/>
      <c r="F174" s="306">
        <v>0</v>
      </c>
      <c r="G174" s="306">
        <v>199401</v>
      </c>
      <c r="H174" s="306">
        <v>209912</v>
      </c>
      <c r="I174" s="305" t="s">
        <v>2</v>
      </c>
    </row>
    <row r="175" spans="3:9" ht="13.8" thickBot="1">
      <c r="C175" s="305" t="s">
        <v>349</v>
      </c>
      <c r="D175" s="305" t="s">
        <v>350</v>
      </c>
      <c r="E175" s="305"/>
      <c r="F175" s="306">
        <v>0</v>
      </c>
      <c r="G175" s="306">
        <v>199401</v>
      </c>
      <c r="H175" s="306">
        <v>209912</v>
      </c>
      <c r="I175" s="305" t="s">
        <v>2</v>
      </c>
    </row>
    <row r="176" spans="3:9" ht="13.8" thickBot="1">
      <c r="C176" s="305" t="s">
        <v>351</v>
      </c>
      <c r="D176" s="305" t="s">
        <v>352</v>
      </c>
      <c r="E176" s="305"/>
      <c r="F176" s="306">
        <v>0</v>
      </c>
      <c r="G176" s="306">
        <v>199401</v>
      </c>
      <c r="H176" s="306">
        <v>209912</v>
      </c>
      <c r="I176" s="305" t="s">
        <v>2</v>
      </c>
    </row>
    <row r="177" spans="3:9" ht="13.8" thickBot="1">
      <c r="C177" s="305" t="s">
        <v>353</v>
      </c>
      <c r="D177" s="305" t="s">
        <v>354</v>
      </c>
      <c r="E177" s="305"/>
      <c r="F177" s="306">
        <v>0</v>
      </c>
      <c r="G177" s="306">
        <v>199401</v>
      </c>
      <c r="H177" s="306">
        <v>209912</v>
      </c>
      <c r="I177" s="305" t="s">
        <v>2</v>
      </c>
    </row>
    <row r="178" spans="3:9" ht="13.8" thickBot="1">
      <c r="C178" s="305" t="s">
        <v>355</v>
      </c>
      <c r="D178" s="305" t="s">
        <v>356</v>
      </c>
      <c r="E178" s="305"/>
      <c r="F178" s="306">
        <v>0</v>
      </c>
      <c r="G178" s="306">
        <v>199401</v>
      </c>
      <c r="H178" s="306">
        <v>209912</v>
      </c>
      <c r="I178" s="305" t="s">
        <v>2</v>
      </c>
    </row>
    <row r="179" spans="3:9" ht="13.8" thickBot="1">
      <c r="C179" s="305" t="s">
        <v>357</v>
      </c>
      <c r="D179" s="305" t="s">
        <v>358</v>
      </c>
      <c r="E179" s="305"/>
      <c r="F179" s="306">
        <v>0</v>
      </c>
      <c r="G179" s="306">
        <v>199401</v>
      </c>
      <c r="H179" s="306">
        <v>209912</v>
      </c>
      <c r="I179" s="305" t="s">
        <v>2</v>
      </c>
    </row>
    <row r="180" spans="3:9" ht="13.8" thickBot="1">
      <c r="C180" s="305" t="s">
        <v>359</v>
      </c>
      <c r="D180" s="305" t="s">
        <v>360</v>
      </c>
      <c r="E180" s="305"/>
      <c r="F180" s="306">
        <v>0</v>
      </c>
      <c r="G180" s="306">
        <v>199401</v>
      </c>
      <c r="H180" s="306">
        <v>209912</v>
      </c>
      <c r="I180" s="305" t="s">
        <v>2</v>
      </c>
    </row>
    <row r="181" spans="3:9" ht="13.8" thickBot="1">
      <c r="C181" s="305" t="s">
        <v>361</v>
      </c>
      <c r="D181" s="305" t="s">
        <v>362</v>
      </c>
      <c r="E181" s="305"/>
      <c r="F181" s="306">
        <v>0</v>
      </c>
      <c r="G181" s="306">
        <v>199401</v>
      </c>
      <c r="H181" s="306">
        <v>209912</v>
      </c>
      <c r="I181" s="305" t="s">
        <v>2</v>
      </c>
    </row>
    <row r="182" spans="3:9" ht="13.8" thickBot="1">
      <c r="C182" s="305" t="s">
        <v>363</v>
      </c>
      <c r="D182" s="305" t="s">
        <v>364</v>
      </c>
      <c r="E182" s="305"/>
      <c r="F182" s="306">
        <v>0</v>
      </c>
      <c r="G182" s="306">
        <v>199401</v>
      </c>
      <c r="H182" s="306">
        <v>209912</v>
      </c>
      <c r="I182" s="305" t="s">
        <v>2</v>
      </c>
    </row>
    <row r="183" spans="3:9" ht="13.8" thickBot="1">
      <c r="C183" s="305" t="s">
        <v>365</v>
      </c>
      <c r="D183" s="305" t="s">
        <v>366</v>
      </c>
      <c r="E183" s="305"/>
      <c r="F183" s="306">
        <v>0</v>
      </c>
      <c r="G183" s="306">
        <v>199401</v>
      </c>
      <c r="H183" s="306">
        <v>209912</v>
      </c>
      <c r="I183" s="305" t="s">
        <v>2</v>
      </c>
    </row>
    <row r="184" spans="3:9" ht="13.8" thickBot="1">
      <c r="C184" s="305" t="s">
        <v>367</v>
      </c>
      <c r="D184" s="305" t="s">
        <v>368</v>
      </c>
      <c r="E184" s="305"/>
      <c r="F184" s="306">
        <v>0</v>
      </c>
      <c r="G184" s="306">
        <v>199401</v>
      </c>
      <c r="H184" s="306">
        <v>209912</v>
      </c>
      <c r="I184" s="305" t="s">
        <v>2</v>
      </c>
    </row>
    <row r="185" spans="3:9" ht="13.8" thickBot="1">
      <c r="C185" s="305" t="s">
        <v>369</v>
      </c>
      <c r="D185" s="305" t="s">
        <v>370</v>
      </c>
      <c r="E185" s="305"/>
      <c r="F185" s="306">
        <v>0</v>
      </c>
      <c r="G185" s="306">
        <v>199401</v>
      </c>
      <c r="H185" s="306">
        <v>209912</v>
      </c>
      <c r="I185" s="305" t="s">
        <v>2</v>
      </c>
    </row>
    <row r="186" spans="3:9" ht="13.8" thickBot="1">
      <c r="C186" s="305" t="s">
        <v>371</v>
      </c>
      <c r="D186" s="305" t="s">
        <v>372</v>
      </c>
      <c r="E186" s="305"/>
      <c r="F186" s="306">
        <v>0</v>
      </c>
      <c r="G186" s="306">
        <v>199401</v>
      </c>
      <c r="H186" s="306">
        <v>209912</v>
      </c>
      <c r="I186" s="305" t="s">
        <v>2</v>
      </c>
    </row>
    <row r="187" spans="3:9" ht="13.8" thickBot="1">
      <c r="C187" s="305" t="s">
        <v>373</v>
      </c>
      <c r="D187" s="305" t="s">
        <v>374</v>
      </c>
      <c r="E187" s="305"/>
      <c r="F187" s="306">
        <v>0</v>
      </c>
      <c r="G187" s="306">
        <v>199401</v>
      </c>
      <c r="H187" s="306">
        <v>209912</v>
      </c>
      <c r="I187" s="305" t="s">
        <v>2</v>
      </c>
    </row>
    <row r="188" spans="3:9" ht="13.8" thickBot="1">
      <c r="C188" s="305" t="s">
        <v>375</v>
      </c>
      <c r="D188" s="305" t="s">
        <v>376</v>
      </c>
      <c r="E188" s="305"/>
      <c r="F188" s="306">
        <v>0</v>
      </c>
      <c r="G188" s="306">
        <v>199401</v>
      </c>
      <c r="H188" s="306">
        <v>209912</v>
      </c>
      <c r="I188" s="305" t="s">
        <v>2</v>
      </c>
    </row>
    <row r="189" spans="3:9" ht="13.8" thickBot="1">
      <c r="C189" s="305" t="s">
        <v>377</v>
      </c>
      <c r="D189" s="305" t="s">
        <v>378</v>
      </c>
      <c r="E189" s="305"/>
      <c r="F189" s="306">
        <v>0</v>
      </c>
      <c r="G189" s="306">
        <v>199401</v>
      </c>
      <c r="H189" s="306">
        <v>209912</v>
      </c>
      <c r="I189" s="305" t="s">
        <v>2</v>
      </c>
    </row>
    <row r="190" spans="3:9" ht="13.8" thickBot="1">
      <c r="C190" s="305" t="s">
        <v>379</v>
      </c>
      <c r="D190" s="305" t="s">
        <v>380</v>
      </c>
      <c r="E190" s="305"/>
      <c r="F190" s="306">
        <v>0</v>
      </c>
      <c r="G190" s="306">
        <v>199401</v>
      </c>
      <c r="H190" s="306">
        <v>209912</v>
      </c>
      <c r="I190" s="305" t="s">
        <v>2</v>
      </c>
    </row>
    <row r="191" spans="3:9" ht="13.8" thickBot="1">
      <c r="C191" s="305" t="s">
        <v>381</v>
      </c>
      <c r="D191" s="305" t="s">
        <v>382</v>
      </c>
      <c r="E191" s="305"/>
      <c r="F191" s="306">
        <v>0</v>
      </c>
      <c r="G191" s="306">
        <v>199401</v>
      </c>
      <c r="H191" s="306">
        <v>209912</v>
      </c>
      <c r="I191" s="305" t="s">
        <v>2</v>
      </c>
    </row>
    <row r="192" spans="3:9" ht="13.8" thickBot="1">
      <c r="C192" s="307" t="s">
        <v>383</v>
      </c>
      <c r="D192" s="307" t="s">
        <v>384</v>
      </c>
      <c r="E192" s="307"/>
      <c r="F192" s="308">
        <v>0</v>
      </c>
      <c r="G192" s="308">
        <v>199401</v>
      </c>
      <c r="H192" s="308">
        <v>209912</v>
      </c>
      <c r="I192" s="307" t="s">
        <v>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ABEAC-8F1D-430F-B55C-135C58AB30B8}">
  <sheetPr codeName="Sheet15"/>
  <dimension ref="A1:O170"/>
  <sheetViews>
    <sheetView zoomScaleNormal="100" workbookViewId="0"/>
  </sheetViews>
  <sheetFormatPr defaultRowHeight="13.2"/>
  <cols>
    <col min="1" max="3" width="8.88671875" style="684"/>
    <col min="4" max="4" width="16.44140625" style="684" customWidth="1"/>
    <col min="5" max="5" width="21.44140625" style="684" customWidth="1"/>
    <col min="6" max="6" width="14.77734375" style="684" customWidth="1"/>
    <col min="7" max="10" width="8.88671875" style="684"/>
    <col min="11" max="11" width="15.77734375" style="684" customWidth="1"/>
    <col min="12" max="12" width="19.77734375" style="684" customWidth="1"/>
    <col min="13" max="13" width="8.88671875" style="684"/>
    <col min="14" max="14" width="19" style="684" customWidth="1"/>
    <col min="15" max="17" width="8.88671875" style="684"/>
    <col min="18" max="18" width="16.5546875" style="684" customWidth="1"/>
    <col min="19" max="29" width="8.88671875" style="684"/>
    <col min="30" max="30" width="0" style="684" hidden="1" customWidth="1"/>
    <col min="31" max="16384" width="8.88671875" style="684"/>
  </cols>
  <sheetData>
    <row r="1" spans="1:15" ht="14.4">
      <c r="A1" s="688"/>
      <c r="B1" s="683"/>
      <c r="C1" s="683"/>
      <c r="D1" s="683"/>
      <c r="E1" s="683"/>
      <c r="F1" s="683"/>
      <c r="G1" s="683"/>
      <c r="H1" s="683"/>
      <c r="I1" s="683"/>
      <c r="J1" s="683"/>
      <c r="K1" s="683"/>
      <c r="L1" s="683"/>
      <c r="M1" s="683"/>
      <c r="N1" s="683"/>
      <c r="O1" s="683"/>
    </row>
    <row r="2" spans="1:15" ht="14.4">
      <c r="A2" s="685"/>
      <c r="B2" s="685"/>
      <c r="C2" s="685"/>
      <c r="D2" s="686"/>
      <c r="E2" s="686"/>
      <c r="F2" s="686"/>
      <c r="G2" s="686"/>
      <c r="H2" s="686"/>
      <c r="I2" s="685"/>
      <c r="J2" s="685"/>
      <c r="K2" s="686"/>
      <c r="L2" s="686"/>
      <c r="M2" s="686"/>
      <c r="N2" s="685"/>
      <c r="O2" s="685"/>
    </row>
    <row r="3" spans="1:15" ht="14.4">
      <c r="A3" s="685"/>
      <c r="B3" s="685"/>
      <c r="C3" s="685"/>
      <c r="D3" s="686"/>
      <c r="E3" s="686"/>
      <c r="F3" s="686"/>
      <c r="G3" s="686"/>
      <c r="H3" s="686"/>
      <c r="I3" s="685"/>
      <c r="J3" s="685"/>
      <c r="K3" s="686"/>
      <c r="L3" s="686"/>
      <c r="M3" s="686"/>
      <c r="N3" s="685"/>
      <c r="O3" s="685"/>
    </row>
    <row r="4" spans="1:15" ht="14.4">
      <c r="A4" s="685"/>
      <c r="B4" s="685"/>
      <c r="C4" s="685"/>
      <c r="D4" s="686"/>
      <c r="E4" s="686"/>
      <c r="F4" s="686"/>
      <c r="G4" s="686"/>
      <c r="H4" s="686"/>
      <c r="I4" s="685"/>
      <c r="J4" s="685"/>
      <c r="K4" s="686"/>
      <c r="L4" s="686"/>
      <c r="M4" s="686"/>
      <c r="N4" s="685"/>
      <c r="O4" s="685"/>
    </row>
    <row r="5" spans="1:15" ht="14.4">
      <c r="A5" s="685"/>
      <c r="B5" s="685"/>
      <c r="C5" s="685"/>
      <c r="D5" s="686"/>
      <c r="E5" s="686"/>
      <c r="F5" s="686"/>
      <c r="G5" s="686"/>
      <c r="H5" s="686"/>
      <c r="I5" s="685"/>
      <c r="J5" s="685"/>
      <c r="K5" s="686"/>
      <c r="L5" s="686"/>
      <c r="M5" s="686"/>
      <c r="N5" s="685"/>
      <c r="O5" s="685"/>
    </row>
    <row r="6" spans="1:15" ht="14.4">
      <c r="A6" s="685"/>
      <c r="B6" s="685"/>
      <c r="C6" s="685"/>
      <c r="D6" s="686"/>
      <c r="E6" s="686"/>
      <c r="F6" s="686"/>
      <c r="G6" s="686"/>
      <c r="H6" s="686"/>
      <c r="I6" s="685"/>
      <c r="J6" s="685"/>
      <c r="K6" s="686"/>
      <c r="L6" s="686"/>
      <c r="M6" s="686"/>
      <c r="N6" s="685"/>
      <c r="O6" s="685"/>
    </row>
    <row r="7" spans="1:15" ht="14.4">
      <c r="A7" s="685"/>
      <c r="B7" s="685"/>
      <c r="C7" s="685"/>
      <c r="D7" s="686"/>
      <c r="E7" s="686"/>
      <c r="F7" s="686"/>
      <c r="G7" s="686"/>
      <c r="H7" s="686"/>
      <c r="I7" s="685"/>
      <c r="J7" s="685"/>
      <c r="K7" s="686"/>
      <c r="L7" s="686"/>
      <c r="M7" s="686"/>
      <c r="N7" s="685"/>
      <c r="O7" s="685"/>
    </row>
    <row r="8" spans="1:15" ht="14.4">
      <c r="A8" s="685"/>
      <c r="B8" s="685"/>
      <c r="C8" s="685"/>
      <c r="D8" s="686"/>
      <c r="E8" s="686"/>
      <c r="F8" s="686"/>
      <c r="G8" s="686"/>
      <c r="H8" s="686"/>
      <c r="I8" s="685"/>
      <c r="J8" s="685"/>
      <c r="K8" s="686"/>
      <c r="L8" s="686"/>
      <c r="M8" s="686"/>
      <c r="N8" s="685"/>
      <c r="O8" s="685"/>
    </row>
    <row r="9" spans="1:15" ht="14.4">
      <c r="A9" s="685"/>
      <c r="B9" s="685"/>
      <c r="C9" s="685"/>
      <c r="D9" s="686"/>
      <c r="E9" s="686"/>
      <c r="F9" s="686"/>
      <c r="G9" s="686"/>
      <c r="H9" s="686"/>
      <c r="I9" s="685"/>
      <c r="J9" s="685"/>
      <c r="K9" s="686"/>
      <c r="L9" s="686"/>
      <c r="M9" s="686"/>
      <c r="N9" s="685"/>
      <c r="O9" s="685"/>
    </row>
    <row r="10" spans="1:15" ht="14.4">
      <c r="A10" s="685"/>
      <c r="B10" s="685"/>
      <c r="C10" s="685"/>
      <c r="D10" s="686"/>
      <c r="E10" s="686"/>
      <c r="F10" s="686"/>
      <c r="G10" s="686"/>
      <c r="H10" s="686"/>
      <c r="I10" s="685"/>
      <c r="J10" s="685"/>
      <c r="K10" s="686"/>
      <c r="L10" s="686"/>
      <c r="M10" s="686"/>
      <c r="N10" s="685"/>
      <c r="O10" s="685"/>
    </row>
    <row r="11" spans="1:15" ht="14.4">
      <c r="A11" s="685"/>
      <c r="B11" s="685"/>
      <c r="C11" s="685"/>
      <c r="D11" s="686"/>
      <c r="E11" s="686"/>
      <c r="F11" s="686"/>
      <c r="G11" s="686"/>
      <c r="H11" s="686"/>
      <c r="I11" s="685"/>
      <c r="J11" s="685"/>
      <c r="K11" s="686"/>
      <c r="L11" s="686"/>
      <c r="M11" s="686"/>
      <c r="N11" s="685"/>
      <c r="O11" s="685"/>
    </row>
    <row r="12" spans="1:15" ht="14.4">
      <c r="A12" s="685"/>
      <c r="B12" s="685"/>
      <c r="C12" s="685"/>
      <c r="D12" s="686"/>
      <c r="E12" s="686"/>
      <c r="F12" s="686"/>
      <c r="G12" s="686"/>
      <c r="H12" s="686"/>
      <c r="I12" s="685"/>
      <c r="J12" s="685"/>
      <c r="K12" s="686"/>
      <c r="L12" s="686"/>
      <c r="M12" s="686"/>
      <c r="N12" s="685"/>
      <c r="O12" s="685"/>
    </row>
    <row r="13" spans="1:15" ht="14.4">
      <c r="A13" s="685"/>
      <c r="B13" s="685"/>
      <c r="C13" s="685"/>
      <c r="D13" s="686"/>
      <c r="E13" s="686"/>
      <c r="F13" s="686"/>
      <c r="G13" s="686"/>
      <c r="H13" s="686"/>
      <c r="I13" s="685"/>
      <c r="J13" s="685"/>
      <c r="K13" s="686"/>
      <c r="L13" s="686"/>
      <c r="M13" s="686"/>
      <c r="N13" s="685"/>
      <c r="O13" s="685"/>
    </row>
    <row r="14" spans="1:15" ht="14.4">
      <c r="A14" s="685"/>
      <c r="B14" s="685"/>
      <c r="C14" s="685"/>
      <c r="D14" s="686"/>
      <c r="E14" s="686"/>
      <c r="F14" s="686"/>
      <c r="G14" s="686"/>
      <c r="H14" s="686"/>
      <c r="I14" s="685"/>
      <c r="J14" s="685"/>
      <c r="K14" s="686"/>
      <c r="L14" s="686"/>
      <c r="M14" s="686"/>
      <c r="N14" s="685"/>
      <c r="O14" s="685"/>
    </row>
    <row r="15" spans="1:15" ht="14.4">
      <c r="A15" s="685"/>
      <c r="B15" s="685"/>
      <c r="C15" s="685"/>
      <c r="D15" s="686"/>
      <c r="E15" s="686"/>
      <c r="F15" s="686"/>
      <c r="G15" s="686"/>
      <c r="H15" s="686"/>
      <c r="I15" s="685"/>
      <c r="J15" s="685"/>
      <c r="K15" s="686"/>
      <c r="L15" s="686"/>
      <c r="M15" s="686"/>
      <c r="N15" s="685"/>
      <c r="O15" s="685"/>
    </row>
    <row r="16" spans="1:15" ht="14.4">
      <c r="A16" s="685"/>
      <c r="B16" s="685"/>
      <c r="C16" s="685"/>
      <c r="D16" s="686"/>
      <c r="E16" s="686"/>
      <c r="F16" s="686"/>
      <c r="G16" s="686"/>
      <c r="H16" s="686"/>
      <c r="I16" s="685"/>
      <c r="J16" s="685"/>
      <c r="K16" s="686"/>
      <c r="L16" s="686"/>
      <c r="M16" s="686"/>
      <c r="N16" s="685"/>
      <c r="O16" s="685"/>
    </row>
    <row r="17" spans="1:15" ht="14.4">
      <c r="A17" s="685"/>
      <c r="B17" s="685"/>
      <c r="C17" s="685"/>
      <c r="D17" s="686"/>
      <c r="E17" s="686"/>
      <c r="F17" s="686"/>
      <c r="G17" s="686"/>
      <c r="H17" s="686"/>
      <c r="I17" s="685"/>
      <c r="J17" s="685"/>
      <c r="K17" s="686"/>
      <c r="L17" s="686"/>
      <c r="M17" s="686"/>
      <c r="N17" s="685"/>
      <c r="O17" s="685"/>
    </row>
    <row r="18" spans="1:15" ht="14.4">
      <c r="A18" s="685"/>
      <c r="B18" s="685"/>
      <c r="C18" s="685"/>
      <c r="D18" s="686"/>
      <c r="E18" s="686"/>
      <c r="F18" s="686"/>
      <c r="G18" s="686"/>
      <c r="H18" s="686"/>
      <c r="I18" s="685"/>
      <c r="J18" s="685"/>
      <c r="K18" s="686"/>
      <c r="L18" s="686"/>
      <c r="M18" s="686"/>
      <c r="N18" s="685"/>
      <c r="O18" s="685"/>
    </row>
    <row r="19" spans="1:15" ht="14.4">
      <c r="A19" s="685"/>
      <c r="B19" s="685"/>
      <c r="C19" s="685"/>
      <c r="D19" s="686"/>
      <c r="E19" s="686"/>
      <c r="F19" s="686"/>
      <c r="G19" s="686"/>
      <c r="H19" s="686"/>
      <c r="I19" s="685"/>
      <c r="J19" s="685"/>
      <c r="K19" s="686"/>
      <c r="L19" s="686"/>
      <c r="M19" s="686"/>
      <c r="N19" s="685"/>
      <c r="O19" s="685"/>
    </row>
    <row r="20" spans="1:15" ht="14.4">
      <c r="A20" s="685"/>
      <c r="B20" s="685"/>
      <c r="C20" s="685"/>
      <c r="D20" s="686"/>
      <c r="E20" s="686"/>
      <c r="F20" s="686"/>
      <c r="G20" s="686"/>
      <c r="H20" s="686"/>
      <c r="I20" s="685"/>
      <c r="J20" s="685"/>
      <c r="K20" s="686"/>
      <c r="L20" s="686"/>
      <c r="M20" s="686"/>
      <c r="N20" s="685"/>
      <c r="O20" s="685"/>
    </row>
    <row r="21" spans="1:15" ht="14.4">
      <c r="A21" s="685"/>
      <c r="B21" s="685"/>
      <c r="C21" s="685"/>
      <c r="D21" s="686"/>
      <c r="E21" s="686"/>
      <c r="F21" s="686"/>
      <c r="G21" s="686"/>
      <c r="H21" s="686"/>
      <c r="I21" s="685"/>
      <c r="J21" s="685"/>
      <c r="K21" s="686"/>
      <c r="L21" s="686"/>
      <c r="M21" s="686"/>
      <c r="N21" s="685"/>
      <c r="O21" s="685"/>
    </row>
    <row r="22" spans="1:15" ht="14.4">
      <c r="A22" s="685"/>
      <c r="B22" s="685"/>
      <c r="C22" s="685"/>
      <c r="D22" s="686"/>
      <c r="E22" s="686"/>
      <c r="F22" s="686"/>
      <c r="G22" s="686"/>
      <c r="H22" s="686"/>
      <c r="I22" s="685"/>
      <c r="J22" s="685"/>
      <c r="K22" s="686"/>
      <c r="L22" s="686"/>
      <c r="M22" s="686"/>
      <c r="N22" s="685"/>
      <c r="O22" s="685"/>
    </row>
    <row r="23" spans="1:15" ht="14.4">
      <c r="A23" s="685"/>
      <c r="B23" s="685"/>
      <c r="C23" s="685"/>
      <c r="D23" s="686"/>
      <c r="E23" s="686"/>
      <c r="F23" s="686"/>
      <c r="G23" s="686"/>
      <c r="H23" s="686"/>
      <c r="I23" s="685"/>
      <c r="J23" s="685"/>
      <c r="K23" s="686"/>
      <c r="L23" s="686"/>
      <c r="M23" s="686"/>
      <c r="N23" s="685"/>
      <c r="O23" s="685"/>
    </row>
    <row r="24" spans="1:15" ht="14.4">
      <c r="A24" s="685"/>
      <c r="B24" s="685"/>
      <c r="C24" s="685"/>
      <c r="D24" s="686"/>
      <c r="E24" s="686"/>
      <c r="F24" s="686"/>
      <c r="G24" s="686"/>
      <c r="H24" s="686"/>
      <c r="I24" s="685"/>
      <c r="J24" s="685"/>
      <c r="K24" s="686"/>
      <c r="L24" s="686"/>
      <c r="M24" s="686"/>
      <c r="N24" s="685"/>
      <c r="O24" s="685"/>
    </row>
    <row r="25" spans="1:15" ht="14.4">
      <c r="A25" s="685"/>
      <c r="B25" s="685"/>
      <c r="C25" s="685"/>
      <c r="D25" s="686"/>
      <c r="E25" s="686"/>
      <c r="F25" s="686"/>
      <c r="G25" s="686"/>
      <c r="H25" s="686"/>
      <c r="I25" s="685"/>
      <c r="J25" s="685"/>
      <c r="K25" s="686"/>
      <c r="L25" s="686"/>
      <c r="M25" s="686"/>
      <c r="N25" s="685"/>
      <c r="O25" s="685"/>
    </row>
    <row r="26" spans="1:15" ht="14.4">
      <c r="A26" s="685"/>
      <c r="B26" s="685"/>
      <c r="C26" s="685"/>
      <c r="D26" s="686"/>
      <c r="E26" s="686"/>
      <c r="F26" s="686"/>
      <c r="G26" s="686"/>
      <c r="H26" s="686"/>
      <c r="I26" s="685"/>
      <c r="J26" s="685"/>
      <c r="K26" s="686"/>
      <c r="L26" s="686"/>
      <c r="M26" s="686"/>
      <c r="N26" s="685"/>
      <c r="O26" s="685"/>
    </row>
    <row r="27" spans="1:15" ht="14.4">
      <c r="A27" s="685"/>
      <c r="B27" s="685"/>
      <c r="C27" s="685"/>
      <c r="D27" s="686"/>
      <c r="E27" s="686"/>
      <c r="F27" s="686"/>
      <c r="G27" s="686"/>
      <c r="H27" s="686"/>
      <c r="I27" s="685"/>
      <c r="J27" s="685"/>
      <c r="K27" s="686"/>
      <c r="L27" s="686"/>
      <c r="M27" s="686"/>
      <c r="N27" s="685"/>
      <c r="O27" s="685"/>
    </row>
    <row r="28" spans="1:15" ht="14.4">
      <c r="A28" s="685"/>
      <c r="B28" s="685"/>
      <c r="C28" s="685"/>
      <c r="D28" s="686"/>
      <c r="E28" s="686"/>
      <c r="F28" s="686"/>
      <c r="G28" s="686"/>
      <c r="H28" s="686"/>
      <c r="I28" s="685"/>
      <c r="J28" s="685"/>
      <c r="K28" s="686"/>
      <c r="L28" s="686"/>
      <c r="M28" s="686"/>
      <c r="N28" s="685"/>
      <c r="O28" s="685"/>
    </row>
    <row r="29" spans="1:15" ht="14.4">
      <c r="A29" s="685"/>
      <c r="B29" s="685"/>
      <c r="C29" s="685"/>
      <c r="D29" s="686"/>
      <c r="E29" s="686"/>
      <c r="F29" s="686"/>
      <c r="G29" s="686"/>
      <c r="H29" s="686"/>
      <c r="I29" s="685"/>
      <c r="J29" s="685"/>
      <c r="K29" s="686"/>
      <c r="L29" s="686"/>
      <c r="M29" s="686"/>
      <c r="N29" s="685"/>
      <c r="O29" s="685"/>
    </row>
    <row r="30" spans="1:15" ht="14.4">
      <c r="A30" s="685"/>
      <c r="B30" s="685"/>
      <c r="C30" s="685"/>
      <c r="D30" s="686"/>
      <c r="E30" s="686"/>
      <c r="F30" s="686"/>
      <c r="G30" s="686"/>
      <c r="H30" s="686"/>
      <c r="I30" s="685"/>
      <c r="J30" s="685"/>
      <c r="K30" s="686"/>
      <c r="L30" s="686"/>
      <c r="M30" s="686"/>
      <c r="N30" s="685"/>
      <c r="O30" s="685"/>
    </row>
    <row r="31" spans="1:15" ht="14.4">
      <c r="A31" s="685"/>
      <c r="B31" s="685"/>
      <c r="C31" s="685"/>
      <c r="D31" s="686"/>
      <c r="E31" s="686"/>
      <c r="F31" s="686"/>
      <c r="G31" s="686"/>
      <c r="H31" s="686"/>
      <c r="I31" s="685"/>
      <c r="J31" s="685"/>
      <c r="K31" s="686"/>
      <c r="L31" s="686"/>
      <c r="M31" s="686"/>
      <c r="N31" s="685"/>
      <c r="O31" s="685"/>
    </row>
    <row r="32" spans="1:15" ht="14.4">
      <c r="A32" s="685"/>
      <c r="B32" s="685"/>
      <c r="C32" s="685"/>
      <c r="D32" s="686"/>
      <c r="E32" s="686"/>
      <c r="F32" s="686"/>
      <c r="G32" s="686"/>
      <c r="H32" s="686"/>
      <c r="I32" s="685"/>
      <c r="J32" s="685"/>
      <c r="K32" s="686"/>
      <c r="L32" s="686"/>
      <c r="M32" s="686"/>
      <c r="N32" s="685"/>
      <c r="O32" s="685"/>
    </row>
    <row r="33" spans="1:15" ht="14.4">
      <c r="A33" s="685"/>
      <c r="B33" s="685"/>
      <c r="C33" s="685"/>
      <c r="D33" s="686"/>
      <c r="E33" s="686"/>
      <c r="F33" s="686"/>
      <c r="G33" s="686"/>
      <c r="H33" s="686"/>
      <c r="I33" s="685"/>
      <c r="J33" s="685"/>
      <c r="K33" s="686"/>
      <c r="L33" s="686"/>
      <c r="M33" s="686"/>
      <c r="N33" s="685"/>
      <c r="O33" s="685"/>
    </row>
    <row r="34" spans="1:15" ht="14.4">
      <c r="A34" s="685"/>
      <c r="B34" s="685"/>
      <c r="C34" s="685"/>
      <c r="D34" s="686"/>
      <c r="E34" s="686"/>
      <c r="F34" s="686"/>
      <c r="G34" s="686"/>
      <c r="H34" s="686"/>
      <c r="I34" s="685"/>
      <c r="J34" s="685"/>
      <c r="K34" s="686"/>
      <c r="L34" s="686"/>
      <c r="M34" s="686"/>
      <c r="N34" s="685"/>
      <c r="O34" s="685"/>
    </row>
    <row r="35" spans="1:15" ht="14.4">
      <c r="A35" s="685"/>
      <c r="B35" s="685"/>
      <c r="C35" s="685"/>
      <c r="D35" s="686"/>
      <c r="E35" s="686"/>
      <c r="F35" s="686"/>
      <c r="G35" s="686"/>
      <c r="H35" s="686"/>
      <c r="I35" s="685"/>
      <c r="J35" s="685"/>
      <c r="K35" s="686"/>
      <c r="L35" s="686"/>
      <c r="M35" s="686"/>
      <c r="N35" s="685"/>
      <c r="O35" s="685"/>
    </row>
    <row r="36" spans="1:15" ht="14.4">
      <c r="A36" s="685"/>
      <c r="B36" s="685"/>
      <c r="C36" s="685"/>
      <c r="D36" s="686"/>
      <c r="E36" s="686"/>
      <c r="F36" s="686"/>
      <c r="G36" s="686"/>
      <c r="H36" s="686"/>
      <c r="I36" s="685"/>
      <c r="J36" s="685"/>
      <c r="K36" s="686"/>
      <c r="L36" s="686"/>
      <c r="M36" s="686"/>
      <c r="N36" s="685"/>
      <c r="O36" s="685"/>
    </row>
    <row r="37" spans="1:15" ht="14.4">
      <c r="A37" s="685"/>
      <c r="B37" s="685"/>
      <c r="C37" s="685"/>
      <c r="D37" s="686"/>
      <c r="E37" s="686"/>
      <c r="F37" s="686"/>
      <c r="G37" s="686"/>
      <c r="H37" s="686"/>
      <c r="I37" s="685"/>
      <c r="J37" s="685"/>
      <c r="K37" s="686"/>
      <c r="L37" s="686"/>
      <c r="M37" s="686"/>
      <c r="N37" s="685"/>
      <c r="O37" s="685"/>
    </row>
    <row r="38" spans="1:15" ht="14.4">
      <c r="A38" s="685"/>
      <c r="B38" s="685"/>
      <c r="C38" s="685"/>
      <c r="D38" s="686"/>
      <c r="E38" s="686"/>
      <c r="F38" s="686"/>
      <c r="G38" s="686"/>
      <c r="H38" s="686"/>
      <c r="I38" s="685"/>
      <c r="J38" s="685"/>
      <c r="K38" s="686"/>
      <c r="L38" s="686"/>
      <c r="M38" s="686"/>
      <c r="N38" s="685"/>
      <c r="O38" s="685"/>
    </row>
    <row r="39" spans="1:15" ht="14.4">
      <c r="A39" s="685"/>
      <c r="B39" s="685"/>
      <c r="C39" s="685"/>
      <c r="D39" s="686"/>
      <c r="E39" s="686"/>
      <c r="F39" s="686"/>
      <c r="G39" s="686"/>
      <c r="H39" s="686"/>
      <c r="I39" s="685"/>
      <c r="J39" s="685"/>
      <c r="K39" s="686"/>
      <c r="L39" s="686"/>
      <c r="M39" s="686"/>
      <c r="N39" s="685"/>
      <c r="O39" s="685"/>
    </row>
    <row r="40" spans="1:15" ht="14.4">
      <c r="A40" s="685"/>
      <c r="B40" s="685"/>
      <c r="C40" s="685"/>
      <c r="D40" s="686"/>
      <c r="E40" s="686"/>
      <c r="F40" s="686"/>
      <c r="G40" s="686"/>
      <c r="H40" s="686"/>
      <c r="I40" s="685"/>
      <c r="J40" s="685"/>
      <c r="K40" s="686"/>
      <c r="L40" s="686"/>
      <c r="M40" s="686"/>
      <c r="N40" s="685"/>
      <c r="O40" s="685"/>
    </row>
    <row r="41" spans="1:15" ht="14.4">
      <c r="A41" s="685"/>
      <c r="B41" s="685"/>
      <c r="C41" s="685"/>
      <c r="D41" s="686"/>
      <c r="E41" s="686"/>
      <c r="F41" s="686"/>
      <c r="G41" s="686"/>
      <c r="H41" s="686"/>
      <c r="I41" s="685"/>
      <c r="J41" s="685"/>
      <c r="K41" s="686"/>
      <c r="L41" s="686"/>
      <c r="M41" s="686"/>
      <c r="N41" s="685"/>
      <c r="O41" s="685"/>
    </row>
    <row r="42" spans="1:15" ht="14.4">
      <c r="A42" s="685"/>
      <c r="B42" s="685"/>
      <c r="C42" s="685"/>
      <c r="D42" s="686"/>
      <c r="E42" s="686"/>
      <c r="F42" s="686"/>
      <c r="G42" s="686"/>
      <c r="H42" s="686"/>
      <c r="I42" s="685"/>
      <c r="J42" s="685"/>
      <c r="K42" s="686"/>
      <c r="L42" s="686"/>
      <c r="M42" s="686"/>
      <c r="N42" s="685"/>
      <c r="O42" s="685"/>
    </row>
    <row r="43" spans="1:15" ht="14.4">
      <c r="A43" s="685"/>
      <c r="B43" s="685"/>
      <c r="C43" s="685"/>
      <c r="D43" s="686"/>
      <c r="E43" s="686"/>
      <c r="F43" s="686"/>
      <c r="G43" s="686"/>
      <c r="H43" s="686"/>
      <c r="I43" s="685"/>
      <c r="J43" s="685"/>
      <c r="K43" s="686"/>
      <c r="L43" s="686"/>
      <c r="M43" s="686"/>
      <c r="N43" s="685"/>
      <c r="O43" s="685"/>
    </row>
    <row r="44" spans="1:15" ht="14.4">
      <c r="A44" s="685"/>
      <c r="B44" s="685"/>
      <c r="C44" s="685"/>
      <c r="D44" s="686"/>
      <c r="E44" s="686"/>
      <c r="F44" s="686"/>
      <c r="G44" s="686"/>
      <c r="H44" s="686"/>
      <c r="I44" s="685"/>
      <c r="J44" s="685"/>
      <c r="K44" s="686"/>
      <c r="L44" s="686"/>
      <c r="M44" s="686"/>
      <c r="N44" s="685"/>
      <c r="O44" s="685"/>
    </row>
    <row r="45" spans="1:15" ht="14.4">
      <c r="A45" s="685"/>
      <c r="B45" s="685"/>
      <c r="C45" s="685"/>
      <c r="D45" s="686"/>
      <c r="E45" s="686"/>
      <c r="F45" s="686"/>
      <c r="G45" s="686"/>
      <c r="H45" s="686"/>
      <c r="I45" s="685"/>
      <c r="J45" s="685"/>
      <c r="K45" s="686"/>
      <c r="L45" s="686"/>
      <c r="M45" s="686"/>
      <c r="N45" s="685"/>
      <c r="O45" s="685"/>
    </row>
    <row r="46" spans="1:15" ht="14.4">
      <c r="A46" s="685"/>
      <c r="B46" s="685"/>
      <c r="C46" s="685"/>
      <c r="D46" s="686"/>
      <c r="E46" s="686"/>
      <c r="F46" s="686"/>
      <c r="G46" s="686"/>
      <c r="H46" s="686"/>
      <c r="I46" s="685"/>
      <c r="J46" s="685"/>
      <c r="K46" s="686"/>
      <c r="L46" s="686"/>
      <c r="M46" s="686"/>
      <c r="N46" s="685"/>
      <c r="O46" s="685"/>
    </row>
    <row r="47" spans="1:15" ht="14.4">
      <c r="A47" s="685"/>
      <c r="B47" s="685"/>
      <c r="C47" s="685"/>
      <c r="D47" s="686"/>
      <c r="E47" s="686"/>
      <c r="F47" s="686"/>
      <c r="G47" s="686"/>
      <c r="H47" s="686"/>
      <c r="I47" s="685"/>
      <c r="J47" s="685"/>
      <c r="K47" s="686"/>
      <c r="L47" s="686"/>
      <c r="M47" s="686"/>
      <c r="N47" s="685"/>
      <c r="O47" s="685"/>
    </row>
    <row r="48" spans="1:15" ht="14.4">
      <c r="A48" s="685"/>
      <c r="B48" s="685"/>
      <c r="C48" s="685"/>
      <c r="D48" s="686"/>
      <c r="E48" s="686"/>
      <c r="F48" s="686"/>
      <c r="G48" s="686"/>
      <c r="H48" s="686"/>
      <c r="I48" s="685"/>
      <c r="J48" s="685"/>
      <c r="K48" s="686"/>
      <c r="L48" s="686"/>
      <c r="M48" s="686"/>
      <c r="N48" s="685"/>
      <c r="O48" s="685"/>
    </row>
    <row r="49" spans="1:15" ht="14.4">
      <c r="A49" s="685"/>
      <c r="B49" s="685"/>
      <c r="C49" s="685"/>
      <c r="D49" s="686"/>
      <c r="E49" s="686"/>
      <c r="F49" s="686"/>
      <c r="G49" s="686"/>
      <c r="H49" s="686"/>
      <c r="I49" s="685"/>
      <c r="J49" s="685"/>
      <c r="K49" s="686"/>
      <c r="L49" s="686"/>
      <c r="M49" s="686"/>
      <c r="N49" s="685"/>
      <c r="O49" s="685"/>
    </row>
    <row r="50" spans="1:15" ht="14.4">
      <c r="A50" s="685"/>
      <c r="B50" s="685"/>
      <c r="C50" s="685"/>
      <c r="D50" s="686"/>
      <c r="E50" s="686"/>
      <c r="F50" s="686"/>
      <c r="G50" s="686"/>
      <c r="H50" s="686"/>
      <c r="I50" s="685"/>
      <c r="J50" s="685"/>
      <c r="K50" s="686"/>
      <c r="L50" s="686"/>
      <c r="M50" s="686"/>
      <c r="N50" s="685"/>
      <c r="O50" s="685"/>
    </row>
    <row r="51" spans="1:15" ht="14.4">
      <c r="A51" s="685"/>
      <c r="B51" s="685"/>
      <c r="C51" s="685"/>
      <c r="D51" s="686"/>
      <c r="E51" s="686"/>
      <c r="F51" s="686"/>
      <c r="G51" s="686"/>
      <c r="H51" s="686"/>
      <c r="I51" s="685"/>
      <c r="J51" s="685"/>
      <c r="K51" s="686"/>
      <c r="L51" s="686"/>
      <c r="M51" s="686"/>
      <c r="N51" s="685"/>
      <c r="O51" s="685"/>
    </row>
    <row r="52" spans="1:15" ht="14.4">
      <c r="A52" s="685"/>
      <c r="B52" s="685"/>
      <c r="C52" s="685"/>
      <c r="D52" s="686"/>
      <c r="E52" s="686"/>
      <c r="F52" s="686"/>
      <c r="G52" s="686"/>
      <c r="H52" s="686"/>
      <c r="I52" s="685"/>
      <c r="J52" s="685"/>
      <c r="K52" s="686"/>
      <c r="L52" s="686"/>
      <c r="M52" s="686"/>
      <c r="N52" s="685"/>
      <c r="O52" s="685"/>
    </row>
    <row r="53" spans="1:15" ht="14.4">
      <c r="A53" s="685"/>
      <c r="B53" s="685"/>
      <c r="C53" s="685"/>
      <c r="D53" s="686"/>
      <c r="E53" s="686"/>
      <c r="F53" s="686"/>
      <c r="G53" s="686"/>
      <c r="H53" s="686"/>
      <c r="I53" s="685"/>
      <c r="J53" s="685"/>
      <c r="K53" s="686"/>
      <c r="L53" s="686"/>
      <c r="M53" s="686"/>
      <c r="N53" s="685"/>
      <c r="O53" s="685"/>
    </row>
    <row r="54" spans="1:15" ht="14.4">
      <c r="A54" s="685"/>
      <c r="B54" s="685"/>
      <c r="C54" s="685"/>
      <c r="D54" s="686"/>
      <c r="E54" s="686"/>
      <c r="F54" s="686"/>
      <c r="G54" s="686"/>
      <c r="H54" s="686"/>
      <c r="I54" s="685"/>
      <c r="J54" s="685"/>
      <c r="K54" s="686"/>
      <c r="L54" s="686"/>
      <c r="M54" s="686"/>
      <c r="N54" s="685"/>
      <c r="O54" s="685"/>
    </row>
    <row r="55" spans="1:15" ht="14.4">
      <c r="A55" s="685"/>
      <c r="B55" s="685"/>
      <c r="C55" s="685"/>
      <c r="D55" s="686"/>
      <c r="E55" s="686"/>
      <c r="F55" s="686"/>
      <c r="G55" s="686"/>
      <c r="H55" s="686"/>
      <c r="I55" s="685"/>
      <c r="J55" s="685"/>
      <c r="K55" s="686"/>
      <c r="L55" s="686"/>
      <c r="M55" s="686"/>
      <c r="N55" s="685"/>
      <c r="O55" s="685"/>
    </row>
    <row r="56" spans="1:15" ht="14.4">
      <c r="A56" s="685"/>
      <c r="B56" s="685"/>
      <c r="C56" s="685"/>
      <c r="D56" s="686"/>
      <c r="E56" s="686"/>
      <c r="F56" s="686"/>
      <c r="G56" s="686"/>
      <c r="H56" s="686"/>
      <c r="I56" s="685"/>
      <c r="J56" s="685"/>
      <c r="K56" s="686"/>
      <c r="L56" s="686"/>
      <c r="M56" s="686"/>
      <c r="N56" s="685"/>
      <c r="O56" s="685"/>
    </row>
    <row r="57" spans="1:15" ht="14.4">
      <c r="A57" s="685"/>
      <c r="B57" s="685"/>
      <c r="C57" s="685"/>
      <c r="D57" s="686"/>
      <c r="E57" s="686"/>
      <c r="F57" s="686"/>
      <c r="G57" s="686"/>
      <c r="H57" s="686"/>
      <c r="I57" s="685"/>
      <c r="J57" s="685"/>
      <c r="K57" s="686"/>
      <c r="L57" s="686"/>
      <c r="M57" s="686"/>
      <c r="N57" s="685"/>
      <c r="O57" s="685"/>
    </row>
    <row r="58" spans="1:15" ht="14.4">
      <c r="A58" s="685"/>
      <c r="B58" s="685"/>
      <c r="C58" s="685"/>
      <c r="D58" s="686"/>
      <c r="E58" s="686"/>
      <c r="F58" s="686"/>
      <c r="G58" s="686"/>
      <c r="H58" s="686"/>
      <c r="I58" s="685"/>
      <c r="J58" s="685"/>
      <c r="K58" s="686"/>
      <c r="L58" s="686"/>
      <c r="M58" s="686"/>
      <c r="N58" s="685"/>
      <c r="O58" s="685"/>
    </row>
    <row r="59" spans="1:15" ht="14.4">
      <c r="A59" s="685"/>
      <c r="B59" s="685"/>
      <c r="C59" s="685"/>
      <c r="D59" s="686"/>
      <c r="E59" s="686"/>
      <c r="F59" s="686"/>
      <c r="G59" s="686"/>
      <c r="H59" s="686"/>
      <c r="I59" s="685"/>
      <c r="J59" s="685"/>
      <c r="K59" s="686"/>
      <c r="L59" s="686"/>
      <c r="M59" s="686"/>
      <c r="N59" s="685"/>
      <c r="O59" s="685"/>
    </row>
    <row r="60" spans="1:15" ht="14.4">
      <c r="A60" s="685"/>
      <c r="B60" s="685"/>
      <c r="C60" s="685"/>
      <c r="D60" s="686"/>
      <c r="E60" s="686"/>
      <c r="F60" s="686"/>
      <c r="G60" s="686"/>
      <c r="H60" s="686"/>
      <c r="I60" s="685"/>
      <c r="J60" s="685"/>
      <c r="K60" s="686"/>
      <c r="L60" s="686"/>
      <c r="M60" s="686"/>
      <c r="N60" s="685"/>
      <c r="O60" s="685"/>
    </row>
    <row r="61" spans="1:15" ht="14.4">
      <c r="A61" s="685"/>
      <c r="B61" s="685"/>
      <c r="C61" s="685"/>
      <c r="D61" s="686"/>
      <c r="E61" s="686"/>
      <c r="F61" s="686"/>
      <c r="G61" s="686"/>
      <c r="H61" s="686"/>
      <c r="I61" s="685"/>
      <c r="J61" s="685"/>
      <c r="K61" s="686"/>
      <c r="L61" s="686"/>
      <c r="M61" s="686"/>
      <c r="N61" s="685"/>
      <c r="O61" s="685"/>
    </row>
    <row r="62" spans="1:15" ht="14.4">
      <c r="A62" s="685"/>
      <c r="B62" s="685"/>
      <c r="C62" s="685"/>
      <c r="D62" s="686"/>
      <c r="E62" s="686"/>
      <c r="F62" s="686"/>
      <c r="G62" s="686"/>
      <c r="H62" s="686"/>
      <c r="I62" s="685"/>
      <c r="J62" s="685"/>
      <c r="K62" s="686"/>
      <c r="L62" s="686"/>
      <c r="M62" s="686"/>
      <c r="N62" s="685"/>
      <c r="O62" s="685"/>
    </row>
    <row r="63" spans="1:15" ht="14.4">
      <c r="A63" s="685"/>
      <c r="B63" s="685"/>
      <c r="C63" s="685"/>
      <c r="D63" s="686"/>
      <c r="E63" s="686"/>
      <c r="F63" s="686"/>
      <c r="G63" s="686"/>
      <c r="H63" s="686"/>
      <c r="I63" s="685"/>
      <c r="J63" s="685"/>
      <c r="K63" s="686"/>
      <c r="L63" s="686"/>
      <c r="M63" s="686"/>
      <c r="N63" s="685"/>
      <c r="O63" s="685"/>
    </row>
    <row r="64" spans="1:15" ht="14.4">
      <c r="A64" s="685"/>
      <c r="B64" s="685"/>
      <c r="C64" s="685"/>
      <c r="D64" s="686"/>
      <c r="E64" s="686"/>
      <c r="F64" s="686"/>
      <c r="G64" s="686"/>
      <c r="H64" s="686"/>
      <c r="I64" s="685"/>
      <c r="J64" s="685"/>
      <c r="K64" s="686"/>
      <c r="L64" s="686"/>
      <c r="M64" s="686"/>
      <c r="N64" s="685"/>
      <c r="O64" s="685"/>
    </row>
    <row r="65" spans="1:15" ht="14.4">
      <c r="A65" s="685"/>
      <c r="B65" s="685"/>
      <c r="C65" s="685"/>
      <c r="D65" s="686"/>
      <c r="E65" s="686"/>
      <c r="F65" s="686"/>
      <c r="G65" s="686"/>
      <c r="H65" s="686"/>
      <c r="I65" s="685"/>
      <c r="J65" s="685"/>
      <c r="K65" s="686"/>
      <c r="L65" s="686"/>
      <c r="M65" s="686"/>
      <c r="N65" s="685"/>
      <c r="O65" s="685"/>
    </row>
    <row r="66" spans="1:15" ht="14.4">
      <c r="A66" s="685"/>
      <c r="B66" s="685"/>
      <c r="C66" s="685"/>
      <c r="D66" s="686"/>
      <c r="E66" s="686"/>
      <c r="F66" s="686"/>
      <c r="G66" s="686"/>
      <c r="H66" s="686"/>
      <c r="I66" s="685"/>
      <c r="J66" s="685"/>
      <c r="K66" s="686"/>
      <c r="L66" s="686"/>
      <c r="M66" s="686"/>
      <c r="N66" s="685"/>
      <c r="O66" s="685"/>
    </row>
    <row r="67" spans="1:15" ht="14.4">
      <c r="A67" s="685"/>
      <c r="B67" s="685"/>
      <c r="C67" s="685"/>
      <c r="D67" s="686"/>
      <c r="E67" s="686"/>
      <c r="F67" s="686"/>
      <c r="G67" s="686"/>
      <c r="H67" s="686"/>
      <c r="I67" s="685"/>
      <c r="J67" s="685"/>
      <c r="K67" s="686"/>
      <c r="L67" s="686"/>
      <c r="M67" s="686"/>
      <c r="N67" s="685"/>
      <c r="O67" s="685"/>
    </row>
    <row r="68" spans="1:15" ht="14.4">
      <c r="A68" s="685"/>
      <c r="B68" s="685"/>
      <c r="C68" s="685"/>
      <c r="D68" s="686"/>
      <c r="E68" s="686"/>
      <c r="F68" s="686"/>
      <c r="G68" s="686"/>
      <c r="H68" s="686"/>
      <c r="I68" s="685"/>
      <c r="J68" s="685"/>
      <c r="K68" s="686"/>
      <c r="L68" s="686"/>
      <c r="M68" s="686"/>
      <c r="N68" s="685"/>
      <c r="O68" s="685"/>
    </row>
    <row r="69" spans="1:15" ht="14.4">
      <c r="A69" s="685"/>
      <c r="B69" s="685"/>
      <c r="C69" s="685"/>
      <c r="D69" s="686"/>
      <c r="E69" s="686"/>
      <c r="F69" s="686"/>
      <c r="G69" s="686"/>
      <c r="H69" s="686"/>
      <c r="I69" s="685"/>
      <c r="J69" s="685"/>
      <c r="K69" s="686"/>
      <c r="L69" s="686"/>
      <c r="M69" s="686"/>
      <c r="N69" s="685"/>
      <c r="O69" s="685"/>
    </row>
    <row r="70" spans="1:15" ht="14.4">
      <c r="A70" s="685"/>
      <c r="B70" s="685"/>
      <c r="C70" s="685"/>
      <c r="D70" s="686"/>
      <c r="E70" s="686"/>
      <c r="F70" s="686"/>
      <c r="G70" s="686"/>
      <c r="H70" s="686"/>
      <c r="I70" s="685"/>
      <c r="J70" s="685"/>
      <c r="K70" s="686"/>
      <c r="L70" s="686"/>
      <c r="M70" s="686"/>
      <c r="N70" s="685"/>
      <c r="O70" s="685"/>
    </row>
    <row r="71" spans="1:15" ht="14.4">
      <c r="A71" s="685"/>
      <c r="B71" s="685"/>
      <c r="C71" s="685"/>
      <c r="D71" s="686"/>
      <c r="E71" s="686"/>
      <c r="F71" s="686"/>
      <c r="G71" s="686"/>
      <c r="H71" s="686"/>
      <c r="I71" s="685"/>
      <c r="J71" s="685"/>
      <c r="K71" s="686"/>
      <c r="L71" s="686"/>
      <c r="M71" s="686"/>
      <c r="N71" s="685"/>
      <c r="O71" s="685"/>
    </row>
    <row r="72" spans="1:15" ht="14.4">
      <c r="A72" s="685"/>
      <c r="B72" s="685"/>
      <c r="C72" s="685"/>
      <c r="D72" s="686"/>
      <c r="E72" s="686"/>
      <c r="F72" s="686"/>
      <c r="G72" s="686"/>
      <c r="H72" s="686"/>
      <c r="I72" s="685"/>
      <c r="J72" s="685"/>
      <c r="K72" s="686"/>
      <c r="L72" s="686"/>
      <c r="M72" s="686"/>
      <c r="N72" s="685"/>
      <c r="O72" s="685"/>
    </row>
    <row r="73" spans="1:15" ht="14.4">
      <c r="A73" s="685"/>
      <c r="B73" s="685"/>
      <c r="C73" s="685"/>
      <c r="D73" s="686"/>
      <c r="E73" s="686"/>
      <c r="F73" s="686"/>
      <c r="G73" s="686"/>
      <c r="H73" s="686"/>
      <c r="I73" s="685"/>
      <c r="J73" s="685"/>
      <c r="K73" s="686"/>
      <c r="L73" s="686"/>
      <c r="M73" s="686"/>
      <c r="N73" s="685"/>
      <c r="O73" s="685"/>
    </row>
    <row r="74" spans="1:15" ht="14.4">
      <c r="A74" s="685"/>
      <c r="B74" s="685"/>
      <c r="C74" s="685"/>
      <c r="D74" s="686"/>
      <c r="E74" s="686"/>
      <c r="F74" s="686"/>
      <c r="G74" s="686"/>
      <c r="H74" s="686"/>
      <c r="I74" s="685"/>
      <c r="J74" s="685"/>
      <c r="K74" s="686"/>
      <c r="L74" s="686"/>
      <c r="M74" s="686"/>
      <c r="N74" s="685"/>
      <c r="O74" s="685"/>
    </row>
    <row r="75" spans="1:15" ht="14.4">
      <c r="A75" s="685"/>
      <c r="B75" s="685"/>
      <c r="C75" s="685"/>
      <c r="D75" s="686"/>
      <c r="E75" s="686"/>
      <c r="F75" s="686"/>
      <c r="G75" s="686"/>
      <c r="H75" s="686"/>
      <c r="I75" s="685"/>
      <c r="J75" s="685"/>
      <c r="K75" s="686"/>
      <c r="L75" s="686"/>
      <c r="M75" s="686"/>
      <c r="N75" s="685"/>
      <c r="O75" s="685"/>
    </row>
    <row r="76" spans="1:15" ht="14.4">
      <c r="A76" s="685"/>
      <c r="B76" s="685"/>
      <c r="C76" s="685"/>
      <c r="D76" s="686"/>
      <c r="E76" s="686"/>
      <c r="F76" s="686"/>
      <c r="G76" s="686"/>
      <c r="H76" s="686"/>
      <c r="I76" s="685"/>
      <c r="J76" s="685"/>
      <c r="K76" s="686"/>
      <c r="L76" s="686"/>
      <c r="M76" s="686"/>
      <c r="N76" s="685"/>
      <c r="O76" s="685"/>
    </row>
    <row r="77" spans="1:15" ht="14.4">
      <c r="A77" s="685"/>
      <c r="B77" s="685"/>
      <c r="C77" s="685"/>
      <c r="D77" s="686"/>
      <c r="E77" s="686"/>
      <c r="F77" s="686"/>
      <c r="G77" s="686"/>
      <c r="H77" s="686"/>
      <c r="I77" s="685"/>
      <c r="J77" s="685"/>
      <c r="K77" s="686"/>
      <c r="L77" s="686"/>
      <c r="M77" s="686"/>
      <c r="N77" s="685"/>
      <c r="O77" s="685"/>
    </row>
    <row r="78" spans="1:15" ht="14.4">
      <c r="A78" s="685"/>
      <c r="B78" s="685"/>
      <c r="C78" s="685"/>
      <c r="D78" s="686"/>
      <c r="E78" s="686"/>
      <c r="F78" s="686"/>
      <c r="G78" s="686"/>
      <c r="H78" s="686"/>
      <c r="I78" s="685"/>
      <c r="J78" s="685"/>
      <c r="K78" s="686"/>
      <c r="L78" s="686"/>
      <c r="M78" s="686"/>
      <c r="N78" s="685"/>
      <c r="O78" s="685"/>
    </row>
    <row r="79" spans="1:15" ht="14.4">
      <c r="A79" s="685"/>
      <c r="B79" s="685"/>
      <c r="C79" s="685"/>
      <c r="D79" s="686"/>
      <c r="E79" s="686"/>
      <c r="F79" s="686"/>
      <c r="G79" s="686"/>
      <c r="H79" s="686"/>
      <c r="I79" s="685"/>
      <c r="J79" s="685"/>
      <c r="K79" s="686"/>
      <c r="L79" s="686"/>
      <c r="M79" s="686"/>
      <c r="N79" s="685"/>
      <c r="O79" s="685"/>
    </row>
    <row r="80" spans="1:15" ht="14.4">
      <c r="A80" s="685"/>
      <c r="B80" s="685"/>
      <c r="C80" s="685"/>
      <c r="D80" s="686"/>
      <c r="E80" s="686"/>
      <c r="F80" s="686"/>
      <c r="G80" s="686"/>
      <c r="H80" s="686"/>
      <c r="I80" s="685"/>
      <c r="J80" s="685"/>
      <c r="K80" s="686"/>
      <c r="L80" s="686"/>
      <c r="M80" s="686"/>
      <c r="N80" s="685"/>
      <c r="O80" s="685"/>
    </row>
    <row r="81" spans="1:15" ht="14.4">
      <c r="A81" s="685"/>
      <c r="B81" s="685"/>
      <c r="C81" s="685"/>
      <c r="D81" s="686"/>
      <c r="E81" s="686"/>
      <c r="F81" s="686"/>
      <c r="G81" s="686"/>
      <c r="H81" s="686"/>
      <c r="I81" s="685"/>
      <c r="J81" s="685"/>
      <c r="K81" s="686"/>
      <c r="L81" s="686"/>
      <c r="M81" s="686"/>
      <c r="N81" s="685"/>
      <c r="O81" s="685"/>
    </row>
    <row r="82" spans="1:15" ht="14.4">
      <c r="A82" s="685"/>
      <c r="B82" s="685"/>
      <c r="C82" s="685"/>
      <c r="D82" s="686"/>
      <c r="E82" s="686"/>
      <c r="F82" s="686"/>
      <c r="G82" s="686"/>
      <c r="H82" s="686"/>
      <c r="I82" s="685"/>
      <c r="J82" s="685"/>
      <c r="K82" s="686"/>
      <c r="L82" s="686"/>
      <c r="M82" s="686"/>
      <c r="N82" s="685"/>
      <c r="O82" s="685"/>
    </row>
    <row r="83" spans="1:15" ht="14.4">
      <c r="A83" s="685"/>
      <c r="B83" s="685"/>
      <c r="C83" s="685"/>
      <c r="D83" s="686"/>
      <c r="E83" s="686"/>
      <c r="F83" s="686"/>
      <c r="G83" s="686"/>
      <c r="H83" s="686"/>
      <c r="I83" s="685"/>
      <c r="J83" s="685"/>
      <c r="K83" s="686"/>
      <c r="L83" s="686"/>
      <c r="M83" s="686"/>
      <c r="N83" s="685"/>
      <c r="O83" s="685"/>
    </row>
    <row r="84" spans="1:15" ht="14.4">
      <c r="A84" s="685"/>
      <c r="B84" s="685"/>
      <c r="C84" s="685"/>
      <c r="D84" s="686"/>
      <c r="E84" s="686"/>
      <c r="F84" s="686"/>
      <c r="G84" s="686"/>
      <c r="H84" s="686"/>
      <c r="I84" s="685"/>
      <c r="J84" s="685"/>
      <c r="K84" s="686"/>
      <c r="L84" s="686"/>
      <c r="M84" s="686"/>
      <c r="N84" s="685"/>
      <c r="O84" s="685"/>
    </row>
    <row r="85" spans="1:15" ht="14.4">
      <c r="A85" s="685"/>
      <c r="B85" s="685"/>
      <c r="C85" s="685"/>
      <c r="D85" s="686"/>
      <c r="E85" s="686"/>
      <c r="F85" s="686"/>
      <c r="G85" s="686"/>
      <c r="H85" s="686"/>
      <c r="I85" s="685"/>
      <c r="J85" s="685"/>
      <c r="K85" s="686"/>
      <c r="L85" s="686"/>
      <c r="M85" s="686"/>
      <c r="N85" s="685"/>
      <c r="O85" s="685"/>
    </row>
    <row r="86" spans="1:15" ht="14.4">
      <c r="A86" s="685"/>
      <c r="B86" s="685"/>
      <c r="C86" s="685"/>
      <c r="D86" s="686"/>
      <c r="E86" s="686"/>
      <c r="F86" s="686"/>
      <c r="G86" s="686"/>
      <c r="H86" s="686"/>
      <c r="I86" s="685"/>
      <c r="J86" s="685"/>
      <c r="K86" s="686"/>
      <c r="L86" s="686"/>
      <c r="M86" s="686"/>
      <c r="N86" s="685"/>
      <c r="O86" s="685"/>
    </row>
    <row r="87" spans="1:15" ht="14.4">
      <c r="A87" s="685"/>
      <c r="B87" s="685"/>
      <c r="C87" s="685"/>
      <c r="D87" s="686"/>
      <c r="E87" s="686"/>
      <c r="F87" s="686"/>
      <c r="G87" s="686"/>
      <c r="H87" s="686"/>
      <c r="I87" s="685"/>
      <c r="J87" s="685"/>
      <c r="K87" s="686"/>
      <c r="L87" s="686"/>
      <c r="M87" s="686"/>
      <c r="N87" s="685"/>
      <c r="O87" s="685"/>
    </row>
    <row r="88" spans="1:15" ht="14.4">
      <c r="A88" s="685"/>
      <c r="B88" s="685"/>
      <c r="C88" s="685"/>
      <c r="D88" s="686"/>
      <c r="E88" s="686"/>
      <c r="F88" s="686"/>
      <c r="G88" s="686"/>
      <c r="H88" s="686"/>
      <c r="I88" s="685"/>
      <c r="J88" s="685"/>
      <c r="K88" s="686"/>
      <c r="L88" s="686"/>
      <c r="M88" s="686"/>
      <c r="N88" s="685"/>
      <c r="O88" s="685"/>
    </row>
    <row r="89" spans="1:15" ht="14.4">
      <c r="A89" s="685"/>
      <c r="B89" s="685"/>
      <c r="C89" s="685"/>
      <c r="D89" s="686"/>
      <c r="E89" s="686"/>
      <c r="F89" s="686"/>
      <c r="G89" s="686"/>
      <c r="H89" s="686"/>
      <c r="I89" s="685"/>
      <c r="J89" s="685"/>
      <c r="K89" s="686"/>
      <c r="L89" s="686"/>
      <c r="M89" s="686"/>
      <c r="N89" s="685"/>
      <c r="O89" s="685"/>
    </row>
    <row r="90" spans="1:15" ht="14.4">
      <c r="A90" s="685"/>
      <c r="B90" s="685"/>
      <c r="C90" s="685"/>
      <c r="D90" s="686"/>
      <c r="E90" s="686"/>
      <c r="F90" s="686"/>
      <c r="G90" s="686"/>
      <c r="H90" s="686"/>
      <c r="I90" s="685"/>
      <c r="J90" s="685"/>
      <c r="K90" s="686"/>
      <c r="L90" s="686"/>
      <c r="M90" s="686"/>
      <c r="N90" s="685"/>
      <c r="O90" s="685"/>
    </row>
    <row r="91" spans="1:15" ht="14.4">
      <c r="A91" s="685"/>
      <c r="B91" s="685"/>
      <c r="C91" s="685"/>
      <c r="D91" s="686"/>
      <c r="E91" s="686"/>
      <c r="F91" s="686"/>
      <c r="G91" s="686"/>
      <c r="H91" s="686"/>
      <c r="I91" s="685"/>
      <c r="J91" s="685"/>
      <c r="K91" s="686"/>
      <c r="L91" s="686"/>
      <c r="M91" s="686"/>
      <c r="N91" s="685"/>
      <c r="O91" s="685"/>
    </row>
    <row r="92" spans="1:15" ht="14.4">
      <c r="A92" s="685"/>
      <c r="B92" s="685"/>
      <c r="C92" s="685"/>
      <c r="D92" s="686"/>
      <c r="E92" s="686"/>
      <c r="F92" s="686"/>
      <c r="G92" s="686"/>
      <c r="H92" s="686"/>
      <c r="I92" s="685"/>
      <c r="J92" s="685"/>
      <c r="K92" s="686"/>
      <c r="L92" s="686"/>
      <c r="M92" s="686"/>
      <c r="N92" s="685"/>
      <c r="O92" s="685"/>
    </row>
    <row r="93" spans="1:15" ht="14.4">
      <c r="A93" s="685"/>
      <c r="B93" s="685"/>
      <c r="C93" s="685"/>
      <c r="D93" s="686"/>
      <c r="E93" s="686"/>
      <c r="F93" s="686"/>
      <c r="G93" s="686"/>
      <c r="H93" s="686"/>
      <c r="I93" s="685"/>
      <c r="J93" s="685"/>
      <c r="K93" s="686"/>
      <c r="L93" s="686"/>
      <c r="M93" s="686"/>
      <c r="N93" s="685"/>
      <c r="O93" s="685"/>
    </row>
    <row r="94" spans="1:15" ht="14.4">
      <c r="A94" s="685"/>
      <c r="B94" s="685"/>
      <c r="C94" s="685"/>
      <c r="D94" s="686"/>
      <c r="E94" s="686"/>
      <c r="F94" s="686"/>
      <c r="G94" s="686"/>
      <c r="H94" s="686"/>
      <c r="I94" s="685"/>
      <c r="J94" s="685"/>
      <c r="K94" s="686"/>
      <c r="L94" s="686"/>
      <c r="M94" s="686"/>
      <c r="N94" s="685"/>
      <c r="O94" s="685"/>
    </row>
    <row r="95" spans="1:15" ht="14.4">
      <c r="A95" s="685"/>
      <c r="B95" s="685"/>
      <c r="C95" s="685"/>
      <c r="D95" s="686"/>
      <c r="E95" s="686"/>
      <c r="F95" s="686"/>
      <c r="G95" s="686"/>
      <c r="H95" s="686"/>
      <c r="I95" s="685"/>
      <c r="J95" s="685"/>
      <c r="K95" s="686"/>
      <c r="L95" s="686"/>
      <c r="M95" s="686"/>
      <c r="N95" s="685"/>
      <c r="O95" s="685"/>
    </row>
    <row r="96" spans="1:15" ht="14.4">
      <c r="A96" s="685"/>
      <c r="B96" s="685"/>
      <c r="C96" s="685"/>
      <c r="D96" s="686"/>
      <c r="E96" s="686"/>
      <c r="F96" s="686"/>
      <c r="G96" s="686"/>
      <c r="H96" s="686"/>
      <c r="I96" s="685"/>
      <c r="J96" s="685"/>
      <c r="K96" s="686"/>
      <c r="L96" s="686"/>
      <c r="M96" s="686"/>
      <c r="N96" s="685"/>
      <c r="O96" s="685"/>
    </row>
    <row r="97" spans="1:15" ht="14.4">
      <c r="A97" s="685"/>
      <c r="B97" s="685"/>
      <c r="C97" s="685"/>
      <c r="D97" s="686"/>
      <c r="E97" s="686"/>
      <c r="F97" s="686"/>
      <c r="G97" s="686"/>
      <c r="H97" s="686"/>
      <c r="I97" s="685"/>
      <c r="J97" s="685"/>
      <c r="K97" s="686"/>
      <c r="L97" s="686"/>
      <c r="M97" s="686"/>
      <c r="N97" s="685"/>
      <c r="O97" s="685"/>
    </row>
    <row r="98" spans="1:15" ht="14.4">
      <c r="A98" s="685"/>
      <c r="B98" s="685"/>
      <c r="C98" s="685"/>
      <c r="D98" s="686"/>
      <c r="E98" s="686"/>
      <c r="F98" s="686"/>
      <c r="G98" s="686"/>
      <c r="H98" s="686"/>
      <c r="I98" s="685"/>
      <c r="J98" s="685"/>
      <c r="K98" s="686"/>
      <c r="L98" s="686"/>
      <c r="M98" s="686"/>
      <c r="N98" s="685"/>
      <c r="O98" s="685"/>
    </row>
    <row r="99" spans="1:15" ht="14.4">
      <c r="A99" s="685"/>
      <c r="B99" s="685"/>
      <c r="C99" s="685"/>
      <c r="D99" s="686"/>
      <c r="E99" s="686"/>
      <c r="F99" s="686"/>
      <c r="G99" s="686"/>
      <c r="H99" s="686"/>
      <c r="I99" s="685"/>
      <c r="J99" s="685"/>
      <c r="K99" s="686"/>
      <c r="L99" s="686"/>
      <c r="M99" s="686"/>
      <c r="N99" s="685"/>
      <c r="O99" s="685"/>
    </row>
    <row r="100" spans="1:15" ht="14.4">
      <c r="A100" s="685"/>
      <c r="B100" s="685"/>
      <c r="C100" s="685"/>
      <c r="D100" s="686"/>
      <c r="E100" s="686"/>
      <c r="F100" s="686"/>
      <c r="G100" s="686"/>
      <c r="H100" s="686"/>
      <c r="I100" s="685"/>
      <c r="J100" s="685"/>
      <c r="K100" s="686"/>
      <c r="L100" s="686"/>
      <c r="M100" s="686"/>
      <c r="N100" s="685"/>
      <c r="O100" s="685"/>
    </row>
    <row r="101" spans="1:15" ht="14.4">
      <c r="A101" s="685"/>
      <c r="B101" s="685"/>
      <c r="C101" s="685"/>
      <c r="D101" s="686"/>
      <c r="E101" s="686"/>
      <c r="F101" s="686"/>
      <c r="G101" s="686"/>
      <c r="H101" s="686"/>
      <c r="I101" s="685"/>
      <c r="J101" s="685"/>
      <c r="K101" s="686"/>
      <c r="L101" s="686"/>
      <c r="M101" s="686"/>
      <c r="N101" s="685"/>
      <c r="O101" s="685"/>
    </row>
    <row r="102" spans="1:15" ht="14.4">
      <c r="A102" s="685"/>
      <c r="B102" s="685"/>
      <c r="C102" s="685"/>
      <c r="D102" s="686"/>
      <c r="E102" s="686"/>
      <c r="F102" s="686"/>
      <c r="G102" s="686"/>
      <c r="H102" s="686"/>
      <c r="I102" s="685"/>
      <c r="J102" s="685"/>
      <c r="K102" s="686"/>
      <c r="L102" s="686"/>
      <c r="M102" s="686"/>
      <c r="N102" s="685"/>
      <c r="O102" s="685"/>
    </row>
    <row r="103" spans="1:15" ht="14.4">
      <c r="A103" s="685"/>
      <c r="B103" s="685"/>
      <c r="C103" s="685"/>
      <c r="D103" s="686"/>
      <c r="E103" s="686"/>
      <c r="F103" s="686"/>
      <c r="G103" s="686"/>
      <c r="H103" s="686"/>
      <c r="I103" s="685"/>
      <c r="J103" s="685"/>
      <c r="K103" s="686"/>
      <c r="L103" s="686"/>
      <c r="M103" s="686"/>
      <c r="N103" s="685"/>
      <c r="O103" s="685"/>
    </row>
    <row r="104" spans="1:15" ht="14.4">
      <c r="A104" s="685"/>
      <c r="B104" s="685"/>
      <c r="C104" s="685"/>
      <c r="D104" s="686"/>
      <c r="E104" s="686"/>
      <c r="F104" s="686"/>
      <c r="G104" s="686"/>
      <c r="H104" s="686"/>
      <c r="I104" s="685"/>
      <c r="J104" s="685"/>
      <c r="K104" s="686"/>
      <c r="L104" s="686"/>
      <c r="M104" s="686"/>
      <c r="N104" s="685"/>
      <c r="O104" s="685"/>
    </row>
    <row r="105" spans="1:15" ht="14.4">
      <c r="A105" s="685"/>
      <c r="B105" s="685"/>
      <c r="C105" s="685"/>
      <c r="D105" s="686"/>
      <c r="E105" s="686"/>
      <c r="F105" s="686"/>
      <c r="G105" s="686"/>
      <c r="H105" s="686"/>
      <c r="I105" s="685"/>
      <c r="J105" s="685"/>
      <c r="K105" s="686"/>
      <c r="L105" s="686"/>
      <c r="M105" s="686"/>
      <c r="N105" s="685"/>
      <c r="O105" s="685"/>
    </row>
    <row r="106" spans="1:15" ht="14.4">
      <c r="A106" s="685"/>
      <c r="B106" s="685"/>
      <c r="C106" s="685"/>
      <c r="D106" s="686"/>
      <c r="E106" s="686"/>
      <c r="F106" s="686"/>
      <c r="G106" s="686"/>
      <c r="H106" s="686"/>
      <c r="I106" s="685"/>
      <c r="J106" s="685"/>
      <c r="K106" s="686"/>
      <c r="L106" s="686"/>
      <c r="M106" s="686"/>
      <c r="N106" s="685"/>
      <c r="O106" s="685"/>
    </row>
    <row r="107" spans="1:15" ht="14.4">
      <c r="A107" s="685"/>
      <c r="B107" s="685"/>
      <c r="C107" s="685"/>
      <c r="D107" s="686"/>
      <c r="E107" s="686"/>
      <c r="F107" s="686"/>
      <c r="G107" s="686"/>
      <c r="H107" s="686"/>
      <c r="I107" s="685"/>
      <c r="J107" s="685"/>
      <c r="K107" s="686"/>
      <c r="L107" s="686"/>
      <c r="M107" s="686"/>
      <c r="N107" s="685"/>
      <c r="O107" s="685"/>
    </row>
    <row r="108" spans="1:15" ht="14.4">
      <c r="A108" s="685"/>
      <c r="B108" s="685"/>
      <c r="C108" s="685"/>
      <c r="D108" s="686"/>
      <c r="E108" s="686"/>
      <c r="F108" s="686"/>
      <c r="G108" s="686"/>
      <c r="H108" s="686"/>
      <c r="I108" s="685"/>
      <c r="J108" s="685"/>
      <c r="K108" s="686"/>
      <c r="L108" s="686"/>
      <c r="M108" s="686"/>
      <c r="N108" s="685"/>
      <c r="O108" s="685"/>
    </row>
    <row r="109" spans="1:15" ht="14.4">
      <c r="A109" s="685"/>
      <c r="B109" s="685"/>
      <c r="C109" s="685"/>
      <c r="D109" s="686"/>
      <c r="E109" s="686"/>
      <c r="F109" s="686"/>
      <c r="G109" s="686"/>
      <c r="H109" s="686"/>
      <c r="I109" s="685"/>
      <c r="J109" s="685"/>
      <c r="K109" s="686"/>
      <c r="L109" s="686"/>
      <c r="M109" s="686"/>
      <c r="N109" s="685"/>
      <c r="O109" s="685"/>
    </row>
    <row r="110" spans="1:15" ht="14.4">
      <c r="A110" s="685"/>
      <c r="B110" s="685"/>
      <c r="C110" s="685"/>
      <c r="D110" s="686"/>
      <c r="E110" s="686"/>
      <c r="F110" s="686"/>
      <c r="G110" s="686"/>
      <c r="H110" s="686"/>
      <c r="I110" s="685"/>
      <c r="J110" s="685"/>
      <c r="K110" s="686"/>
      <c r="L110" s="686"/>
      <c r="M110" s="686"/>
      <c r="N110" s="685"/>
      <c r="O110" s="685"/>
    </row>
    <row r="111" spans="1:15" ht="14.4">
      <c r="A111" s="685"/>
      <c r="B111" s="685"/>
      <c r="C111" s="685"/>
      <c r="D111" s="686"/>
      <c r="E111" s="686"/>
      <c r="F111" s="686"/>
      <c r="G111" s="686"/>
      <c r="H111" s="686"/>
      <c r="I111" s="685"/>
      <c r="J111" s="685"/>
      <c r="K111" s="686"/>
      <c r="L111" s="686"/>
      <c r="M111" s="686"/>
      <c r="N111" s="685"/>
      <c r="O111" s="685"/>
    </row>
    <row r="112" spans="1:15" ht="14.4">
      <c r="A112" s="685"/>
      <c r="B112" s="685"/>
      <c r="C112" s="685"/>
      <c r="D112" s="686"/>
      <c r="E112" s="686"/>
      <c r="F112" s="686"/>
      <c r="G112" s="686"/>
      <c r="H112" s="686"/>
      <c r="I112" s="685"/>
      <c r="J112" s="685"/>
      <c r="K112" s="686"/>
      <c r="L112" s="686"/>
      <c r="M112" s="686"/>
      <c r="N112" s="685"/>
      <c r="O112" s="685"/>
    </row>
    <row r="113" spans="1:15" ht="14.4">
      <c r="A113" s="685"/>
      <c r="B113" s="685"/>
      <c r="C113" s="685"/>
      <c r="D113" s="686"/>
      <c r="E113" s="686"/>
      <c r="F113" s="686"/>
      <c r="G113" s="686"/>
      <c r="H113" s="686"/>
      <c r="I113" s="685"/>
      <c r="J113" s="685"/>
      <c r="K113" s="686"/>
      <c r="L113" s="686"/>
      <c r="M113" s="686"/>
      <c r="N113" s="685"/>
      <c r="O113" s="685"/>
    </row>
    <row r="114" spans="1:15" ht="14.4">
      <c r="A114" s="685"/>
      <c r="B114" s="685"/>
      <c r="C114" s="685"/>
      <c r="D114" s="686"/>
      <c r="E114" s="686"/>
      <c r="F114" s="686"/>
      <c r="G114" s="686"/>
      <c r="H114" s="686"/>
      <c r="I114" s="685"/>
      <c r="J114" s="685"/>
      <c r="K114" s="686"/>
      <c r="L114" s="686"/>
      <c r="M114" s="686"/>
      <c r="N114" s="685"/>
      <c r="O114" s="685"/>
    </row>
    <row r="115" spans="1:15" ht="14.4">
      <c r="A115" s="685"/>
      <c r="B115" s="685"/>
      <c r="C115" s="685"/>
      <c r="D115" s="686"/>
      <c r="E115" s="686"/>
      <c r="F115" s="686"/>
      <c r="G115" s="686"/>
      <c r="H115" s="686"/>
      <c r="I115" s="685"/>
      <c r="J115" s="685"/>
      <c r="K115" s="686"/>
      <c r="L115" s="686"/>
      <c r="M115" s="686"/>
      <c r="N115" s="685"/>
      <c r="O115" s="685"/>
    </row>
    <row r="116" spans="1:15" ht="14.4">
      <c r="A116" s="685"/>
      <c r="B116" s="685"/>
      <c r="C116" s="685"/>
      <c r="D116" s="686"/>
      <c r="E116" s="686"/>
      <c r="F116" s="686"/>
      <c r="G116" s="686"/>
      <c r="H116" s="686"/>
      <c r="I116" s="685"/>
      <c r="J116" s="685"/>
      <c r="K116" s="686"/>
      <c r="L116" s="686"/>
      <c r="M116" s="686"/>
      <c r="N116" s="685"/>
      <c r="O116" s="685"/>
    </row>
    <row r="117" spans="1:15" ht="14.4">
      <c r="A117" s="685"/>
      <c r="B117" s="685"/>
      <c r="C117" s="685"/>
      <c r="D117" s="686"/>
      <c r="E117" s="686"/>
      <c r="F117" s="686"/>
      <c r="G117" s="686"/>
      <c r="H117" s="686"/>
      <c r="I117" s="685"/>
      <c r="J117" s="685"/>
      <c r="K117" s="686"/>
      <c r="L117" s="686"/>
      <c r="M117" s="686"/>
      <c r="N117" s="685"/>
      <c r="O117" s="685"/>
    </row>
    <row r="118" spans="1:15" ht="14.4">
      <c r="A118" s="685"/>
      <c r="B118" s="685"/>
      <c r="C118" s="685"/>
      <c r="D118" s="686"/>
      <c r="E118" s="686"/>
      <c r="F118" s="686"/>
      <c r="G118" s="686"/>
      <c r="H118" s="686"/>
      <c r="I118" s="685"/>
      <c r="J118" s="685"/>
      <c r="K118" s="686"/>
      <c r="L118" s="686"/>
      <c r="M118" s="686"/>
      <c r="N118" s="685"/>
      <c r="O118" s="685"/>
    </row>
    <row r="119" spans="1:15" ht="14.4">
      <c r="A119" s="685"/>
      <c r="B119" s="685"/>
      <c r="C119" s="685"/>
      <c r="D119" s="686"/>
      <c r="E119" s="686"/>
      <c r="F119" s="686"/>
      <c r="G119" s="686"/>
      <c r="H119" s="686"/>
      <c r="I119" s="685"/>
      <c r="J119" s="685"/>
      <c r="K119" s="686"/>
      <c r="L119" s="686"/>
      <c r="M119" s="686"/>
      <c r="N119" s="685"/>
      <c r="O119" s="685"/>
    </row>
    <row r="120" spans="1:15" ht="14.4">
      <c r="A120" s="685"/>
      <c r="B120" s="685"/>
      <c r="C120" s="685"/>
      <c r="D120" s="686"/>
      <c r="E120" s="686"/>
      <c r="F120" s="686"/>
      <c r="G120" s="686"/>
      <c r="H120" s="686"/>
      <c r="I120" s="685"/>
      <c r="J120" s="685"/>
      <c r="K120" s="686"/>
      <c r="L120" s="686"/>
      <c r="M120" s="686"/>
      <c r="N120" s="685"/>
      <c r="O120" s="685"/>
    </row>
    <row r="121" spans="1:15" ht="14.4">
      <c r="A121" s="685"/>
      <c r="B121" s="685"/>
      <c r="C121" s="685"/>
      <c r="D121" s="686"/>
      <c r="E121" s="686"/>
      <c r="F121" s="686"/>
      <c r="G121" s="686"/>
      <c r="H121" s="686"/>
      <c r="I121" s="685"/>
      <c r="J121" s="685"/>
      <c r="K121" s="686"/>
      <c r="L121" s="686"/>
      <c r="M121" s="686"/>
      <c r="N121" s="685"/>
      <c r="O121" s="685"/>
    </row>
    <row r="122" spans="1:15" ht="14.4">
      <c r="A122" s="685"/>
      <c r="B122" s="685"/>
      <c r="C122" s="685"/>
      <c r="D122" s="686"/>
      <c r="E122" s="686"/>
      <c r="F122" s="686"/>
      <c r="G122" s="686"/>
      <c r="H122" s="686"/>
      <c r="I122" s="685"/>
      <c r="J122" s="685"/>
      <c r="K122" s="686"/>
      <c r="L122" s="686"/>
      <c r="M122" s="686"/>
      <c r="N122" s="685"/>
      <c r="O122" s="685"/>
    </row>
    <row r="123" spans="1:15" ht="14.4">
      <c r="A123" s="685"/>
      <c r="B123" s="685"/>
      <c r="C123" s="685"/>
      <c r="D123" s="686"/>
      <c r="E123" s="686"/>
      <c r="F123" s="686"/>
      <c r="G123" s="686"/>
      <c r="H123" s="686"/>
      <c r="I123" s="685"/>
      <c r="J123" s="685"/>
      <c r="K123" s="686"/>
      <c r="L123" s="686"/>
      <c r="M123" s="686"/>
      <c r="N123" s="685"/>
      <c r="O123" s="685"/>
    </row>
    <row r="124" spans="1:15" ht="14.4">
      <c r="A124" s="685"/>
      <c r="B124" s="685"/>
      <c r="C124" s="685"/>
      <c r="D124" s="686"/>
      <c r="E124" s="686"/>
      <c r="F124" s="686"/>
      <c r="G124" s="686"/>
      <c r="H124" s="686"/>
      <c r="I124" s="685"/>
      <c r="J124" s="685"/>
      <c r="K124" s="686"/>
      <c r="L124" s="686"/>
      <c r="M124" s="686"/>
      <c r="N124" s="685"/>
      <c r="O124" s="685"/>
    </row>
    <row r="125" spans="1:15" ht="14.4">
      <c r="A125" s="685"/>
      <c r="B125" s="685"/>
      <c r="C125" s="685"/>
      <c r="D125" s="686"/>
      <c r="E125" s="686"/>
      <c r="F125" s="686"/>
      <c r="G125" s="686"/>
      <c r="H125" s="686"/>
      <c r="I125" s="685"/>
      <c r="J125" s="685"/>
      <c r="K125" s="686"/>
      <c r="L125" s="686"/>
      <c r="M125" s="686"/>
      <c r="N125" s="685"/>
      <c r="O125" s="685"/>
    </row>
    <row r="126" spans="1:15" ht="14.4">
      <c r="A126" s="685"/>
      <c r="B126" s="685"/>
      <c r="C126" s="685"/>
      <c r="D126" s="686"/>
      <c r="E126" s="686"/>
      <c r="F126" s="686"/>
      <c r="G126" s="686"/>
      <c r="H126" s="686"/>
      <c r="I126" s="685"/>
      <c r="J126" s="685"/>
      <c r="K126" s="686"/>
      <c r="L126" s="686"/>
      <c r="M126" s="686"/>
      <c r="N126" s="685"/>
      <c r="O126" s="685"/>
    </row>
    <row r="127" spans="1:15" ht="14.4">
      <c r="A127" s="685"/>
      <c r="B127" s="685"/>
      <c r="C127" s="685"/>
      <c r="D127" s="686"/>
      <c r="E127" s="686"/>
      <c r="F127" s="686"/>
      <c r="G127" s="686"/>
      <c r="H127" s="686"/>
      <c r="I127" s="685"/>
      <c r="J127" s="685"/>
      <c r="K127" s="686"/>
      <c r="L127" s="686"/>
      <c r="M127" s="686"/>
      <c r="N127" s="685"/>
      <c r="O127" s="685"/>
    </row>
    <row r="128" spans="1:15" ht="14.4">
      <c r="A128" s="685"/>
      <c r="B128" s="685"/>
      <c r="C128" s="685"/>
      <c r="D128" s="686"/>
      <c r="E128" s="686"/>
      <c r="F128" s="686"/>
      <c r="G128" s="686"/>
      <c r="H128" s="686"/>
      <c r="I128" s="685"/>
      <c r="J128" s="685"/>
      <c r="K128" s="686"/>
      <c r="L128" s="686"/>
      <c r="M128" s="686"/>
      <c r="N128" s="685"/>
      <c r="O128" s="685"/>
    </row>
    <row r="129" spans="1:15" ht="14.4">
      <c r="A129" s="685"/>
      <c r="B129" s="685"/>
      <c r="C129" s="685"/>
      <c r="D129" s="686"/>
      <c r="E129" s="686"/>
      <c r="F129" s="686"/>
      <c r="G129" s="686"/>
      <c r="H129" s="686"/>
      <c r="I129" s="685"/>
      <c r="J129" s="685"/>
      <c r="K129" s="686"/>
      <c r="L129" s="686"/>
      <c r="M129" s="686"/>
      <c r="N129" s="685"/>
      <c r="O129" s="685"/>
    </row>
    <row r="130" spans="1:15" ht="14.4">
      <c r="A130" s="685"/>
      <c r="B130" s="685"/>
      <c r="C130" s="685"/>
      <c r="D130" s="686"/>
      <c r="E130" s="686"/>
      <c r="F130" s="686"/>
      <c r="G130" s="686"/>
      <c r="H130" s="686"/>
      <c r="I130" s="685"/>
      <c r="J130" s="685"/>
      <c r="K130" s="686"/>
      <c r="L130" s="686"/>
      <c r="M130" s="686"/>
      <c r="N130" s="685"/>
      <c r="O130" s="685"/>
    </row>
    <row r="131" spans="1:15" ht="14.4">
      <c r="A131" s="685"/>
      <c r="B131" s="685"/>
      <c r="C131" s="685"/>
      <c r="D131" s="686"/>
      <c r="E131" s="686"/>
      <c r="F131" s="686"/>
      <c r="G131" s="686"/>
      <c r="H131" s="686"/>
      <c r="I131" s="685"/>
      <c r="J131" s="685"/>
      <c r="K131" s="686"/>
      <c r="L131" s="686"/>
      <c r="M131" s="686"/>
      <c r="N131" s="685"/>
      <c r="O131" s="685"/>
    </row>
    <row r="132" spans="1:15" ht="14.4">
      <c r="A132" s="685"/>
      <c r="B132" s="685"/>
      <c r="C132" s="685"/>
      <c r="D132" s="686"/>
      <c r="E132" s="686"/>
      <c r="F132" s="686"/>
      <c r="G132" s="686"/>
      <c r="H132" s="686"/>
      <c r="I132" s="685"/>
      <c r="J132" s="685"/>
      <c r="K132" s="686"/>
      <c r="L132" s="686"/>
      <c r="M132" s="686"/>
      <c r="N132" s="685"/>
      <c r="O132" s="685"/>
    </row>
    <row r="133" spans="1:15" ht="14.4">
      <c r="A133" s="685"/>
      <c r="B133" s="685"/>
      <c r="C133" s="685"/>
      <c r="D133" s="686"/>
      <c r="E133" s="686"/>
      <c r="F133" s="686"/>
      <c r="G133" s="686"/>
      <c r="H133" s="686"/>
      <c r="I133" s="685"/>
      <c r="J133" s="685"/>
      <c r="K133" s="686"/>
      <c r="L133" s="686"/>
      <c r="M133" s="686"/>
      <c r="N133" s="685"/>
      <c r="O133" s="685"/>
    </row>
    <row r="134" spans="1:15" ht="14.4">
      <c r="A134" s="685"/>
      <c r="B134" s="685"/>
      <c r="C134" s="685"/>
      <c r="D134" s="686"/>
      <c r="E134" s="686"/>
      <c r="F134" s="686"/>
      <c r="G134" s="686"/>
      <c r="H134" s="686"/>
      <c r="I134" s="685"/>
      <c r="J134" s="685"/>
      <c r="K134" s="686"/>
      <c r="L134" s="686"/>
      <c r="M134" s="686"/>
      <c r="N134" s="685"/>
      <c r="O134" s="685"/>
    </row>
    <row r="135" spans="1:15" ht="14.4">
      <c r="A135" s="685"/>
      <c r="B135" s="685"/>
      <c r="C135" s="685"/>
      <c r="D135" s="686"/>
      <c r="E135" s="686"/>
      <c r="F135" s="686"/>
      <c r="G135" s="686"/>
      <c r="H135" s="686"/>
      <c r="I135" s="685"/>
      <c r="J135" s="685"/>
      <c r="K135" s="686"/>
      <c r="L135" s="686"/>
      <c r="M135" s="686"/>
      <c r="N135" s="685"/>
      <c r="O135" s="685"/>
    </row>
    <row r="136" spans="1:15" ht="14.4">
      <c r="A136" s="685"/>
      <c r="B136" s="685"/>
      <c r="C136" s="685"/>
      <c r="D136" s="686"/>
      <c r="E136" s="686"/>
      <c r="F136" s="686"/>
      <c r="G136" s="686"/>
      <c r="H136" s="686"/>
      <c r="I136" s="685"/>
      <c r="J136" s="685"/>
      <c r="K136" s="686"/>
      <c r="L136" s="686"/>
      <c r="M136" s="686"/>
      <c r="N136" s="685"/>
      <c r="O136" s="685"/>
    </row>
    <row r="137" spans="1:15" ht="14.4">
      <c r="A137" s="685"/>
      <c r="B137" s="685"/>
      <c r="C137" s="685"/>
      <c r="D137" s="686"/>
      <c r="E137" s="686"/>
      <c r="F137" s="686"/>
      <c r="G137" s="686"/>
      <c r="H137" s="686"/>
      <c r="I137" s="685"/>
      <c r="J137" s="685"/>
      <c r="K137" s="686"/>
      <c r="L137" s="686"/>
      <c r="M137" s="686"/>
      <c r="N137" s="685"/>
      <c r="O137" s="685"/>
    </row>
    <row r="138" spans="1:15" ht="14.4">
      <c r="A138" s="685"/>
      <c r="B138" s="685"/>
      <c r="C138" s="685"/>
      <c r="D138" s="686"/>
      <c r="E138" s="686"/>
      <c r="F138" s="686"/>
      <c r="G138" s="686"/>
      <c r="H138" s="686"/>
      <c r="I138" s="685"/>
      <c r="J138" s="685"/>
      <c r="K138" s="686"/>
      <c r="L138" s="686"/>
      <c r="M138" s="686"/>
      <c r="N138" s="685"/>
      <c r="O138" s="685"/>
    </row>
    <row r="139" spans="1:15" ht="14.4">
      <c r="A139" s="685"/>
      <c r="B139" s="685"/>
      <c r="C139" s="685"/>
      <c r="D139" s="686"/>
      <c r="E139" s="686"/>
      <c r="F139" s="686"/>
      <c r="G139" s="686"/>
      <c r="H139" s="686"/>
      <c r="I139" s="685"/>
      <c r="J139" s="685"/>
      <c r="K139" s="686"/>
      <c r="L139" s="686"/>
      <c r="M139" s="686"/>
      <c r="N139" s="685"/>
      <c r="O139" s="685"/>
    </row>
    <row r="140" spans="1:15" ht="14.4">
      <c r="A140" s="685"/>
      <c r="B140" s="685"/>
      <c r="C140" s="685"/>
      <c r="D140" s="686"/>
      <c r="E140" s="686"/>
      <c r="F140" s="686"/>
      <c r="G140" s="686"/>
      <c r="H140" s="686"/>
      <c r="I140" s="685"/>
      <c r="J140" s="685"/>
      <c r="K140" s="686"/>
      <c r="L140" s="686"/>
      <c r="M140" s="686"/>
      <c r="N140" s="685"/>
      <c r="O140" s="685"/>
    </row>
    <row r="141" spans="1:15" ht="14.4">
      <c r="A141" s="685"/>
      <c r="B141" s="685"/>
      <c r="C141" s="685"/>
      <c r="D141" s="686"/>
      <c r="E141" s="686"/>
      <c r="F141" s="686"/>
      <c r="G141" s="686"/>
      <c r="H141" s="686"/>
      <c r="I141" s="685"/>
      <c r="J141" s="685"/>
      <c r="K141" s="686"/>
      <c r="L141" s="686"/>
      <c r="M141" s="686"/>
      <c r="N141" s="685"/>
      <c r="O141" s="685"/>
    </row>
    <row r="142" spans="1:15" ht="14.4">
      <c r="A142" s="685"/>
      <c r="B142" s="685"/>
      <c r="C142" s="685"/>
      <c r="D142" s="686"/>
      <c r="E142" s="686"/>
      <c r="F142" s="686"/>
      <c r="G142" s="686"/>
      <c r="H142" s="686"/>
      <c r="I142" s="685"/>
      <c r="J142" s="685"/>
      <c r="K142" s="686"/>
      <c r="L142" s="686"/>
      <c r="M142" s="686"/>
      <c r="N142" s="685"/>
      <c r="O142" s="685"/>
    </row>
    <row r="143" spans="1:15" ht="14.4">
      <c r="A143" s="685"/>
      <c r="B143" s="685"/>
      <c r="C143" s="685"/>
      <c r="D143" s="686"/>
      <c r="E143" s="686"/>
      <c r="F143" s="686"/>
      <c r="G143" s="686"/>
      <c r="H143" s="686"/>
      <c r="I143" s="685"/>
      <c r="J143" s="685"/>
      <c r="K143" s="686"/>
      <c r="L143" s="686"/>
      <c r="M143" s="686"/>
      <c r="N143" s="685"/>
      <c r="O143" s="685"/>
    </row>
    <row r="144" spans="1:15" ht="14.4">
      <c r="A144" s="685"/>
      <c r="B144" s="685"/>
      <c r="C144" s="685"/>
      <c r="D144" s="686"/>
      <c r="E144" s="686"/>
      <c r="F144" s="686"/>
      <c r="G144" s="686"/>
      <c r="H144" s="686"/>
      <c r="I144" s="685"/>
      <c r="J144" s="685"/>
      <c r="K144" s="686"/>
      <c r="L144" s="686"/>
      <c r="M144" s="686"/>
      <c r="N144" s="685"/>
      <c r="O144" s="685"/>
    </row>
    <row r="145" spans="1:15" ht="14.4">
      <c r="A145" s="685"/>
      <c r="B145" s="685"/>
      <c r="C145" s="685"/>
      <c r="D145" s="686"/>
      <c r="E145" s="686"/>
      <c r="F145" s="686"/>
      <c r="G145" s="686"/>
      <c r="H145" s="686"/>
      <c r="I145" s="685"/>
      <c r="J145" s="685"/>
      <c r="K145" s="686"/>
      <c r="L145" s="686"/>
      <c r="M145" s="686"/>
      <c r="N145" s="685"/>
      <c r="O145" s="685"/>
    </row>
    <row r="146" spans="1:15" ht="14.4">
      <c r="A146" s="685"/>
      <c r="B146" s="685"/>
      <c r="C146" s="685"/>
      <c r="D146" s="686"/>
      <c r="E146" s="686"/>
      <c r="F146" s="686"/>
      <c r="G146" s="686"/>
      <c r="H146" s="686"/>
      <c r="I146" s="685"/>
      <c r="J146" s="685"/>
      <c r="K146" s="686"/>
      <c r="L146" s="686"/>
      <c r="M146" s="686"/>
      <c r="N146" s="685"/>
      <c r="O146" s="685"/>
    </row>
    <row r="147" spans="1:15" ht="14.4">
      <c r="A147" s="685"/>
      <c r="B147" s="685"/>
      <c r="C147" s="685"/>
      <c r="D147" s="686"/>
      <c r="E147" s="686"/>
      <c r="F147" s="686"/>
      <c r="G147" s="686"/>
      <c r="H147" s="686"/>
      <c r="I147" s="685"/>
      <c r="J147" s="685"/>
      <c r="K147" s="686"/>
      <c r="L147" s="686"/>
      <c r="M147" s="686"/>
      <c r="N147" s="685"/>
      <c r="O147" s="685"/>
    </row>
    <row r="148" spans="1:15" ht="14.4">
      <c r="A148" s="685"/>
      <c r="B148" s="685"/>
      <c r="C148" s="685"/>
      <c r="D148" s="686"/>
      <c r="E148" s="686"/>
      <c r="F148" s="686"/>
      <c r="G148" s="686"/>
      <c r="H148" s="686"/>
      <c r="I148" s="685"/>
      <c r="J148" s="685"/>
      <c r="K148" s="686"/>
      <c r="L148" s="686"/>
      <c r="M148" s="686"/>
      <c r="N148" s="685"/>
      <c r="O148" s="685"/>
    </row>
    <row r="149" spans="1:15" ht="14.4">
      <c r="A149" s="685"/>
      <c r="B149" s="685"/>
      <c r="C149" s="685"/>
      <c r="D149" s="686"/>
      <c r="E149" s="686"/>
      <c r="F149" s="686"/>
      <c r="G149" s="686"/>
      <c r="H149" s="686"/>
      <c r="I149" s="685"/>
      <c r="J149" s="685"/>
      <c r="K149" s="686"/>
      <c r="L149" s="686"/>
      <c r="M149" s="686"/>
      <c r="N149" s="685"/>
      <c r="O149" s="685"/>
    </row>
    <row r="150" spans="1:15" ht="14.4">
      <c r="A150" s="685"/>
      <c r="B150" s="685"/>
      <c r="C150" s="685"/>
      <c r="D150" s="686"/>
      <c r="E150" s="686"/>
      <c r="F150" s="686"/>
      <c r="G150" s="686"/>
      <c r="H150" s="686"/>
      <c r="I150" s="685"/>
      <c r="J150" s="685"/>
      <c r="K150" s="686"/>
      <c r="L150" s="686"/>
      <c r="M150" s="686"/>
      <c r="N150" s="685"/>
      <c r="O150" s="685"/>
    </row>
    <row r="151" spans="1:15" ht="14.4">
      <c r="A151" s="685"/>
      <c r="B151" s="685"/>
      <c r="C151" s="685"/>
      <c r="D151" s="686"/>
      <c r="E151" s="686"/>
      <c r="F151" s="686"/>
      <c r="G151" s="686"/>
      <c r="H151" s="686"/>
      <c r="I151" s="685"/>
      <c r="J151" s="685"/>
      <c r="K151" s="686"/>
      <c r="L151" s="686"/>
      <c r="M151" s="686"/>
      <c r="N151" s="685"/>
      <c r="O151" s="685"/>
    </row>
    <row r="152" spans="1:15" ht="14.4">
      <c r="A152" s="685"/>
      <c r="B152" s="685"/>
      <c r="C152" s="685"/>
      <c r="D152" s="686"/>
      <c r="E152" s="686"/>
      <c r="F152" s="686"/>
      <c r="G152" s="686"/>
      <c r="H152" s="686"/>
      <c r="I152" s="685"/>
      <c r="J152" s="685"/>
      <c r="K152" s="686"/>
      <c r="L152" s="686"/>
      <c r="M152" s="686"/>
      <c r="N152" s="685"/>
      <c r="O152" s="685"/>
    </row>
    <row r="153" spans="1:15" ht="14.4">
      <c r="A153" s="685"/>
      <c r="B153" s="685"/>
      <c r="C153" s="685"/>
      <c r="D153" s="686"/>
      <c r="E153" s="686"/>
      <c r="F153" s="686"/>
      <c r="G153" s="686"/>
      <c r="H153" s="686"/>
      <c r="I153" s="685"/>
      <c r="J153" s="685"/>
      <c r="K153" s="686"/>
      <c r="L153" s="686"/>
      <c r="M153" s="686"/>
      <c r="N153" s="685"/>
      <c r="O153" s="685"/>
    </row>
    <row r="154" spans="1:15" ht="14.4">
      <c r="A154" s="685"/>
      <c r="B154" s="685"/>
      <c r="C154" s="685"/>
      <c r="D154" s="686"/>
      <c r="E154" s="686"/>
      <c r="F154" s="686"/>
      <c r="G154" s="686"/>
      <c r="H154" s="686"/>
      <c r="I154" s="685"/>
      <c r="J154" s="685"/>
      <c r="K154" s="686"/>
      <c r="L154" s="686"/>
      <c r="M154" s="686"/>
      <c r="N154" s="685"/>
      <c r="O154" s="685"/>
    </row>
    <row r="155" spans="1:15" ht="14.4">
      <c r="A155" s="685"/>
      <c r="B155" s="685"/>
      <c r="C155" s="685"/>
      <c r="D155" s="686"/>
      <c r="E155" s="686"/>
      <c r="F155" s="686"/>
      <c r="G155" s="686"/>
      <c r="H155" s="686"/>
      <c r="I155" s="685"/>
      <c r="J155" s="685"/>
      <c r="K155" s="686"/>
      <c r="L155" s="686"/>
      <c r="M155" s="686"/>
      <c r="N155" s="685"/>
      <c r="O155" s="685"/>
    </row>
    <row r="156" spans="1:15" ht="14.4">
      <c r="A156" s="685"/>
      <c r="B156" s="685"/>
      <c r="C156" s="685"/>
      <c r="D156" s="686"/>
      <c r="E156" s="686"/>
      <c r="F156" s="686"/>
      <c r="G156" s="686"/>
      <c r="H156" s="686"/>
      <c r="I156" s="685"/>
      <c r="J156" s="685"/>
      <c r="K156" s="686"/>
      <c r="L156" s="686"/>
      <c r="M156" s="686"/>
      <c r="N156" s="685"/>
      <c r="O156" s="685"/>
    </row>
    <row r="157" spans="1:15" ht="14.4">
      <c r="A157" s="683"/>
      <c r="B157" s="683"/>
      <c r="C157" s="683"/>
      <c r="D157" s="687"/>
      <c r="E157" s="687"/>
      <c r="F157" s="687"/>
      <c r="G157" s="687"/>
      <c r="H157" s="687"/>
      <c r="I157" s="683"/>
      <c r="J157" s="683"/>
      <c r="K157" s="687"/>
      <c r="L157" s="687"/>
      <c r="M157" s="687"/>
      <c r="N157" s="683"/>
      <c r="O157" s="683"/>
    </row>
    <row r="158" spans="1:15" ht="14.4">
      <c r="A158" s="683"/>
      <c r="B158" s="683"/>
      <c r="C158" s="683"/>
      <c r="D158" s="687"/>
      <c r="E158" s="687"/>
      <c r="F158" s="687"/>
      <c r="G158" s="687"/>
      <c r="H158" s="687"/>
      <c r="I158" s="683"/>
      <c r="J158" s="683"/>
      <c r="K158" s="687"/>
      <c r="L158" s="687"/>
      <c r="M158" s="687"/>
      <c r="N158" s="683"/>
      <c r="O158" s="683"/>
    </row>
    <row r="159" spans="1:15" ht="14.4">
      <c r="A159" s="685"/>
      <c r="B159" s="685"/>
      <c r="C159" s="685"/>
      <c r="D159" s="686"/>
      <c r="E159" s="686"/>
      <c r="F159" s="686"/>
      <c r="G159" s="686"/>
      <c r="H159" s="686"/>
      <c r="I159" s="685"/>
      <c r="J159" s="685"/>
      <c r="K159" s="686"/>
      <c r="L159" s="686"/>
      <c r="M159" s="686"/>
      <c r="N159" s="685"/>
      <c r="O159" s="685"/>
    </row>
    <row r="160" spans="1:15" ht="14.4">
      <c r="A160" s="685"/>
      <c r="B160" s="685"/>
      <c r="C160" s="685"/>
      <c r="D160" s="686"/>
      <c r="E160" s="686"/>
      <c r="F160" s="686"/>
      <c r="G160" s="686"/>
      <c r="H160" s="686"/>
      <c r="I160" s="685"/>
      <c r="J160" s="685"/>
      <c r="K160" s="686"/>
      <c r="L160" s="686"/>
      <c r="M160" s="686"/>
      <c r="N160" s="685"/>
      <c r="O160" s="685"/>
    </row>
    <row r="161" spans="1:15" ht="14.4">
      <c r="A161" s="685"/>
      <c r="B161" s="685"/>
      <c r="C161" s="685"/>
      <c r="D161" s="686"/>
      <c r="E161" s="686"/>
      <c r="F161" s="686"/>
      <c r="G161" s="686"/>
      <c r="H161" s="686"/>
      <c r="I161" s="685"/>
      <c r="J161" s="685"/>
      <c r="K161" s="686"/>
      <c r="L161" s="686"/>
      <c r="M161" s="686"/>
      <c r="N161" s="685"/>
      <c r="O161" s="685"/>
    </row>
    <row r="162" spans="1:15" ht="14.4">
      <c r="A162" s="685"/>
      <c r="B162" s="685"/>
      <c r="C162" s="685"/>
      <c r="D162" s="686"/>
      <c r="E162" s="686"/>
      <c r="F162" s="686"/>
      <c r="G162" s="686"/>
      <c r="H162" s="686"/>
      <c r="I162" s="685"/>
      <c r="J162" s="685"/>
      <c r="K162" s="686"/>
      <c r="L162" s="686"/>
      <c r="M162" s="686"/>
      <c r="N162" s="685"/>
      <c r="O162" s="685"/>
    </row>
    <row r="163" spans="1:15" ht="14.4">
      <c r="A163" s="685"/>
      <c r="B163" s="685"/>
      <c r="C163" s="685"/>
      <c r="D163" s="686"/>
      <c r="E163" s="686"/>
      <c r="F163" s="686"/>
      <c r="G163" s="686"/>
      <c r="H163" s="686"/>
      <c r="I163" s="685"/>
      <c r="J163" s="685"/>
      <c r="K163" s="686"/>
      <c r="L163" s="686"/>
      <c r="M163" s="686"/>
      <c r="N163" s="685"/>
      <c r="O163" s="685"/>
    </row>
    <row r="164" spans="1:15" ht="14.4">
      <c r="A164" s="683"/>
      <c r="B164" s="683"/>
      <c r="C164" s="683"/>
      <c r="D164" s="687"/>
      <c r="E164" s="687"/>
      <c r="F164" s="687"/>
      <c r="G164" s="687"/>
      <c r="H164" s="687"/>
      <c r="I164" s="683"/>
      <c r="J164" s="683"/>
      <c r="K164" s="687"/>
      <c r="L164" s="687"/>
      <c r="M164" s="687"/>
      <c r="N164" s="683"/>
      <c r="O164" s="683"/>
    </row>
    <row r="165" spans="1:15" ht="14.4">
      <c r="A165" s="685"/>
      <c r="B165" s="685"/>
      <c r="C165" s="685"/>
      <c r="D165" s="686"/>
      <c r="E165" s="686"/>
      <c r="F165" s="686"/>
      <c r="G165" s="686"/>
      <c r="H165" s="686"/>
      <c r="I165" s="685"/>
      <c r="J165" s="685"/>
      <c r="K165" s="686"/>
      <c r="L165" s="686"/>
      <c r="M165" s="686"/>
      <c r="N165" s="685"/>
      <c r="O165" s="685"/>
    </row>
    <row r="166" spans="1:15" ht="14.4">
      <c r="A166" s="685"/>
      <c r="B166" s="685"/>
      <c r="C166" s="685"/>
      <c r="D166" s="686"/>
      <c r="E166" s="686"/>
      <c r="F166" s="686"/>
      <c r="G166" s="686"/>
      <c r="H166" s="686"/>
      <c r="I166" s="685"/>
      <c r="J166" s="685"/>
      <c r="K166" s="686"/>
      <c r="L166" s="686"/>
      <c r="M166" s="686"/>
      <c r="N166" s="685"/>
      <c r="O166" s="685"/>
    </row>
    <row r="167" spans="1:15" ht="14.4">
      <c r="A167" s="685"/>
      <c r="B167" s="685"/>
      <c r="C167" s="685"/>
      <c r="D167" s="686"/>
      <c r="E167" s="686"/>
      <c r="F167" s="686"/>
      <c r="G167" s="686"/>
      <c r="H167" s="686"/>
      <c r="I167" s="685"/>
      <c r="J167" s="685"/>
      <c r="K167" s="686"/>
      <c r="L167" s="686"/>
      <c r="M167" s="686"/>
      <c r="N167" s="685"/>
      <c r="O167" s="685"/>
    </row>
    <row r="168" spans="1:15" ht="14.4">
      <c r="A168" s="685"/>
      <c r="B168" s="685"/>
      <c r="C168" s="685"/>
      <c r="D168" s="686"/>
      <c r="E168" s="686"/>
      <c r="F168" s="686"/>
      <c r="G168" s="686"/>
      <c r="H168" s="686"/>
      <c r="I168" s="685"/>
      <c r="J168" s="685"/>
      <c r="K168" s="686"/>
      <c r="L168" s="686"/>
      <c r="M168" s="686"/>
      <c r="N168" s="685"/>
      <c r="O168" s="685"/>
    </row>
    <row r="169" spans="1:15" ht="14.4">
      <c r="A169" s="685"/>
      <c r="B169" s="685"/>
      <c r="C169" s="685"/>
      <c r="D169" s="686"/>
      <c r="E169" s="686"/>
      <c r="F169" s="686"/>
      <c r="G169" s="686"/>
      <c r="H169" s="686"/>
      <c r="I169" s="685"/>
      <c r="J169" s="685"/>
      <c r="K169" s="686"/>
      <c r="L169" s="686"/>
      <c r="M169" s="686"/>
      <c r="N169" s="685"/>
      <c r="O169" s="685"/>
    </row>
    <row r="170" spans="1:15" ht="14.4">
      <c r="A170" s="683"/>
      <c r="B170" s="683"/>
      <c r="C170" s="683"/>
      <c r="D170" s="687"/>
      <c r="E170" s="687"/>
      <c r="F170" s="687"/>
      <c r="G170" s="687"/>
      <c r="H170" s="687"/>
      <c r="I170" s="683"/>
      <c r="J170" s="683"/>
      <c r="K170" s="687"/>
      <c r="L170" s="687"/>
      <c r="M170" s="687"/>
      <c r="N170" s="683"/>
      <c r="O170" s="683"/>
    </row>
  </sheetData>
  <dataValidations count="1">
    <dataValidation type="list" allowBlank="1" showInputMessage="1" showErrorMessage="1" sqref="U3" xr:uid="{2F26F169-9F7F-462C-89B3-F191D8DC7F28}">
      <formula1>$AD$165:$AD$166</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0"/>
    <pageSetUpPr fitToPage="1"/>
  </sheetPr>
  <dimension ref="A1:L44"/>
  <sheetViews>
    <sheetView topLeftCell="A6" zoomScale="90" zoomScaleNormal="100" workbookViewId="0">
      <selection activeCell="B48" sqref="B48"/>
    </sheetView>
  </sheetViews>
  <sheetFormatPr defaultColWidth="9.21875" defaultRowHeight="13.8"/>
  <cols>
    <col min="1" max="1" width="3.5546875" style="2" customWidth="1"/>
    <col min="2" max="2" width="110.44140625" style="77" customWidth="1"/>
    <col min="3" max="3" width="3" style="77" customWidth="1"/>
    <col min="4" max="4" width="10.77734375" style="2" customWidth="1"/>
    <col min="5" max="5" width="2.77734375" style="2" customWidth="1"/>
    <col min="6" max="6" width="10.77734375" style="2" customWidth="1"/>
    <col min="7" max="16384" width="9.21875" style="2"/>
  </cols>
  <sheetData>
    <row r="1" spans="1:12" s="74" customFormat="1" ht="25.2" hidden="1" customHeight="1">
      <c r="A1" s="624" t="str">
        <f>'b) Template'!A1:N1</f>
        <v>2026/27 Budget Monitoring</v>
      </c>
      <c r="B1" s="624"/>
      <c r="C1" s="624"/>
      <c r="D1" s="624"/>
      <c r="E1" s="624"/>
      <c r="F1" s="73"/>
      <c r="G1" s="73"/>
    </row>
    <row r="2" spans="1:12" s="74" customFormat="1" hidden="1">
      <c r="B2" s="75"/>
      <c r="C2" s="75"/>
      <c r="D2" s="73"/>
      <c r="E2" s="73"/>
      <c r="F2" s="73"/>
      <c r="G2" s="73"/>
    </row>
    <row r="3" spans="1:12" s="74" customFormat="1" ht="33.6" hidden="1" customHeight="1">
      <c r="A3" s="599">
        <f>'a) School Summary'!E8</f>
        <v>45473</v>
      </c>
      <c r="B3" s="599"/>
      <c r="C3" s="599"/>
      <c r="D3" s="599"/>
      <c r="E3" s="73"/>
      <c r="F3" s="73"/>
      <c r="G3" s="73"/>
    </row>
    <row r="4" spans="1:12" s="74" customFormat="1" ht="8.25" customHeight="1">
      <c r="B4" s="183"/>
      <c r="C4" s="75"/>
      <c r="D4" s="73"/>
      <c r="E4" s="73"/>
      <c r="F4" s="73"/>
      <c r="G4" s="73"/>
    </row>
    <row r="5" spans="1:12" s="74" customFormat="1" ht="30">
      <c r="B5" s="355" t="s">
        <v>452</v>
      </c>
      <c r="C5" s="76"/>
      <c r="D5" s="73"/>
      <c r="E5" s="73"/>
      <c r="F5" s="73"/>
      <c r="G5" s="73"/>
    </row>
    <row r="6" spans="1:12" ht="6.75" customHeight="1"/>
    <row r="7" spans="1:12" s="78" customFormat="1" ht="86.25" customHeight="1">
      <c r="B7" s="627" t="s">
        <v>1467</v>
      </c>
      <c r="C7" s="627"/>
      <c r="D7" s="627"/>
      <c r="E7" s="627"/>
      <c r="F7" s="79"/>
    </row>
    <row r="8" spans="1:12" s="3" customFormat="1">
      <c r="B8" s="179" t="str">
        <f>'a) School Summary'!B6</f>
        <v>Please Click on Arrow to Choose School</v>
      </c>
      <c r="D8" s="81" t="s">
        <v>1518</v>
      </c>
      <c r="F8" s="642" t="s">
        <v>1466</v>
      </c>
      <c r="G8" s="642"/>
      <c r="H8" s="642"/>
      <c r="I8" s="642"/>
      <c r="J8" s="642"/>
      <c r="K8" s="642"/>
      <c r="L8" s="642"/>
    </row>
    <row r="9" spans="1:12" s="3" customFormat="1" ht="14.4" thickBot="1"/>
    <row r="10" spans="1:12" ht="14.55" customHeight="1">
      <c r="A10" s="2">
        <v>1</v>
      </c>
      <c r="B10" s="77" t="s">
        <v>453</v>
      </c>
      <c r="D10" s="625" t="str">
        <f>IF('b) Template'!K70='b) Template'!K126,"YES","NO")</f>
        <v>YES</v>
      </c>
      <c r="F10" s="636"/>
      <c r="G10" s="637"/>
      <c r="H10" s="637"/>
      <c r="I10" s="637"/>
      <c r="J10" s="637"/>
      <c r="K10" s="637"/>
      <c r="L10" s="638"/>
    </row>
    <row r="11" spans="1:12" ht="15" thickBot="1">
      <c r="B11" s="80" t="s">
        <v>1435</v>
      </c>
      <c r="D11" s="626"/>
      <c r="F11" s="639"/>
      <c r="G11" s="640"/>
      <c r="H11" s="640"/>
      <c r="I11" s="640"/>
      <c r="J11" s="640"/>
      <c r="K11" s="640"/>
      <c r="L11" s="641"/>
    </row>
    <row r="12" spans="1:12" ht="15" thickBot="1">
      <c r="B12" s="82"/>
      <c r="D12" s="5"/>
      <c r="F12" s="80"/>
    </row>
    <row r="13" spans="1:12" ht="14.55" customHeight="1">
      <c r="A13" s="2">
        <v>2</v>
      </c>
      <c r="B13" s="77" t="s">
        <v>1517</v>
      </c>
      <c r="D13" s="622" t="str">
        <f>IF('b) Template'!K78&gt;0,"YES","NO")</f>
        <v>NO</v>
      </c>
      <c r="F13" s="636"/>
      <c r="G13" s="637"/>
      <c r="H13" s="637"/>
      <c r="I13" s="637"/>
      <c r="J13" s="637"/>
      <c r="K13" s="637"/>
      <c r="L13" s="638"/>
    </row>
    <row r="14" spans="1:12" ht="15" thickBot="1">
      <c r="B14" s="80" t="s">
        <v>454</v>
      </c>
      <c r="D14" s="623"/>
      <c r="F14" s="639"/>
      <c r="G14" s="640"/>
      <c r="H14" s="640"/>
      <c r="I14" s="640"/>
      <c r="J14" s="640"/>
      <c r="K14" s="640"/>
      <c r="L14" s="641"/>
    </row>
    <row r="15" spans="1:12" ht="15" thickBot="1">
      <c r="B15" s="82"/>
      <c r="D15" s="5"/>
      <c r="F15" s="80"/>
    </row>
    <row r="16" spans="1:12" ht="14.55" customHeight="1">
      <c r="A16" s="2">
        <v>3</v>
      </c>
      <c r="B16" s="77" t="s">
        <v>1519</v>
      </c>
      <c r="D16" s="622" t="str">
        <f>IF('b) Template'!K101&gt;0,"YES","NO")</f>
        <v>NO</v>
      </c>
      <c r="F16" s="636"/>
      <c r="G16" s="637"/>
      <c r="H16" s="637"/>
      <c r="I16" s="637"/>
      <c r="J16" s="637"/>
      <c r="K16" s="637"/>
      <c r="L16" s="638"/>
    </row>
    <row r="17" spans="1:12" ht="15" thickBot="1">
      <c r="B17" s="80" t="s">
        <v>454</v>
      </c>
      <c r="D17" s="623"/>
      <c r="F17" s="639"/>
      <c r="G17" s="640"/>
      <c r="H17" s="640"/>
      <c r="I17" s="640"/>
      <c r="J17" s="640"/>
      <c r="K17" s="640"/>
      <c r="L17" s="641"/>
    </row>
    <row r="18" spans="1:12" ht="15" thickBot="1">
      <c r="B18" s="82"/>
      <c r="D18" s="5"/>
      <c r="F18" s="80"/>
    </row>
    <row r="19" spans="1:12" ht="14.4" hidden="1">
      <c r="A19" s="2" t="s">
        <v>455</v>
      </c>
      <c r="B19" s="309" t="s">
        <v>456</v>
      </c>
      <c r="D19" s="622" t="e">
        <f>IF('d) IUB reporting March 2025'!F20&gt;0,"YES","NO")</f>
        <v>#N/A</v>
      </c>
      <c r="F19" s="80" t="s">
        <v>457</v>
      </c>
    </row>
    <row r="20" spans="1:12" ht="15" hidden="1" thickBot="1">
      <c r="B20" s="80" t="s">
        <v>458</v>
      </c>
      <c r="D20" s="623"/>
      <c r="F20" s="80"/>
    </row>
    <row r="21" spans="1:12" ht="15" hidden="1" thickBot="1">
      <c r="D21" s="4"/>
      <c r="F21" s="80"/>
    </row>
    <row r="22" spans="1:12" ht="14.55" customHeight="1">
      <c r="A22" s="2">
        <v>4</v>
      </c>
      <c r="B22" s="77" t="s">
        <v>459</v>
      </c>
      <c r="D22" s="622" t="e">
        <f>IF('b) Template'!K80&lt;('b) Template'!K79/2),"YES","NO")</f>
        <v>#N/A</v>
      </c>
      <c r="F22" s="636"/>
      <c r="G22" s="637"/>
      <c r="H22" s="637"/>
      <c r="I22" s="637"/>
      <c r="J22" s="637"/>
      <c r="K22" s="637"/>
      <c r="L22" s="638"/>
    </row>
    <row r="23" spans="1:12" ht="15" thickBot="1">
      <c r="B23" s="80" t="s">
        <v>1520</v>
      </c>
      <c r="D23" s="623"/>
      <c r="F23" s="639"/>
      <c r="G23" s="640"/>
      <c r="H23" s="640"/>
      <c r="I23" s="640"/>
      <c r="J23" s="640"/>
      <c r="K23" s="640"/>
      <c r="L23" s="641"/>
    </row>
    <row r="24" spans="1:12" ht="15" thickBot="1">
      <c r="D24" s="4"/>
      <c r="F24" s="80"/>
    </row>
    <row r="25" spans="1:12" ht="14.55" customHeight="1">
      <c r="A25" s="2">
        <v>5</v>
      </c>
      <c r="B25" s="77" t="s">
        <v>460</v>
      </c>
      <c r="D25" s="622" t="e">
        <f>IF('b) Template'!K80&lt;0,"YES","NO")</f>
        <v>#N/A</v>
      </c>
      <c r="F25" s="636"/>
      <c r="G25" s="637"/>
      <c r="H25" s="637"/>
      <c r="I25" s="637"/>
      <c r="J25" s="637"/>
      <c r="K25" s="637"/>
      <c r="L25" s="638"/>
    </row>
    <row r="26" spans="1:12" ht="15" thickBot="1">
      <c r="B26" s="80" t="s">
        <v>461</v>
      </c>
      <c r="D26" s="623"/>
      <c r="F26" s="639"/>
      <c r="G26" s="640"/>
      <c r="H26" s="640"/>
      <c r="I26" s="640"/>
      <c r="J26" s="640"/>
      <c r="K26" s="640"/>
      <c r="L26" s="641"/>
    </row>
    <row r="27" spans="1:12" ht="15" thickBot="1">
      <c r="D27" s="5"/>
      <c r="F27" s="80"/>
    </row>
    <row r="28" spans="1:12" ht="14.55" customHeight="1">
      <c r="A28" s="2">
        <v>6</v>
      </c>
      <c r="B28" s="77" t="s">
        <v>462</v>
      </c>
      <c r="D28" s="622" t="e">
        <f>IF('b) Template'!K103&lt;0,"YES","NO")</f>
        <v>#N/A</v>
      </c>
      <c r="F28" s="636"/>
      <c r="G28" s="637"/>
      <c r="H28" s="637"/>
      <c r="I28" s="637"/>
      <c r="J28" s="637"/>
      <c r="K28" s="637"/>
      <c r="L28" s="638"/>
    </row>
    <row r="29" spans="1:12" ht="15" thickBot="1">
      <c r="B29" s="80" t="s">
        <v>461</v>
      </c>
      <c r="D29" s="623"/>
      <c r="F29" s="639"/>
      <c r="G29" s="640"/>
      <c r="H29" s="640"/>
      <c r="I29" s="640"/>
      <c r="J29" s="640"/>
      <c r="K29" s="640"/>
      <c r="L29" s="641"/>
    </row>
    <row r="30" spans="1:12" ht="15" thickBot="1">
      <c r="B30" s="82"/>
      <c r="D30" s="4"/>
      <c r="F30" s="80"/>
    </row>
    <row r="31" spans="1:12" ht="14.55" customHeight="1">
      <c r="A31" s="2">
        <v>7</v>
      </c>
      <c r="B31" s="77" t="s">
        <v>1521</v>
      </c>
      <c r="D31" s="622" t="e">
        <f>IF('b) Template'!K138&lt;0,"YES","NO")</f>
        <v>#N/A</v>
      </c>
      <c r="F31" s="636"/>
      <c r="G31" s="637"/>
      <c r="H31" s="637"/>
      <c r="I31" s="637"/>
      <c r="J31" s="637"/>
      <c r="K31" s="637"/>
      <c r="L31" s="638"/>
    </row>
    <row r="32" spans="1:12" ht="15" thickBot="1">
      <c r="B32" s="80" t="s">
        <v>461</v>
      </c>
      <c r="D32" s="623"/>
      <c r="F32" s="639"/>
      <c r="G32" s="640"/>
      <c r="H32" s="640"/>
      <c r="I32" s="640"/>
      <c r="J32" s="640"/>
      <c r="K32" s="640"/>
      <c r="L32" s="641"/>
    </row>
    <row r="33" spans="1:12" ht="15" thickBot="1">
      <c r="B33" s="82"/>
      <c r="D33" s="4"/>
      <c r="F33" s="80"/>
    </row>
    <row r="34" spans="1:12" hidden="1">
      <c r="A34" s="2" t="s">
        <v>463</v>
      </c>
      <c r="B34" s="77" t="s">
        <v>464</v>
      </c>
      <c r="D34" s="622" t="str">
        <f>IF('b) Template'!C8="","NO","YES")</f>
        <v>YES</v>
      </c>
    </row>
    <row r="35" spans="1:12" ht="15" hidden="1" thickBot="1">
      <c r="B35" s="82" t="s">
        <v>465</v>
      </c>
      <c r="D35" s="623"/>
    </row>
    <row r="36" spans="1:12" ht="14.4" hidden="1" thickBot="1">
      <c r="A36" s="255"/>
      <c r="B36" s="256"/>
      <c r="C36" s="256"/>
      <c r="D36" s="255"/>
      <c r="E36" s="255"/>
      <c r="F36" s="255"/>
    </row>
    <row r="37" spans="1:12" ht="14.4" hidden="1">
      <c r="A37" s="255" t="s">
        <v>466</v>
      </c>
      <c r="B37" s="256" t="s">
        <v>467</v>
      </c>
      <c r="C37" s="256"/>
      <c r="D37" s="628" t="e">
        <f>IF(AND('c) IUB reporting March 2024'!E17&gt;0,'c) IUB reporting March 2024'!F37=0),"NO","YES")</f>
        <v>#N/A</v>
      </c>
      <c r="E37" s="255"/>
      <c r="F37" s="257"/>
    </row>
    <row r="38" spans="1:12" ht="15" hidden="1" thickBot="1">
      <c r="A38" s="255"/>
      <c r="B38" s="258" t="s">
        <v>465</v>
      </c>
      <c r="C38" s="256"/>
      <c r="D38" s="629"/>
      <c r="E38" s="255"/>
      <c r="F38" s="255"/>
    </row>
    <row r="39" spans="1:12" ht="14.4" hidden="1" thickBot="1"/>
    <row r="40" spans="1:12">
      <c r="A40" s="2">
        <v>8</v>
      </c>
      <c r="B40" s="77" t="s">
        <v>1507</v>
      </c>
      <c r="D40" s="622" t="e">
        <f>IF('b) Template'!K103&lt;('b) Template'!K102/2),"YES","NO")</f>
        <v>#N/A</v>
      </c>
      <c r="F40" s="630"/>
      <c r="G40" s="631"/>
      <c r="H40" s="631"/>
      <c r="I40" s="631"/>
      <c r="J40" s="631"/>
      <c r="K40" s="631"/>
      <c r="L40" s="632"/>
    </row>
    <row r="41" spans="1:12" ht="15" thickBot="1">
      <c r="B41" s="80" t="s">
        <v>1522</v>
      </c>
      <c r="D41" s="623"/>
      <c r="F41" s="633"/>
      <c r="G41" s="634"/>
      <c r="H41" s="634"/>
      <c r="I41" s="634"/>
      <c r="J41" s="634"/>
      <c r="K41" s="634"/>
      <c r="L41" s="635"/>
    </row>
    <row r="42" spans="1:12" ht="14.4" thickBot="1"/>
    <row r="43" spans="1:12">
      <c r="A43" s="2">
        <v>9</v>
      </c>
      <c r="B43" s="77" t="s">
        <v>468</v>
      </c>
      <c r="D43" s="622" t="s">
        <v>469</v>
      </c>
      <c r="F43" s="630"/>
      <c r="G43" s="631"/>
      <c r="H43" s="631"/>
      <c r="I43" s="631"/>
      <c r="J43" s="631"/>
      <c r="K43" s="631"/>
      <c r="L43" s="632"/>
    </row>
    <row r="44" spans="1:12" ht="15" thickBot="1">
      <c r="B44" s="82"/>
      <c r="D44" s="623"/>
      <c r="F44" s="633"/>
      <c r="G44" s="634"/>
      <c r="H44" s="634"/>
      <c r="I44" s="634"/>
      <c r="J44" s="634"/>
      <c r="K44" s="634"/>
      <c r="L44" s="635"/>
    </row>
  </sheetData>
  <mergeCells count="25">
    <mergeCell ref="F22:L23"/>
    <mergeCell ref="F16:L17"/>
    <mergeCell ref="F13:L14"/>
    <mergeCell ref="F10:L11"/>
    <mergeCell ref="F8:L8"/>
    <mergeCell ref="F43:L44"/>
    <mergeCell ref="F40:L41"/>
    <mergeCell ref="F31:L32"/>
    <mergeCell ref="F28:L29"/>
    <mergeCell ref="F25:L26"/>
    <mergeCell ref="D22:D23"/>
    <mergeCell ref="D34:D35"/>
    <mergeCell ref="D37:D38"/>
    <mergeCell ref="D40:D41"/>
    <mergeCell ref="D43:D44"/>
    <mergeCell ref="D28:D29"/>
    <mergeCell ref="D25:D26"/>
    <mergeCell ref="D31:D32"/>
    <mergeCell ref="D19:D20"/>
    <mergeCell ref="D16:D17"/>
    <mergeCell ref="D13:D14"/>
    <mergeCell ref="A1:E1"/>
    <mergeCell ref="D10:D11"/>
    <mergeCell ref="B7:E7"/>
    <mergeCell ref="A3:D3"/>
  </mergeCells>
  <phoneticPr fontId="16" type="noConversion"/>
  <conditionalFormatting sqref="D10:D11">
    <cfRule type="cellIs" dxfId="51" priority="6" stopIfTrue="1" operator="equal">
      <formula>"No"</formula>
    </cfRule>
  </conditionalFormatting>
  <conditionalFormatting sqref="D12 D15 D18 D27">
    <cfRule type="cellIs" dxfId="50" priority="2" stopIfTrue="1" operator="equal">
      <formula>"Check"</formula>
    </cfRule>
  </conditionalFormatting>
  <conditionalFormatting sqref="D13:D14 D16:D17 D19:D20 D22:D23 D25:D26 D28:D29 D31:D32">
    <cfRule type="cellIs" dxfId="49" priority="4" stopIfTrue="1" operator="equal">
      <formula>"YES"</formula>
    </cfRule>
  </conditionalFormatting>
  <conditionalFormatting sqref="D34:D35 D37:D38">
    <cfRule type="cellIs" dxfId="48" priority="5" stopIfTrue="1" operator="equal">
      <formula>"NO"</formula>
    </cfRule>
  </conditionalFormatting>
  <conditionalFormatting sqref="D40:D41">
    <cfRule type="cellIs" dxfId="47" priority="1" stopIfTrue="1" operator="equal">
      <formula>"YES"</formula>
    </cfRule>
  </conditionalFormatting>
  <conditionalFormatting sqref="D43:D44">
    <cfRule type="cellIs" dxfId="46" priority="3" stopIfTrue="1" operator="equal">
      <formula>"Check"</formula>
    </cfRule>
  </conditionalFormatting>
  <pageMargins left="0.25" right="0.25" top="0.75" bottom="0.75" header="0.3" footer="0.3"/>
  <pageSetup paperSize="9" scale="74"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60326-2420-455A-8454-C101C4B00FAA}">
  <sheetPr codeName="Sheet18">
    <pageSetUpPr fitToPage="1"/>
  </sheetPr>
  <dimension ref="B1:V35"/>
  <sheetViews>
    <sheetView topLeftCell="A8" workbookViewId="0">
      <selection activeCell="B4" sqref="B4"/>
    </sheetView>
  </sheetViews>
  <sheetFormatPr defaultRowHeight="13.2"/>
  <cols>
    <col min="2" max="2" width="51.77734375" customWidth="1"/>
    <col min="3" max="10" width="9.5546875" style="518" customWidth="1"/>
    <col min="11" max="11" width="1.88671875" style="518" customWidth="1"/>
    <col min="12" max="13" width="13.6640625" style="518" customWidth="1"/>
    <col min="14" max="14" width="2.77734375" style="518" customWidth="1"/>
    <col min="15" max="22" width="12.5546875" style="518" customWidth="1"/>
  </cols>
  <sheetData>
    <row r="1" spans="2:22" ht="13.2" customHeight="1">
      <c r="C1" s="643" t="s">
        <v>1527</v>
      </c>
      <c r="D1" s="643"/>
      <c r="E1" s="643" t="s">
        <v>1528</v>
      </c>
      <c r="F1" s="643"/>
      <c r="G1" s="643"/>
      <c r="H1" s="643"/>
      <c r="I1" s="643"/>
      <c r="J1" s="643"/>
      <c r="O1" s="643" t="s">
        <v>1529</v>
      </c>
      <c r="P1" s="643"/>
      <c r="Q1" s="643"/>
      <c r="R1" s="643"/>
      <c r="S1" s="643"/>
      <c r="T1" s="643"/>
      <c r="U1" s="643"/>
      <c r="V1" s="643"/>
    </row>
    <row r="2" spans="2:22" ht="13.8" customHeight="1" thickBot="1">
      <c r="C2" s="643"/>
      <c r="D2" s="643"/>
      <c r="E2" s="643"/>
      <c r="F2" s="643"/>
      <c r="G2" s="643"/>
      <c r="H2" s="643"/>
      <c r="I2" s="643"/>
      <c r="J2" s="643"/>
      <c r="O2" s="644"/>
      <c r="P2" s="644"/>
      <c r="Q2" s="644"/>
      <c r="R2" s="644"/>
      <c r="S2" s="644"/>
      <c r="T2" s="644"/>
      <c r="U2" s="644"/>
      <c r="V2" s="644"/>
    </row>
    <row r="3" spans="2:22" ht="34.200000000000003" customHeight="1">
      <c r="B3" s="519" t="str">
        <f>'a) School Summary'!B6</f>
        <v>Please Click on Arrow to Choose School</v>
      </c>
      <c r="C3" s="645" t="s">
        <v>1530</v>
      </c>
      <c r="D3" s="646"/>
      <c r="E3" s="647" t="s">
        <v>1555</v>
      </c>
      <c r="F3" s="648"/>
      <c r="G3" s="647" t="s">
        <v>1556</v>
      </c>
      <c r="H3" s="648"/>
      <c r="I3" s="647" t="s">
        <v>429</v>
      </c>
      <c r="J3" s="648"/>
      <c r="L3" s="649" t="s">
        <v>1531</v>
      </c>
      <c r="M3" s="649"/>
      <c r="O3" s="645" t="s">
        <v>1530</v>
      </c>
      <c r="P3" s="646"/>
      <c r="Q3" s="647" t="s">
        <v>1555</v>
      </c>
      <c r="R3" s="648"/>
      <c r="S3" s="647" t="s">
        <v>1556</v>
      </c>
      <c r="T3" s="648"/>
      <c r="U3" s="647" t="s">
        <v>429</v>
      </c>
      <c r="V3" s="648"/>
    </row>
    <row r="4" spans="2:22">
      <c r="C4" s="520" t="s">
        <v>489</v>
      </c>
      <c r="D4" s="521" t="s">
        <v>1532</v>
      </c>
      <c r="E4" s="520" t="s">
        <v>489</v>
      </c>
      <c r="F4" s="521" t="s">
        <v>1532</v>
      </c>
      <c r="G4" s="520" t="s">
        <v>489</v>
      </c>
      <c r="H4" s="521" t="s">
        <v>1532</v>
      </c>
      <c r="I4" s="520" t="s">
        <v>489</v>
      </c>
      <c r="J4" s="521" t="s">
        <v>1532</v>
      </c>
      <c r="L4" s="518" t="s">
        <v>1533</v>
      </c>
      <c r="M4" s="518" t="s">
        <v>1534</v>
      </c>
      <c r="O4" s="522" t="s">
        <v>1535</v>
      </c>
      <c r="P4" s="523" t="s">
        <v>1536</v>
      </c>
      <c r="Q4" s="522" t="s">
        <v>1535</v>
      </c>
      <c r="R4" s="523" t="s">
        <v>1536</v>
      </c>
      <c r="S4" s="522" t="s">
        <v>1535</v>
      </c>
      <c r="T4" s="523" t="s">
        <v>1536</v>
      </c>
      <c r="U4" s="522" t="s">
        <v>1535</v>
      </c>
      <c r="V4" s="523" t="s">
        <v>1536</v>
      </c>
    </row>
    <row r="5" spans="2:22">
      <c r="B5" s="277" t="s">
        <v>1537</v>
      </c>
      <c r="C5" s="522"/>
      <c r="D5" s="523"/>
      <c r="E5" s="522"/>
      <c r="F5" s="523"/>
      <c r="G5" s="522"/>
      <c r="H5" s="523"/>
      <c r="I5" s="522"/>
      <c r="J5" s="523"/>
      <c r="O5" s="524" t="s">
        <v>1538</v>
      </c>
      <c r="P5" s="525" t="s">
        <v>1538</v>
      </c>
      <c r="Q5" s="524" t="s">
        <v>1538</v>
      </c>
      <c r="R5" s="526" t="s">
        <v>1538</v>
      </c>
      <c r="S5" s="524" t="s">
        <v>1538</v>
      </c>
      <c r="T5" s="525" t="s">
        <v>1538</v>
      </c>
      <c r="U5" s="524" t="s">
        <v>1538</v>
      </c>
      <c r="V5" s="525" t="s">
        <v>1538</v>
      </c>
    </row>
    <row r="6" spans="2:22">
      <c r="C6" s="522"/>
      <c r="D6" s="523"/>
      <c r="E6" s="522"/>
      <c r="F6" s="523"/>
      <c r="G6" s="522"/>
      <c r="H6" s="523"/>
      <c r="I6" s="522"/>
      <c r="J6" s="523"/>
      <c r="O6" s="522"/>
      <c r="P6" s="523"/>
      <c r="Q6" s="522"/>
      <c r="R6" s="523"/>
      <c r="S6" s="522"/>
      <c r="T6" s="523"/>
      <c r="U6" s="522"/>
      <c r="V6" s="523"/>
    </row>
    <row r="7" spans="2:22">
      <c r="B7" t="s">
        <v>1539</v>
      </c>
      <c r="C7" s="527" t="e">
        <f>SUM('b) Template'!C$16:C$21)</f>
        <v>#N/A</v>
      </c>
      <c r="D7" s="528" t="e">
        <f>C7/C9</f>
        <v>#N/A</v>
      </c>
      <c r="E7" s="527" t="e">
        <f>SUM('b) Template'!E16:E21)</f>
        <v>#N/A</v>
      </c>
      <c r="F7" s="528" t="e">
        <f>E7/E9</f>
        <v>#N/A</v>
      </c>
      <c r="G7" s="527">
        <f>SUM('b) Template'!G16:G21)</f>
        <v>0</v>
      </c>
      <c r="H7" s="528" t="e">
        <f>G7/G9</f>
        <v>#DIV/0!</v>
      </c>
      <c r="I7" s="527">
        <f>SUM('b) Template'!K16:K21)</f>
        <v>0</v>
      </c>
      <c r="J7" s="528" t="e">
        <f>I7/I9</f>
        <v>#DIV/0!</v>
      </c>
      <c r="K7" s="529"/>
      <c r="O7" s="522"/>
      <c r="P7" s="523"/>
      <c r="Q7" s="522"/>
      <c r="R7" s="523"/>
      <c r="S7" s="522"/>
      <c r="T7" s="523"/>
      <c r="U7" s="522"/>
      <c r="V7" s="523"/>
    </row>
    <row r="8" spans="2:22">
      <c r="B8" t="s">
        <v>1540</v>
      </c>
      <c r="C8" s="527" t="e">
        <f>SUM('b) Template'!C$22:C$34)</f>
        <v>#N/A</v>
      </c>
      <c r="D8" s="528" t="e">
        <f>C8/C9</f>
        <v>#N/A</v>
      </c>
      <c r="E8" s="527" t="e">
        <f>SUM('b) Template'!E22:E34)</f>
        <v>#N/A</v>
      </c>
      <c r="F8" s="528" t="e">
        <f>E8/E9</f>
        <v>#N/A</v>
      </c>
      <c r="G8" s="527">
        <f>SUM('b) Template'!G22:G34)</f>
        <v>0</v>
      </c>
      <c r="H8" s="528" t="e">
        <f>G8/G9</f>
        <v>#DIV/0!</v>
      </c>
      <c r="I8" s="527">
        <f>SUM('b) Template'!K22:K34)</f>
        <v>0</v>
      </c>
      <c r="J8" s="528" t="e">
        <f>I8/I9</f>
        <v>#DIV/0!</v>
      </c>
      <c r="K8" s="529"/>
      <c r="O8" s="522"/>
      <c r="P8" s="523"/>
      <c r="Q8" s="522"/>
      <c r="R8" s="523"/>
      <c r="S8" s="522"/>
      <c r="T8" s="523"/>
      <c r="U8" s="522"/>
      <c r="V8" s="523"/>
    </row>
    <row r="9" spans="2:22">
      <c r="B9" t="s">
        <v>1541</v>
      </c>
      <c r="C9" s="527" t="e">
        <f>SUM(C$7:C$8)</f>
        <v>#N/A</v>
      </c>
      <c r="D9" s="528" t="e">
        <f t="shared" ref="D9:J9" si="0">SUM(D7:D8)</f>
        <v>#N/A</v>
      </c>
      <c r="E9" s="527" t="e">
        <f t="shared" si="0"/>
        <v>#N/A</v>
      </c>
      <c r="F9" s="528" t="e">
        <f t="shared" si="0"/>
        <v>#N/A</v>
      </c>
      <c r="G9" s="527">
        <f t="shared" si="0"/>
        <v>0</v>
      </c>
      <c r="H9" s="528" t="e">
        <f t="shared" si="0"/>
        <v>#DIV/0!</v>
      </c>
      <c r="I9" s="527">
        <f t="shared" si="0"/>
        <v>0</v>
      </c>
      <c r="J9" s="528" t="e">
        <f t="shared" si="0"/>
        <v>#DIV/0!</v>
      </c>
      <c r="K9" s="529"/>
      <c r="O9" s="522"/>
      <c r="P9" s="523"/>
      <c r="Q9" s="522"/>
      <c r="R9" s="523"/>
      <c r="S9" s="522"/>
      <c r="T9" s="523"/>
      <c r="U9" s="522"/>
      <c r="V9" s="523"/>
    </row>
    <row r="10" spans="2:22" ht="13.8" thickBot="1">
      <c r="C10" s="522"/>
      <c r="D10" s="523"/>
      <c r="E10" s="522"/>
      <c r="F10" s="523"/>
      <c r="G10" s="522"/>
      <c r="H10" s="523"/>
      <c r="I10" s="522"/>
      <c r="J10" s="523"/>
      <c r="O10" s="522"/>
      <c r="P10" s="523"/>
      <c r="Q10" s="522"/>
      <c r="R10" s="523"/>
      <c r="S10" s="522"/>
      <c r="T10" s="523"/>
      <c r="U10" s="522"/>
      <c r="V10" s="523"/>
    </row>
    <row r="11" spans="2:22" ht="17.399999999999999" customHeight="1" thickBot="1">
      <c r="B11" s="530" t="s">
        <v>1542</v>
      </c>
      <c r="C11" s="527" t="e">
        <f>'b) Template'!C$40+'b) Template'!C$41+'b) Template'!C$65</f>
        <v>#N/A</v>
      </c>
      <c r="D11" s="551" t="e">
        <f>C11/C$9</f>
        <v>#N/A</v>
      </c>
      <c r="E11" s="527" t="e">
        <f>'b) Template'!E40+'b) Template'!E41+'b) Template'!E65</f>
        <v>#N/A</v>
      </c>
      <c r="F11" s="551" t="e">
        <f>E11/E$9</f>
        <v>#N/A</v>
      </c>
      <c r="G11" s="527">
        <f>'b) Template'!G40+'b) Template'!G41+'b) Template'!G65</f>
        <v>0</v>
      </c>
      <c r="H11" s="551" t="e">
        <f>G11/G$9</f>
        <v>#DIV/0!</v>
      </c>
      <c r="I11" s="527">
        <f>'b) Template'!K40+'b) Template'!K41+'b) Template'!K65</f>
        <v>0</v>
      </c>
      <c r="J11" s="551" t="e">
        <f>I11/I$9</f>
        <v>#DIV/0!</v>
      </c>
      <c r="K11" s="529"/>
      <c r="L11" s="531">
        <v>0.46</v>
      </c>
      <c r="M11" s="531">
        <v>0.5</v>
      </c>
      <c r="N11" s="532"/>
      <c r="O11" s="533" t="e">
        <f>(D11-$L11)*C$9</f>
        <v>#N/A</v>
      </c>
      <c r="P11" s="534" t="e">
        <f>(D11-$M11)*C$9</f>
        <v>#N/A</v>
      </c>
      <c r="Q11" s="533" t="e">
        <f>(F11-$L11)*E$9</f>
        <v>#N/A</v>
      </c>
      <c r="R11" s="534" t="e">
        <f>(F11-$M11)*E$9</f>
        <v>#N/A</v>
      </c>
      <c r="S11" s="533" t="e">
        <f>(H11-$L11)*G$9</f>
        <v>#DIV/0!</v>
      </c>
      <c r="T11" s="534" t="e">
        <f>(H11-$M11)*G$9</f>
        <v>#DIV/0!</v>
      </c>
      <c r="U11" s="533" t="e">
        <f>(J11-$L11)*I$9</f>
        <v>#DIV/0!</v>
      </c>
      <c r="V11" s="534" t="e">
        <f>(J11-$M11)*I$9</f>
        <v>#DIV/0!</v>
      </c>
    </row>
    <row r="12" spans="2:22" ht="17.399999999999999" customHeight="1" thickBot="1">
      <c r="B12" s="535" t="s">
        <v>1543</v>
      </c>
      <c r="C12" s="527" t="e">
        <f>'b) Template'!C$42+'b) Template'!C$66</f>
        <v>#N/A</v>
      </c>
      <c r="D12" s="551" t="e">
        <f>C12/C$9</f>
        <v>#N/A</v>
      </c>
      <c r="E12" s="527" t="e">
        <f>'b) Template'!E42+'b) Template'!E66</f>
        <v>#N/A</v>
      </c>
      <c r="F12" s="551" t="e">
        <f>E12/E$9</f>
        <v>#N/A</v>
      </c>
      <c r="G12" s="527">
        <f>'b) Template'!G42+'b) Template'!G66</f>
        <v>0</v>
      </c>
      <c r="H12" s="551" t="e">
        <f t="shared" ref="F12:H15" si="1">G12/G$9</f>
        <v>#DIV/0!</v>
      </c>
      <c r="I12" s="527">
        <f>'b) Template'!K42+'b) Template'!K66</f>
        <v>0</v>
      </c>
      <c r="J12" s="551" t="e">
        <f>I12/I$9</f>
        <v>#DIV/0!</v>
      </c>
      <c r="K12" s="529"/>
      <c r="L12" s="531">
        <v>0.16</v>
      </c>
      <c r="M12" s="531">
        <v>0.19</v>
      </c>
      <c r="N12" s="532"/>
      <c r="O12" s="533" t="e">
        <f>(D12-$L12)*C$9</f>
        <v>#N/A</v>
      </c>
      <c r="P12" s="534" t="e">
        <f>(D12-$M12)*$C$9</f>
        <v>#N/A</v>
      </c>
      <c r="Q12" s="533" t="e">
        <f>(F12-$L12)*E$9</f>
        <v>#N/A</v>
      </c>
      <c r="R12" s="534" t="e">
        <f>(F12-$M12)*$E$9</f>
        <v>#N/A</v>
      </c>
      <c r="S12" s="533" t="e">
        <f>(H12-$L12)*G$9</f>
        <v>#DIV/0!</v>
      </c>
      <c r="T12" s="534" t="e">
        <f>(H12-$M12)*G$9</f>
        <v>#DIV/0!</v>
      </c>
      <c r="U12" s="533" t="e">
        <f>(J12-$L12)*I$9</f>
        <v>#DIV/0!</v>
      </c>
      <c r="V12" s="534" t="e">
        <f>(J12-$M12)*I$9</f>
        <v>#DIV/0!</v>
      </c>
    </row>
    <row r="13" spans="2:22" ht="17.399999999999999" customHeight="1" thickBot="1">
      <c r="B13" s="535" t="s">
        <v>1544</v>
      </c>
      <c r="C13" s="527" t="e">
        <f>'b) Template'!C$43+'b) Template'!C$44+'b) Template'!C$45+'b) Template'!C$46</f>
        <v>#N/A</v>
      </c>
      <c r="D13" s="551" t="e">
        <f>C13/C$9</f>
        <v>#N/A</v>
      </c>
      <c r="E13" s="527" t="e">
        <f>'b) Template'!E43+'b) Template'!E44+'b) Template'!E45+'b) Template'!E46</f>
        <v>#N/A</v>
      </c>
      <c r="F13" s="551" t="e">
        <f t="shared" si="1"/>
        <v>#N/A</v>
      </c>
      <c r="G13" s="527">
        <f>'b) Template'!G43+'b) Template'!G44+'b) Template'!G45+'b) Template'!G46</f>
        <v>0</v>
      </c>
      <c r="H13" s="551" t="e">
        <f t="shared" si="1"/>
        <v>#DIV/0!</v>
      </c>
      <c r="I13" s="527">
        <f>'b) Template'!K43+'b) Template'!K44+'b) Template'!K45+'b) Template'!K46</f>
        <v>0</v>
      </c>
      <c r="J13" s="551" t="e">
        <f>I13/I$9</f>
        <v>#DIV/0!</v>
      </c>
      <c r="K13" s="529"/>
      <c r="L13" s="531">
        <v>0.1</v>
      </c>
      <c r="M13" s="531">
        <v>0.13</v>
      </c>
      <c r="N13" s="532"/>
      <c r="O13" s="533" t="e">
        <f>(D13-$L13)*C$9</f>
        <v>#N/A</v>
      </c>
      <c r="P13" s="534" t="e">
        <f>(D13-$M13)*$C$9</f>
        <v>#N/A</v>
      </c>
      <c r="Q13" s="533" t="e">
        <f>(F13-$L13)*E$9</f>
        <v>#N/A</v>
      </c>
      <c r="R13" s="534" t="e">
        <f>(F13-$M13)*$E$9</f>
        <v>#N/A</v>
      </c>
      <c r="S13" s="533" t="e">
        <f>(H13-$L13)*G$9</f>
        <v>#DIV/0!</v>
      </c>
      <c r="T13" s="534" t="e">
        <f>(H13-$M13)*G$9</f>
        <v>#DIV/0!</v>
      </c>
      <c r="U13" s="533" t="e">
        <f>(J13-$L13)*I$9</f>
        <v>#DIV/0!</v>
      </c>
      <c r="V13" s="534" t="e">
        <f>(J13-$M13)*I$9</f>
        <v>#DIV/0!</v>
      </c>
    </row>
    <row r="14" spans="2:22" ht="17.399999999999999" customHeight="1" thickBot="1">
      <c r="B14" s="535" t="s">
        <v>1545</v>
      </c>
      <c r="C14" s="527" t="e">
        <f>SUM(C$11:C$13)</f>
        <v>#N/A</v>
      </c>
      <c r="D14" s="551" t="e">
        <f>C14/C$9</f>
        <v>#N/A</v>
      </c>
      <c r="E14" s="527" t="e">
        <f>SUM(E11:E13)</f>
        <v>#N/A</v>
      </c>
      <c r="F14" s="551" t="e">
        <f t="shared" si="1"/>
        <v>#N/A</v>
      </c>
      <c r="G14" s="527">
        <f>SUM(G11:G13)</f>
        <v>0</v>
      </c>
      <c r="H14" s="551" t="e">
        <f t="shared" si="1"/>
        <v>#DIV/0!</v>
      </c>
      <c r="I14" s="527">
        <f>SUM(K11:K13)</f>
        <v>0</v>
      </c>
      <c r="J14" s="551" t="e">
        <f>I14/I$9</f>
        <v>#DIV/0!</v>
      </c>
      <c r="K14" s="529"/>
      <c r="L14" s="531">
        <v>0.76</v>
      </c>
      <c r="M14" s="531">
        <v>0.79</v>
      </c>
      <c r="N14" s="532"/>
      <c r="O14" s="533" t="e">
        <f>(D14-$L14)*C$9</f>
        <v>#N/A</v>
      </c>
      <c r="P14" s="534" t="e">
        <f>(D14-$M14)*$C$9</f>
        <v>#N/A</v>
      </c>
      <c r="Q14" s="533" t="e">
        <f>(F14-$L14)*E$9</f>
        <v>#N/A</v>
      </c>
      <c r="R14" s="534" t="e">
        <f>(F14-$M14)*$E$9</f>
        <v>#N/A</v>
      </c>
      <c r="S14" s="533" t="e">
        <f>(H14-$L14)*G$9</f>
        <v>#DIV/0!</v>
      </c>
      <c r="T14" s="534" t="e">
        <f>(H14-$M14)*G$9</f>
        <v>#DIV/0!</v>
      </c>
      <c r="U14" s="533" t="e">
        <f>(J14-$L14)*I$9</f>
        <v>#DIV/0!</v>
      </c>
      <c r="V14" s="534" t="e">
        <f>(J14-$M14)*I$9</f>
        <v>#DIV/0!</v>
      </c>
    </row>
    <row r="15" spans="2:22" ht="17.399999999999999" customHeight="1" thickBot="1">
      <c r="B15" s="535" t="s">
        <v>1546</v>
      </c>
      <c r="C15" s="527" t="e">
        <f>SUM('b) Template'!C$49:C$64,'b) Template'!C$67:C$70)</f>
        <v>#N/A</v>
      </c>
      <c r="D15" s="551" t="e">
        <f>C15/C$9</f>
        <v>#N/A</v>
      </c>
      <c r="E15" s="527" t="e">
        <f>SUM('b) Template'!E49:E64,'b) Template'!E67:E70)</f>
        <v>#N/A</v>
      </c>
      <c r="F15" s="551" t="e">
        <f t="shared" si="1"/>
        <v>#N/A</v>
      </c>
      <c r="G15" s="527">
        <f>SUM('b) Template'!G49:G64,'b) Template'!G67:G70)</f>
        <v>0</v>
      </c>
      <c r="H15" s="551" t="e">
        <f t="shared" si="1"/>
        <v>#DIV/0!</v>
      </c>
      <c r="I15" s="527">
        <f>SUM('b) Template'!K49:K64,'b) Template'!K67:K70)</f>
        <v>0</v>
      </c>
      <c r="J15" s="551" t="e">
        <f>I15/I$9</f>
        <v>#DIV/0!</v>
      </c>
      <c r="K15" s="529"/>
      <c r="L15" s="531">
        <v>0.21</v>
      </c>
      <c r="M15" s="531">
        <v>0.24</v>
      </c>
      <c r="N15" s="532"/>
      <c r="O15" s="533" t="e">
        <f>(D15-$L15)*C$9</f>
        <v>#N/A</v>
      </c>
      <c r="P15" s="534" t="e">
        <f>(D15-$M15)*$C$9</f>
        <v>#N/A</v>
      </c>
      <c r="Q15" s="533" t="e">
        <f>(F15-$L15)*E$9</f>
        <v>#N/A</v>
      </c>
      <c r="R15" s="534" t="e">
        <f>(F15-$M15)*$E$9</f>
        <v>#N/A</v>
      </c>
      <c r="S15" s="533" t="e">
        <f>(H15-$L15)*G$9</f>
        <v>#DIV/0!</v>
      </c>
      <c r="T15" s="534" t="e">
        <f>(H15-$M15)*G$9</f>
        <v>#DIV/0!</v>
      </c>
      <c r="U15" s="533" t="e">
        <f>(J15-$L15)*I$9</f>
        <v>#DIV/0!</v>
      </c>
      <c r="V15" s="534" t="e">
        <f>(J15-$M15)*I$9</f>
        <v>#DIV/0!</v>
      </c>
    </row>
    <row r="16" spans="2:22" ht="17.399999999999999" customHeight="1" thickBot="1">
      <c r="B16" s="535" t="s">
        <v>1547</v>
      </c>
      <c r="C16" s="536"/>
      <c r="D16" s="551" t="e">
        <f>C16/C$11</f>
        <v>#N/A</v>
      </c>
      <c r="E16" s="536"/>
      <c r="F16" s="551" t="e">
        <f>E16/E$11</f>
        <v>#N/A</v>
      </c>
      <c r="G16" s="536"/>
      <c r="H16" s="551" t="e">
        <f>G16/G$11</f>
        <v>#DIV/0!</v>
      </c>
      <c r="I16" s="536"/>
      <c r="J16" s="551" t="e">
        <f>I16/I$11</f>
        <v>#DIV/0!</v>
      </c>
      <c r="K16" s="529"/>
      <c r="L16" s="531">
        <v>0.19</v>
      </c>
      <c r="M16" s="531">
        <v>0.23</v>
      </c>
      <c r="N16" s="532"/>
      <c r="O16" s="537" t="str">
        <f>IF(C16=0,"Please Enter Data",(D16-$L16)*C$11)</f>
        <v>Please Enter Data</v>
      </c>
      <c r="P16" s="538" t="str">
        <f>IF(C16=0,"Please Enter Data",(D16-$L16)*C$11)</f>
        <v>Please Enter Data</v>
      </c>
      <c r="Q16" s="537" t="str">
        <f>IF(E16=0,"Please Enter Data",(F16-$L16)*E$11)</f>
        <v>Please Enter Data</v>
      </c>
      <c r="R16" s="538" t="str">
        <f>IF(E16=0,"Please Enter Data",(F16-$L16)*E$11)</f>
        <v>Please Enter Data</v>
      </c>
      <c r="S16" s="537" t="str">
        <f>IF(G16=0,"Please Enter Data",(H16-$L16)*G$11)</f>
        <v>Please Enter Data</v>
      </c>
      <c r="T16" s="538" t="str">
        <f>IF(G16=0,"Please Enter Data",(H16-$L16)*G$11)</f>
        <v>Please Enter Data</v>
      </c>
      <c r="U16" s="537" t="str">
        <f>IF(I16=0,"Please Enter Data",(J16-$L16)*I$11)</f>
        <v>Please Enter Data</v>
      </c>
      <c r="V16" s="538" t="str">
        <f>IF(I16=0,"Please Enter Data",(J16-$L16)*I$11)</f>
        <v>Please Enter Data</v>
      </c>
    </row>
    <row r="17" spans="2:22" ht="17.399999999999999" customHeight="1" thickBot="1">
      <c r="B17" s="535" t="s">
        <v>1548</v>
      </c>
      <c r="C17" s="539"/>
      <c r="D17" s="552" t="e">
        <f>C17/C$11</f>
        <v>#N/A</v>
      </c>
      <c r="E17" s="539"/>
      <c r="F17" s="552" t="e">
        <f>E17/E$11</f>
        <v>#N/A</v>
      </c>
      <c r="G17" s="539"/>
      <c r="H17" s="552" t="e">
        <f>G17/G$11</f>
        <v>#DIV/0!</v>
      </c>
      <c r="I17" s="539"/>
      <c r="J17" s="552" t="e">
        <f>I17/I$11</f>
        <v>#DIV/0!</v>
      </c>
      <c r="K17" s="529"/>
      <c r="L17" s="531">
        <v>0.2</v>
      </c>
      <c r="M17" s="531">
        <v>0.24</v>
      </c>
      <c r="N17" s="532"/>
      <c r="O17" s="540" t="str">
        <f>IF(C17=0,"Please Enter Data",(D17-$L17)*C$11)</f>
        <v>Please Enter Data</v>
      </c>
      <c r="P17" s="541" t="str">
        <f>IF(C17=0,"Please Enter Data",(D17-$L17)*C$11)</f>
        <v>Please Enter Data</v>
      </c>
      <c r="Q17" s="540" t="str">
        <f>IF(E17=0,"Please Enter Data",(F17-$L17)*E$11)</f>
        <v>Please Enter Data</v>
      </c>
      <c r="R17" s="541" t="str">
        <f>IF(E17=0,"Please Enter Data",(F17-$L17)*E$11)</f>
        <v>Please Enter Data</v>
      </c>
      <c r="S17" s="540" t="str">
        <f>IF(G17=0,"Please Enter Data",(H17-$L17)*G$11)</f>
        <v>Please Enter Data</v>
      </c>
      <c r="T17" s="541" t="str">
        <f>IF(G17=0,"Please Enter Data",(H17-$L17)*G$11)</f>
        <v>Please Enter Data</v>
      </c>
      <c r="U17" s="540" t="str">
        <f>IF(I17=0,"Please Enter Data",(J17-$L17)*I$11)</f>
        <v>Please Enter Data</v>
      </c>
      <c r="V17" s="541" t="str">
        <f>IF(I17=0,"Please Enter Data",(J17-$L17)*I$11)</f>
        <v>Please Enter Data</v>
      </c>
    </row>
    <row r="19" spans="2:22" ht="13.2" customHeight="1">
      <c r="O19" s="643" t="s">
        <v>1549</v>
      </c>
      <c r="P19" s="643"/>
      <c r="Q19" s="643"/>
      <c r="R19" s="643"/>
      <c r="S19" s="643"/>
      <c r="T19" s="643"/>
      <c r="U19" s="643"/>
      <c r="V19" s="643"/>
    </row>
    <row r="20" spans="2:22" ht="13.8" customHeight="1" thickBot="1">
      <c r="O20" s="644"/>
      <c r="P20" s="644"/>
      <c r="Q20" s="644"/>
      <c r="R20" s="644"/>
      <c r="S20" s="644"/>
      <c r="T20" s="644"/>
      <c r="U20" s="644"/>
      <c r="V20" s="644"/>
    </row>
    <row r="21" spans="2:22" ht="46.8" customHeight="1">
      <c r="B21" s="277" t="s">
        <v>1537</v>
      </c>
      <c r="C21" s="645" t="s">
        <v>1530</v>
      </c>
      <c r="D21" s="646"/>
      <c r="E21" s="647" t="s">
        <v>1555</v>
      </c>
      <c r="F21" s="648"/>
      <c r="G21" s="647" t="s">
        <v>1556</v>
      </c>
      <c r="H21" s="648"/>
      <c r="I21" s="647" t="s">
        <v>429</v>
      </c>
      <c r="J21" s="648"/>
      <c r="O21" s="645" t="s">
        <v>1530</v>
      </c>
      <c r="P21" s="646"/>
      <c r="Q21" s="647" t="s">
        <v>1555</v>
      </c>
      <c r="R21" s="648"/>
      <c r="S21" s="647" t="s">
        <v>1556</v>
      </c>
      <c r="T21" s="648"/>
      <c r="U21" s="647" t="s">
        <v>429</v>
      </c>
      <c r="V21" s="648"/>
    </row>
    <row r="22" spans="2:22" ht="16.2" customHeight="1">
      <c r="C22" s="520" t="s">
        <v>489</v>
      </c>
      <c r="D22" s="521" t="s">
        <v>1532</v>
      </c>
      <c r="E22" s="520" t="s">
        <v>489</v>
      </c>
      <c r="F22" s="521" t="s">
        <v>1532</v>
      </c>
      <c r="G22" s="520" t="s">
        <v>489</v>
      </c>
      <c r="H22" s="521" t="s">
        <v>1532</v>
      </c>
      <c r="I22" s="520" t="s">
        <v>489</v>
      </c>
      <c r="J22" s="521" t="s">
        <v>1532</v>
      </c>
      <c r="O22" s="522" t="s">
        <v>1535</v>
      </c>
      <c r="P22" s="523" t="s">
        <v>1536</v>
      </c>
      <c r="Q22" s="542" t="s">
        <v>1535</v>
      </c>
      <c r="R22" s="543" t="s">
        <v>1536</v>
      </c>
      <c r="S22" s="542" t="s">
        <v>1535</v>
      </c>
      <c r="T22" s="543" t="s">
        <v>1536</v>
      </c>
      <c r="U22" s="542" t="s">
        <v>1535</v>
      </c>
      <c r="V22" s="543" t="s">
        <v>1536</v>
      </c>
    </row>
    <row r="23" spans="2:22" ht="16.2" customHeight="1">
      <c r="B23" t="s">
        <v>1539</v>
      </c>
      <c r="C23" s="527" t="e">
        <f>C7</f>
        <v>#N/A</v>
      </c>
      <c r="D23" s="528" t="e">
        <f>C23/C$27</f>
        <v>#N/A</v>
      </c>
      <c r="E23" s="527" t="e">
        <f>E7</f>
        <v>#N/A</v>
      </c>
      <c r="F23" s="528" t="e">
        <f>E23/E$27</f>
        <v>#N/A</v>
      </c>
      <c r="G23" s="527">
        <f>G7</f>
        <v>0</v>
      </c>
      <c r="H23" s="528" t="e">
        <f>G23/G$27</f>
        <v>#DIV/0!</v>
      </c>
      <c r="I23" s="527">
        <f>I7</f>
        <v>0</v>
      </c>
      <c r="J23" s="528" t="e">
        <f>I23/I$27</f>
        <v>#DIV/0!</v>
      </c>
      <c r="K23" s="544"/>
      <c r="O23" s="524" t="s">
        <v>1538</v>
      </c>
      <c r="P23" s="525" t="s">
        <v>1538</v>
      </c>
      <c r="Q23" s="524" t="s">
        <v>1538</v>
      </c>
      <c r="R23" s="525" t="s">
        <v>1538</v>
      </c>
      <c r="S23" s="524" t="s">
        <v>1538</v>
      </c>
      <c r="T23" s="525" t="s">
        <v>1538</v>
      </c>
      <c r="U23" s="524" t="s">
        <v>1538</v>
      </c>
      <c r="V23" s="525" t="s">
        <v>1538</v>
      </c>
    </row>
    <row r="24" spans="2:22" ht="16.2" customHeight="1">
      <c r="B24" t="s">
        <v>1540</v>
      </c>
      <c r="C24" s="527" t="e">
        <f>C8</f>
        <v>#N/A</v>
      </c>
      <c r="D24" s="528" t="e">
        <f>C24/C$27</f>
        <v>#N/A</v>
      </c>
      <c r="E24" s="527" t="e">
        <f t="shared" ref="E24:G25" si="2">E8</f>
        <v>#N/A</v>
      </c>
      <c r="F24" s="528" t="e">
        <f t="shared" ref="F24:H27" si="3">E24/E$27</f>
        <v>#N/A</v>
      </c>
      <c r="G24" s="527">
        <f t="shared" si="2"/>
        <v>0</v>
      </c>
      <c r="H24" s="528" t="e">
        <f t="shared" si="3"/>
        <v>#DIV/0!</v>
      </c>
      <c r="I24" s="527">
        <f>I8</f>
        <v>0</v>
      </c>
      <c r="J24" s="528" t="e">
        <f>I24/I$27</f>
        <v>#DIV/0!</v>
      </c>
      <c r="K24" s="544"/>
      <c r="O24" s="542"/>
      <c r="P24" s="543"/>
      <c r="Q24" s="542"/>
      <c r="R24" s="543"/>
      <c r="S24" s="542"/>
      <c r="T24" s="543"/>
      <c r="U24" s="542"/>
      <c r="V24" s="543"/>
    </row>
    <row r="25" spans="2:22" ht="16.2" customHeight="1">
      <c r="B25" t="s">
        <v>1541</v>
      </c>
      <c r="C25" s="527" t="e">
        <f>C9</f>
        <v>#N/A</v>
      </c>
      <c r="D25" s="528" t="e">
        <f>C25/C$27</f>
        <v>#N/A</v>
      </c>
      <c r="E25" s="527" t="e">
        <f t="shared" si="2"/>
        <v>#N/A</v>
      </c>
      <c r="F25" s="528" t="e">
        <f t="shared" si="3"/>
        <v>#N/A</v>
      </c>
      <c r="G25" s="527">
        <f t="shared" si="2"/>
        <v>0</v>
      </c>
      <c r="H25" s="528" t="e">
        <f t="shared" si="3"/>
        <v>#DIV/0!</v>
      </c>
      <c r="I25" s="527">
        <f>I9</f>
        <v>0</v>
      </c>
      <c r="J25" s="528" t="e">
        <f>I25/I$27</f>
        <v>#DIV/0!</v>
      </c>
      <c r="K25" s="544"/>
      <c r="O25" s="542"/>
      <c r="P25" s="543"/>
      <c r="Q25" s="542"/>
      <c r="R25" s="543"/>
      <c r="S25" s="542"/>
      <c r="T25" s="543"/>
      <c r="U25" s="542"/>
      <c r="V25" s="543"/>
    </row>
    <row r="26" spans="2:22" ht="16.2" customHeight="1">
      <c r="B26" s="545" t="s">
        <v>1550</v>
      </c>
      <c r="C26" s="546"/>
      <c r="D26" s="528" t="e">
        <f>C26/C$27</f>
        <v>#N/A</v>
      </c>
      <c r="E26" s="546"/>
      <c r="F26" s="528" t="e">
        <f t="shared" si="3"/>
        <v>#N/A</v>
      </c>
      <c r="G26" s="546"/>
      <c r="H26" s="528" t="e">
        <f t="shared" si="3"/>
        <v>#DIV/0!</v>
      </c>
      <c r="I26" s="546"/>
      <c r="J26" s="528" t="e">
        <f>I26/I$27</f>
        <v>#DIV/0!</v>
      </c>
      <c r="K26" s="544"/>
      <c r="O26" s="542"/>
      <c r="P26" s="543"/>
      <c r="Q26" s="542"/>
      <c r="R26" s="543"/>
      <c r="S26" s="542"/>
      <c r="T26" s="543"/>
      <c r="U26" s="542"/>
      <c r="V26" s="543"/>
    </row>
    <row r="27" spans="2:22" ht="16.2" customHeight="1">
      <c r="B27" s="545" t="s">
        <v>1551</v>
      </c>
      <c r="C27" s="527" t="e">
        <f>C26+C25</f>
        <v>#N/A</v>
      </c>
      <c r="D27" s="528" t="e">
        <f>C27/C$27</f>
        <v>#N/A</v>
      </c>
      <c r="E27" s="527" t="e">
        <f>E26+E25</f>
        <v>#N/A</v>
      </c>
      <c r="F27" s="528" t="e">
        <f t="shared" si="3"/>
        <v>#N/A</v>
      </c>
      <c r="G27" s="527">
        <f>G26+G25</f>
        <v>0</v>
      </c>
      <c r="H27" s="528" t="e">
        <f t="shared" si="3"/>
        <v>#DIV/0!</v>
      </c>
      <c r="I27" s="527">
        <f>I26+I25</f>
        <v>0</v>
      </c>
      <c r="J27" s="528" t="e">
        <f>I27/I$27</f>
        <v>#DIV/0!</v>
      </c>
      <c r="K27" s="544"/>
      <c r="O27" s="542"/>
      <c r="P27" s="543"/>
      <c r="Q27" s="542"/>
      <c r="R27" s="543"/>
      <c r="S27" s="542"/>
      <c r="T27" s="543"/>
      <c r="U27" s="542"/>
      <c r="V27" s="543"/>
    </row>
    <row r="28" spans="2:22" ht="16.2" customHeight="1" thickBot="1">
      <c r="C28" s="522"/>
      <c r="D28" s="523"/>
      <c r="E28" s="522"/>
      <c r="F28" s="523"/>
      <c r="G28" s="522"/>
      <c r="H28" s="523"/>
      <c r="I28" s="522"/>
      <c r="J28" s="523"/>
      <c r="O28" s="542"/>
      <c r="P28" s="543"/>
      <c r="Q28" s="542"/>
      <c r="R28" s="543"/>
      <c r="S28" s="542"/>
      <c r="T28" s="543"/>
      <c r="U28" s="542"/>
      <c r="V28" s="543"/>
    </row>
    <row r="29" spans="2:22" ht="16.2" customHeight="1" thickBot="1">
      <c r="B29" s="530" t="s">
        <v>1552</v>
      </c>
      <c r="C29" s="527" t="e">
        <f t="shared" ref="C29:C35" si="4">C11</f>
        <v>#N/A</v>
      </c>
      <c r="D29" s="551" t="e">
        <f>C29/C$27</f>
        <v>#N/A</v>
      </c>
      <c r="E29" s="527" t="e">
        <f t="shared" ref="E29:E35" si="5">E11</f>
        <v>#N/A</v>
      </c>
      <c r="F29" s="551" t="e">
        <f>E29/E$27</f>
        <v>#N/A</v>
      </c>
      <c r="G29" s="527">
        <f t="shared" ref="G29:G35" si="6">G11</f>
        <v>0</v>
      </c>
      <c r="H29" s="551" t="e">
        <f>G29/G$27</f>
        <v>#DIV/0!</v>
      </c>
      <c r="I29" s="527">
        <f t="shared" ref="I29:I35" si="7">I11</f>
        <v>0</v>
      </c>
      <c r="J29" s="551" t="e">
        <f>I29/I$27</f>
        <v>#DIV/0!</v>
      </c>
      <c r="K29" s="529"/>
      <c r="L29" s="531">
        <v>0.46</v>
      </c>
      <c r="M29" s="531">
        <v>0.5</v>
      </c>
      <c r="N29" s="532"/>
      <c r="O29" s="537" t="e">
        <f>(D29-$L29)*C$9</f>
        <v>#N/A</v>
      </c>
      <c r="P29" s="547" t="e">
        <f>(D29-$M29)*C$9</f>
        <v>#N/A</v>
      </c>
      <c r="Q29" s="537" t="e">
        <f>(F29-$L29)*E$9</f>
        <v>#N/A</v>
      </c>
      <c r="R29" s="547" t="e">
        <f>(F29-$M29)*E$9</f>
        <v>#N/A</v>
      </c>
      <c r="S29" s="537" t="e">
        <f>(H29-$L29)*G$9</f>
        <v>#DIV/0!</v>
      </c>
      <c r="T29" s="547" t="e">
        <f>(H29-$M29)*G$9</f>
        <v>#DIV/0!</v>
      </c>
      <c r="U29" s="537" t="e">
        <f>(J29-$L29)*I$9</f>
        <v>#DIV/0!</v>
      </c>
      <c r="V29" s="547" t="e">
        <f>(J29-$M29)*I$9</f>
        <v>#DIV/0!</v>
      </c>
    </row>
    <row r="30" spans="2:22" ht="16.2" customHeight="1" thickBot="1">
      <c r="B30" s="535" t="s">
        <v>1553</v>
      </c>
      <c r="C30" s="527" t="e">
        <f t="shared" si="4"/>
        <v>#N/A</v>
      </c>
      <c r="D30" s="551" t="e">
        <f t="shared" ref="D30:F33" si="8">C30/C$27</f>
        <v>#N/A</v>
      </c>
      <c r="E30" s="527" t="e">
        <f t="shared" si="5"/>
        <v>#N/A</v>
      </c>
      <c r="F30" s="551" t="e">
        <f t="shared" si="8"/>
        <v>#N/A</v>
      </c>
      <c r="G30" s="527">
        <f t="shared" si="6"/>
        <v>0</v>
      </c>
      <c r="H30" s="551" t="e">
        <f t="shared" ref="H30:J33" si="9">G30/G$27</f>
        <v>#DIV/0!</v>
      </c>
      <c r="I30" s="527">
        <f t="shared" si="7"/>
        <v>0</v>
      </c>
      <c r="J30" s="551" t="e">
        <f t="shared" si="9"/>
        <v>#DIV/0!</v>
      </c>
      <c r="K30" s="529"/>
      <c r="L30" s="531">
        <v>0.16</v>
      </c>
      <c r="M30" s="531">
        <v>0.19</v>
      </c>
      <c r="N30" s="532"/>
      <c r="O30" s="537" t="e">
        <f>(D30-$L30)*C$9</f>
        <v>#N/A</v>
      </c>
      <c r="P30" s="547" t="e">
        <f>(D30-$M30)*$C$27</f>
        <v>#N/A</v>
      </c>
      <c r="Q30" s="537" t="e">
        <f>(F30-$L30)*E$9</f>
        <v>#N/A</v>
      </c>
      <c r="R30" s="547" t="e">
        <f>(F30-$M30)*$E$9</f>
        <v>#N/A</v>
      </c>
      <c r="S30" s="537" t="e">
        <f>(H30-$L30)*G$9</f>
        <v>#DIV/0!</v>
      </c>
      <c r="T30" s="547" t="e">
        <f>(H30-$M30)*G$9</f>
        <v>#DIV/0!</v>
      </c>
      <c r="U30" s="537" t="e">
        <f>(J30-$L30)*I$9</f>
        <v>#DIV/0!</v>
      </c>
      <c r="V30" s="547" t="e">
        <f>(J30-$M30)*I$9</f>
        <v>#DIV/0!</v>
      </c>
    </row>
    <row r="31" spans="2:22" ht="16.2" customHeight="1" thickBot="1">
      <c r="B31" s="535" t="s">
        <v>1554</v>
      </c>
      <c r="C31" s="527" t="e">
        <f t="shared" si="4"/>
        <v>#N/A</v>
      </c>
      <c r="D31" s="551" t="e">
        <f t="shared" si="8"/>
        <v>#N/A</v>
      </c>
      <c r="E31" s="527" t="e">
        <f t="shared" si="5"/>
        <v>#N/A</v>
      </c>
      <c r="F31" s="551" t="e">
        <f t="shared" si="8"/>
        <v>#N/A</v>
      </c>
      <c r="G31" s="527">
        <f t="shared" si="6"/>
        <v>0</v>
      </c>
      <c r="H31" s="551" t="e">
        <f t="shared" si="9"/>
        <v>#DIV/0!</v>
      </c>
      <c r="I31" s="527">
        <f t="shared" si="7"/>
        <v>0</v>
      </c>
      <c r="J31" s="551" t="e">
        <f t="shared" si="9"/>
        <v>#DIV/0!</v>
      </c>
      <c r="K31" s="529"/>
      <c r="L31" s="531">
        <v>0.1</v>
      </c>
      <c r="M31" s="531">
        <v>0.13</v>
      </c>
      <c r="N31" s="532"/>
      <c r="O31" s="537" t="e">
        <f>(D31-$L31)*C$9</f>
        <v>#N/A</v>
      </c>
      <c r="P31" s="547" t="e">
        <f>(D31-$M31)*$E$9</f>
        <v>#N/A</v>
      </c>
      <c r="Q31" s="537" t="e">
        <f>(F31-$L31)*E$9</f>
        <v>#N/A</v>
      </c>
      <c r="R31" s="547" t="e">
        <f>(F31-$M31)*$E$9</f>
        <v>#N/A</v>
      </c>
      <c r="S31" s="537" t="e">
        <f>(H31-$L31)*G$9</f>
        <v>#DIV/0!</v>
      </c>
      <c r="T31" s="547" t="e">
        <f>(H31-$M31)*G$9</f>
        <v>#DIV/0!</v>
      </c>
      <c r="U31" s="537" t="e">
        <f>(J31-$L31)*I$9</f>
        <v>#DIV/0!</v>
      </c>
      <c r="V31" s="547" t="e">
        <f>(J31-$M31)*I$9</f>
        <v>#DIV/0!</v>
      </c>
    </row>
    <row r="32" spans="2:22" ht="16.2" customHeight="1" thickBot="1">
      <c r="B32" s="535" t="s">
        <v>1545</v>
      </c>
      <c r="C32" s="527" t="e">
        <f t="shared" si="4"/>
        <v>#N/A</v>
      </c>
      <c r="D32" s="551" t="e">
        <f t="shared" si="8"/>
        <v>#N/A</v>
      </c>
      <c r="E32" s="527" t="e">
        <f t="shared" si="5"/>
        <v>#N/A</v>
      </c>
      <c r="F32" s="551" t="e">
        <f t="shared" si="8"/>
        <v>#N/A</v>
      </c>
      <c r="G32" s="527">
        <f t="shared" si="6"/>
        <v>0</v>
      </c>
      <c r="H32" s="551" t="e">
        <f t="shared" si="9"/>
        <v>#DIV/0!</v>
      </c>
      <c r="I32" s="527">
        <f t="shared" si="7"/>
        <v>0</v>
      </c>
      <c r="J32" s="551" t="e">
        <f t="shared" si="9"/>
        <v>#DIV/0!</v>
      </c>
      <c r="K32" s="529"/>
      <c r="L32" s="531">
        <v>0.76</v>
      </c>
      <c r="M32" s="531">
        <v>0.79</v>
      </c>
      <c r="N32" s="532"/>
      <c r="O32" s="537" t="e">
        <f>(D32-$L32)*C$9</f>
        <v>#N/A</v>
      </c>
      <c r="P32" s="547" t="e">
        <f>(D32-$M32)*$E$9</f>
        <v>#N/A</v>
      </c>
      <c r="Q32" s="537" t="e">
        <f>(F32-$L32)*E$9</f>
        <v>#N/A</v>
      </c>
      <c r="R32" s="547" t="e">
        <f>(F32-$M32)*$E$9</f>
        <v>#N/A</v>
      </c>
      <c r="S32" s="537" t="e">
        <f>(H32-$L32)*G$9</f>
        <v>#DIV/0!</v>
      </c>
      <c r="T32" s="547" t="e">
        <f>(H32-$M32)*G$9</f>
        <v>#DIV/0!</v>
      </c>
      <c r="U32" s="537" t="e">
        <f>(J32-$L32)*I$9</f>
        <v>#DIV/0!</v>
      </c>
      <c r="V32" s="547" t="e">
        <f>(J32-$M32)*I$9</f>
        <v>#DIV/0!</v>
      </c>
    </row>
    <row r="33" spans="2:22" ht="16.2" customHeight="1" thickBot="1">
      <c r="B33" s="535" t="s">
        <v>1546</v>
      </c>
      <c r="C33" s="527" t="e">
        <f t="shared" si="4"/>
        <v>#N/A</v>
      </c>
      <c r="D33" s="551" t="e">
        <f t="shared" si="8"/>
        <v>#N/A</v>
      </c>
      <c r="E33" s="527" t="e">
        <f t="shared" si="5"/>
        <v>#N/A</v>
      </c>
      <c r="F33" s="551" t="e">
        <f t="shared" si="8"/>
        <v>#N/A</v>
      </c>
      <c r="G33" s="527">
        <f t="shared" si="6"/>
        <v>0</v>
      </c>
      <c r="H33" s="551" t="e">
        <f t="shared" si="9"/>
        <v>#DIV/0!</v>
      </c>
      <c r="I33" s="527">
        <f t="shared" si="7"/>
        <v>0</v>
      </c>
      <c r="J33" s="551" t="e">
        <f t="shared" si="9"/>
        <v>#DIV/0!</v>
      </c>
      <c r="K33" s="529"/>
      <c r="L33" s="531">
        <v>0.21</v>
      </c>
      <c r="M33" s="531">
        <v>0.24</v>
      </c>
      <c r="N33" s="532"/>
      <c r="O33" s="537" t="e">
        <f>(D33-$L33)*C$9</f>
        <v>#N/A</v>
      </c>
      <c r="P33" s="547" t="e">
        <f>(D33-$M33)*$E$9</f>
        <v>#N/A</v>
      </c>
      <c r="Q33" s="537" t="e">
        <f>(F33-$L33)*E$9</f>
        <v>#N/A</v>
      </c>
      <c r="R33" s="547" t="e">
        <f>(F33-$M33)*$E$9</f>
        <v>#N/A</v>
      </c>
      <c r="S33" s="537" t="e">
        <f>(H33-$L33)*G$9</f>
        <v>#DIV/0!</v>
      </c>
      <c r="T33" s="547" t="e">
        <f>(H33-$M33)*G$9</f>
        <v>#DIV/0!</v>
      </c>
      <c r="U33" s="537" t="e">
        <f>(J33-$L33)*I$9</f>
        <v>#DIV/0!</v>
      </c>
      <c r="V33" s="547" t="e">
        <f>(J33-$M33)*I$9</f>
        <v>#DIV/0!</v>
      </c>
    </row>
    <row r="34" spans="2:22" ht="16.2" customHeight="1" thickBot="1">
      <c r="B34" s="535" t="s">
        <v>1547</v>
      </c>
      <c r="C34" s="527">
        <f t="shared" si="4"/>
        <v>0</v>
      </c>
      <c r="D34" s="551" t="e">
        <f>C34/C$29</f>
        <v>#N/A</v>
      </c>
      <c r="E34" s="527">
        <f t="shared" si="5"/>
        <v>0</v>
      </c>
      <c r="F34" s="551" t="e">
        <f>E34/E$29</f>
        <v>#N/A</v>
      </c>
      <c r="G34" s="522">
        <f t="shared" si="6"/>
        <v>0</v>
      </c>
      <c r="H34" s="551" t="e">
        <f>G34/G$29</f>
        <v>#DIV/0!</v>
      </c>
      <c r="I34" s="522">
        <f t="shared" si="7"/>
        <v>0</v>
      </c>
      <c r="J34" s="551" t="e">
        <f>I34/I$29</f>
        <v>#DIV/0!</v>
      </c>
      <c r="K34" s="529"/>
      <c r="L34" s="531">
        <v>0.19</v>
      </c>
      <c r="M34" s="531">
        <v>0.23</v>
      </c>
      <c r="N34" s="532"/>
      <c r="O34" s="537" t="str">
        <f>IF(C34=0,"Please Enter Data",(D34-$L34)*C$29)</f>
        <v>Please Enter Data</v>
      </c>
      <c r="P34" s="538" t="str">
        <f>IF(C34=0,"Please Enter Data",(D34-$L34)*C$11)</f>
        <v>Please Enter Data</v>
      </c>
      <c r="Q34" s="537" t="str">
        <f>IF(E34=0,"Please Enter Data",(F34-$L34)*E$29)</f>
        <v>Please Enter Data</v>
      </c>
      <c r="R34" s="538" t="str">
        <f>IF(E34=0,"Please Enter Data",(F34-$L34)*E$11)</f>
        <v>Please Enter Data</v>
      </c>
      <c r="S34" s="537" t="str">
        <f>IF(G34=0,"Please Enter Data",(H34-$L34)*G$29)</f>
        <v>Please Enter Data</v>
      </c>
      <c r="T34" s="538" t="str">
        <f>IF(G34=0,"Please Enter Data",(H34-$L34)*G$11)</f>
        <v>Please Enter Data</v>
      </c>
      <c r="U34" s="537" t="str">
        <f>IF(I34=0,"Please Enter Data",(J34-$L34)*I$29)</f>
        <v>Please Enter Data</v>
      </c>
      <c r="V34" s="538" t="str">
        <f>IF(I34=0,"Please Enter Data",(J34-$L34)*I$11)</f>
        <v>Please Enter Data</v>
      </c>
    </row>
    <row r="35" spans="2:22" ht="16.2" customHeight="1" thickBot="1">
      <c r="B35" s="535" t="s">
        <v>1548</v>
      </c>
      <c r="C35" s="548">
        <f t="shared" si="4"/>
        <v>0</v>
      </c>
      <c r="D35" s="552" t="e">
        <f>C35/C$29</f>
        <v>#N/A</v>
      </c>
      <c r="E35" s="548">
        <f t="shared" si="5"/>
        <v>0</v>
      </c>
      <c r="F35" s="552" t="e">
        <f>E35/E$29</f>
        <v>#N/A</v>
      </c>
      <c r="G35" s="549">
        <f t="shared" si="6"/>
        <v>0</v>
      </c>
      <c r="H35" s="552" t="e">
        <f>G35/G$29</f>
        <v>#DIV/0!</v>
      </c>
      <c r="I35" s="549">
        <f t="shared" si="7"/>
        <v>0</v>
      </c>
      <c r="J35" s="552" t="e">
        <f>I35/I$29</f>
        <v>#DIV/0!</v>
      </c>
      <c r="K35" s="529"/>
      <c r="L35" s="531">
        <v>0.2</v>
      </c>
      <c r="M35" s="531">
        <v>0.24</v>
      </c>
      <c r="N35" s="532"/>
      <c r="O35" s="540" t="str">
        <f>IF(C35=0,"Please Enter Data",(D35-$L35)*C$29)</f>
        <v>Please Enter Data</v>
      </c>
      <c r="P35" s="541" t="str">
        <f>IF(C35=0,"Please Enter Data",(D35-$L35)*C$11)</f>
        <v>Please Enter Data</v>
      </c>
      <c r="Q35" s="540" t="str">
        <f>IF(E35=0,"Please Enter Data",(F35-$L35)*E$29)</f>
        <v>Please Enter Data</v>
      </c>
      <c r="R35" s="541" t="str">
        <f>IF(E35=0,"Please Enter Data",(F35-$L35)*E$11)</f>
        <v>Please Enter Data</v>
      </c>
      <c r="S35" s="540" t="str">
        <f>IF(G35=0,"Please Enter Data",(H35-$L35)*G$29)</f>
        <v>Please Enter Data</v>
      </c>
      <c r="T35" s="541" t="str">
        <f>IF(G35=0,"Please Enter Data",(H35-$L35)*G$11)</f>
        <v>Please Enter Data</v>
      </c>
      <c r="U35" s="540" t="str">
        <f>IF(I35=0,"Please Enter Data",(J35-$L35)*I$29)</f>
        <v>Please Enter Data</v>
      </c>
      <c r="V35" s="541" t="str">
        <f>IF(I35=0,"Please Enter Data",(J35-$L35)*I$11)</f>
        <v>Please Enter Data</v>
      </c>
    </row>
  </sheetData>
  <sheetProtection sheet="1" objects="1" scenarios="1"/>
  <mergeCells count="21">
    <mergeCell ref="U21:V21"/>
    <mergeCell ref="S3:T3"/>
    <mergeCell ref="U3:V3"/>
    <mergeCell ref="O19:V20"/>
    <mergeCell ref="C21:D21"/>
    <mergeCell ref="E21:F21"/>
    <mergeCell ref="G21:H21"/>
    <mergeCell ref="I21:J21"/>
    <mergeCell ref="O21:P21"/>
    <mergeCell ref="Q21:R21"/>
    <mergeCell ref="S21:T21"/>
    <mergeCell ref="C1:D2"/>
    <mergeCell ref="E1:J2"/>
    <mergeCell ref="O1:V2"/>
    <mergeCell ref="C3:D3"/>
    <mergeCell ref="E3:F3"/>
    <mergeCell ref="G3:H3"/>
    <mergeCell ref="I3:J3"/>
    <mergeCell ref="L3:M3"/>
    <mergeCell ref="O3:P3"/>
    <mergeCell ref="Q3:R3"/>
  </mergeCells>
  <conditionalFormatting sqref="D11:D17">
    <cfRule type="cellIs" dxfId="45" priority="7" operator="greaterThan">
      <formula>$M11</formula>
    </cfRule>
    <cfRule type="cellIs" dxfId="44" priority="8" operator="lessThan">
      <formula>$L11</formula>
    </cfRule>
    <cfRule type="cellIs" dxfId="43" priority="9" operator="between">
      <formula>$L11</formula>
      <formula>"$K10"</formula>
    </cfRule>
  </conditionalFormatting>
  <conditionalFormatting sqref="D29:D35">
    <cfRule type="cellIs" dxfId="42" priority="10" operator="greaterThan">
      <formula>$M29</formula>
    </cfRule>
    <cfRule type="cellIs" dxfId="41" priority="11" operator="lessThan">
      <formula>$L29</formula>
    </cfRule>
    <cfRule type="cellIs" dxfId="40" priority="12" operator="between">
      <formula>$L29</formula>
      <formula>"$K10"</formula>
    </cfRule>
  </conditionalFormatting>
  <conditionalFormatting sqref="F11:F17">
    <cfRule type="cellIs" dxfId="39" priority="28" operator="greaterThan">
      <formula>$M11</formula>
    </cfRule>
    <cfRule type="cellIs" dxfId="38" priority="29" operator="lessThan">
      <formula>$L11</formula>
    </cfRule>
    <cfRule type="cellIs" dxfId="37" priority="30" operator="between">
      <formula>$L11</formula>
      <formula>"$K10"</formula>
    </cfRule>
  </conditionalFormatting>
  <conditionalFormatting sqref="F29:F35">
    <cfRule type="cellIs" dxfId="36" priority="19" operator="greaterThan">
      <formula>$M29</formula>
    </cfRule>
    <cfRule type="cellIs" dxfId="35" priority="20" operator="lessThan">
      <formula>$L29</formula>
    </cfRule>
    <cfRule type="cellIs" dxfId="34" priority="21" operator="between">
      <formula>$L29</formula>
      <formula>"$K10"</formula>
    </cfRule>
  </conditionalFormatting>
  <conditionalFormatting sqref="H11:H17">
    <cfRule type="cellIs" dxfId="33" priority="25" operator="greaterThan">
      <formula>$M11</formula>
    </cfRule>
    <cfRule type="cellIs" dxfId="32" priority="26" operator="lessThan">
      <formula>$L11</formula>
    </cfRule>
    <cfRule type="cellIs" dxfId="31" priority="27" operator="between">
      <formula>$L11</formula>
      <formula>"$K10"</formula>
    </cfRule>
  </conditionalFormatting>
  <conditionalFormatting sqref="H29:H35">
    <cfRule type="cellIs" dxfId="30" priority="16" operator="greaterThan">
      <formula>$M29</formula>
    </cfRule>
    <cfRule type="cellIs" dxfId="29" priority="17" operator="lessThan">
      <formula>$L29</formula>
    </cfRule>
    <cfRule type="cellIs" dxfId="28" priority="18" operator="between">
      <formula>$L29</formula>
      <formula>"$K10"</formula>
    </cfRule>
  </conditionalFormatting>
  <conditionalFormatting sqref="J11:J17">
    <cfRule type="cellIs" dxfId="27" priority="22" operator="greaterThan">
      <formula>$M11</formula>
    </cfRule>
    <cfRule type="cellIs" dxfId="26" priority="23" operator="lessThan">
      <formula>$L11</formula>
    </cfRule>
    <cfRule type="cellIs" dxfId="25" priority="24" operator="between">
      <formula>$L11</formula>
      <formula>"$K10"</formula>
    </cfRule>
  </conditionalFormatting>
  <conditionalFormatting sqref="J29:J35">
    <cfRule type="cellIs" dxfId="24" priority="13" operator="greaterThan">
      <formula>$M29</formula>
    </cfRule>
    <cfRule type="cellIs" dxfId="23" priority="14" operator="lessThan">
      <formula>$L29</formula>
    </cfRule>
    <cfRule type="cellIs" dxfId="22" priority="15" operator="between">
      <formula>$L29</formula>
      <formula>"$K10"</formula>
    </cfRule>
  </conditionalFormatting>
  <conditionalFormatting sqref="O11:V17">
    <cfRule type="cellIs" dxfId="21" priority="5" operator="lessThan">
      <formula>0</formula>
    </cfRule>
    <cfRule type="cellIs" dxfId="20" priority="6" operator="greaterThan">
      <formula>0</formula>
    </cfRule>
  </conditionalFormatting>
  <conditionalFormatting sqref="O16:V17">
    <cfRule type="cellIs" priority="4" operator="equal">
      <formula>"Please Enter Data"</formula>
    </cfRule>
  </conditionalFormatting>
  <conditionalFormatting sqref="O29:V35">
    <cfRule type="cellIs" dxfId="19" priority="2" operator="lessThan">
      <formula>0</formula>
    </cfRule>
    <cfRule type="cellIs" dxfId="18" priority="3" operator="greaterThan">
      <formula>0</formula>
    </cfRule>
  </conditionalFormatting>
  <conditionalFormatting sqref="O34:V35">
    <cfRule type="cellIs" priority="1" operator="equal">
      <formula>"Please Enter Data"</formula>
    </cfRule>
  </conditionalFormatting>
  <printOptions gridLines="1"/>
  <pageMargins left="0.7" right="0.7" top="0.75" bottom="0.75" header="0.3" footer="0.3"/>
  <pageSetup paperSize="9" scale="93" fitToWidth="0" orientation="landscape" horizontalDpi="300" verticalDpi="0" r:id="rId1"/>
  <colBreaks count="1" manualBreakCount="1">
    <brk id="13" max="1048575"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1BAEF-FA5C-4310-85FB-36CFB7620AB3}">
  <sheetPr codeName="Sheet19"/>
  <dimension ref="B3:M42"/>
  <sheetViews>
    <sheetView workbookViewId="0">
      <selection activeCell="D13" sqref="D13"/>
    </sheetView>
  </sheetViews>
  <sheetFormatPr defaultRowHeight="13.2"/>
  <cols>
    <col min="2" max="2" width="46.5546875" customWidth="1"/>
    <col min="3" max="3" width="18.44140625" customWidth="1"/>
    <col min="4" max="4" width="16.44140625" customWidth="1"/>
    <col min="5" max="5" width="4.6640625" customWidth="1"/>
    <col min="6" max="7" width="10.44140625" bestFit="1" customWidth="1"/>
    <col min="8" max="8" width="4.33203125" customWidth="1"/>
    <col min="9" max="10" width="11.88671875" customWidth="1"/>
    <col min="11" max="11" width="4" customWidth="1"/>
    <col min="12" max="12" width="12.44140625" customWidth="1"/>
    <col min="13" max="13" width="13.109375" customWidth="1"/>
    <col min="14" max="14" width="3.33203125" customWidth="1"/>
  </cols>
  <sheetData>
    <row r="3" spans="2:4" ht="17.399999999999999">
      <c r="B3" s="556" t="s">
        <v>1564</v>
      </c>
    </row>
    <row r="4" spans="2:4" ht="17.399999999999999">
      <c r="B4" s="556" t="s">
        <v>1565</v>
      </c>
    </row>
    <row r="5" spans="2:4" ht="17.399999999999999">
      <c r="B5" s="556" t="s">
        <v>1582</v>
      </c>
    </row>
    <row r="7" spans="2:4" ht="18" customHeight="1">
      <c r="B7" s="554" t="s">
        <v>1563</v>
      </c>
      <c r="C7" s="689"/>
      <c r="D7" t="s">
        <v>1566</v>
      </c>
    </row>
    <row r="8" spans="2:4" ht="18" customHeight="1">
      <c r="B8" s="554"/>
    </row>
    <row r="9" spans="2:4" ht="18" customHeight="1">
      <c r="B9" s="554" t="s">
        <v>1568</v>
      </c>
      <c r="C9" s="689"/>
      <c r="D9" s="251" t="s">
        <v>1599</v>
      </c>
    </row>
    <row r="10" spans="2:4" ht="18" customHeight="1">
      <c r="B10" s="554"/>
    </row>
    <row r="11" spans="2:4" ht="18" customHeight="1">
      <c r="B11" s="554" t="s">
        <v>1569</v>
      </c>
      <c r="C11" s="689"/>
      <c r="D11" s="251" t="s">
        <v>1570</v>
      </c>
    </row>
    <row r="12" spans="2:4" ht="18" customHeight="1">
      <c r="B12" s="554"/>
    </row>
    <row r="13" spans="2:4" ht="18" customHeight="1">
      <c r="B13" s="554" t="s">
        <v>1589</v>
      </c>
      <c r="C13">
        <f>C11*C9</f>
        <v>0</v>
      </c>
      <c r="D13" t="s">
        <v>1600</v>
      </c>
    </row>
    <row r="14" spans="2:4" ht="18" customHeight="1">
      <c r="B14" s="554"/>
    </row>
    <row r="15" spans="2:4" ht="18" customHeight="1">
      <c r="B15" s="554" t="s">
        <v>1561</v>
      </c>
      <c r="C15" s="689"/>
      <c r="D15" s="251" t="s">
        <v>1567</v>
      </c>
    </row>
    <row r="16" spans="2:4" ht="18" customHeight="1">
      <c r="B16" s="554"/>
      <c r="D16" s="553" t="s">
        <v>1596</v>
      </c>
    </row>
    <row r="17" spans="2:13" ht="18" customHeight="1">
      <c r="B17" s="554" t="s">
        <v>1590</v>
      </c>
      <c r="C17">
        <f>C15*C11</f>
        <v>0</v>
      </c>
      <c r="D17" t="s">
        <v>1591</v>
      </c>
    </row>
    <row r="18" spans="2:13" ht="18" customHeight="1">
      <c r="B18" s="554"/>
    </row>
    <row r="19" spans="2:13" ht="18" customHeight="1">
      <c r="B19" s="554" t="s">
        <v>1562</v>
      </c>
      <c r="C19" s="689"/>
      <c r="D19" t="s">
        <v>1588</v>
      </c>
    </row>
    <row r="20" spans="2:13" ht="18" customHeight="1">
      <c r="B20" s="554"/>
      <c r="D20" s="553" t="s">
        <v>1601</v>
      </c>
    </row>
    <row r="21" spans="2:13" ht="27.6" hidden="1" customHeight="1">
      <c r="B21" s="555" t="s">
        <v>1571</v>
      </c>
      <c r="C21" s="550"/>
      <c r="D21" s="251" t="s">
        <v>1572</v>
      </c>
    </row>
    <row r="22" spans="2:13" ht="18" hidden="1" customHeight="1">
      <c r="B22" s="554"/>
      <c r="D22" s="553" t="s">
        <v>1573</v>
      </c>
    </row>
    <row r="23" spans="2:13" ht="37.799999999999997" hidden="1" customHeight="1">
      <c r="B23" s="555" t="s">
        <v>1574</v>
      </c>
      <c r="C23" s="550"/>
      <c r="D23" s="251" t="s">
        <v>1575</v>
      </c>
    </row>
    <row r="24" spans="2:13" ht="18" hidden="1" customHeight="1">
      <c r="B24" s="554"/>
      <c r="D24" s="553" t="s">
        <v>1576</v>
      </c>
    </row>
    <row r="25" spans="2:13" ht="18" hidden="1" customHeight="1">
      <c r="B25" s="554" t="s">
        <v>1580</v>
      </c>
      <c r="C25" s="550"/>
      <c r="D25" s="251" t="s">
        <v>1577</v>
      </c>
    </row>
    <row r="26" spans="2:13" ht="18" hidden="1" customHeight="1">
      <c r="B26" s="554"/>
      <c r="D26" s="553" t="s">
        <v>1579</v>
      </c>
    </row>
    <row r="27" spans="2:13" ht="29.4" hidden="1" customHeight="1">
      <c r="B27" s="555" t="s">
        <v>1581</v>
      </c>
      <c r="C27" s="550"/>
      <c r="D27" s="251" t="s">
        <v>1578</v>
      </c>
    </row>
    <row r="28" spans="2:13" ht="18" customHeight="1">
      <c r="D28" s="553"/>
    </row>
    <row r="30" spans="2:13" ht="13.8" thickBot="1"/>
    <row r="31" spans="2:13" ht="13.8">
      <c r="B31" s="554"/>
      <c r="C31" s="554"/>
      <c r="D31" s="652" t="s">
        <v>1602</v>
      </c>
      <c r="E31" s="554"/>
      <c r="F31" s="653" t="s">
        <v>1584</v>
      </c>
      <c r="G31" s="654"/>
      <c r="H31" s="655"/>
      <c r="I31" s="653" t="s">
        <v>1586</v>
      </c>
      <c r="J31" s="654"/>
      <c r="K31" s="655"/>
      <c r="L31" s="653" t="s">
        <v>1585</v>
      </c>
      <c r="M31" s="654"/>
    </row>
    <row r="32" spans="2:13" ht="13.8">
      <c r="B32" s="554"/>
      <c r="C32" s="554"/>
      <c r="D32" s="656" t="s">
        <v>1603</v>
      </c>
      <c r="E32" s="554"/>
      <c r="F32" s="657" t="s">
        <v>1533</v>
      </c>
      <c r="G32" s="658" t="s">
        <v>1534</v>
      </c>
      <c r="H32" s="659"/>
      <c r="I32" s="657" t="s">
        <v>1533</v>
      </c>
      <c r="J32" s="658" t="s">
        <v>1534</v>
      </c>
      <c r="K32" s="659"/>
      <c r="L32" s="657" t="s">
        <v>1587</v>
      </c>
      <c r="M32" s="658" t="s">
        <v>1534</v>
      </c>
    </row>
    <row r="33" spans="2:13" ht="13.8">
      <c r="B33" s="554"/>
      <c r="C33" s="554"/>
      <c r="D33" s="660"/>
      <c r="E33" s="554"/>
      <c r="F33" s="661"/>
      <c r="G33" s="662"/>
      <c r="H33" s="554"/>
      <c r="I33" s="661"/>
      <c r="J33" s="662"/>
      <c r="K33" s="554"/>
      <c r="L33" s="657" t="s">
        <v>489</v>
      </c>
      <c r="M33" s="658" t="s">
        <v>489</v>
      </c>
    </row>
    <row r="34" spans="2:13" ht="33.6" customHeight="1">
      <c r="B34" s="554" t="s">
        <v>1583</v>
      </c>
      <c r="C34" s="555" t="s">
        <v>1592</v>
      </c>
      <c r="D34" s="663" t="e">
        <f>'Rev Income Spend B''mark Metrics'!I11/C15</f>
        <v>#DIV/0!</v>
      </c>
      <c r="E34" s="554"/>
      <c r="F34" s="664">
        <v>67500</v>
      </c>
      <c r="G34" s="665">
        <v>72500</v>
      </c>
      <c r="H34" s="554"/>
      <c r="I34" s="666" t="e">
        <f>D34-F34</f>
        <v>#DIV/0!</v>
      </c>
      <c r="J34" s="667" t="e">
        <f>D34-G34</f>
        <v>#DIV/0!</v>
      </c>
      <c r="K34" s="668"/>
      <c r="L34" s="666" t="e">
        <f>I34*C15</f>
        <v>#DIV/0!</v>
      </c>
      <c r="M34" s="667" t="e">
        <f>J34*C15</f>
        <v>#DIV/0!</v>
      </c>
    </row>
    <row r="35" spans="2:13" ht="13.8">
      <c r="B35" s="554"/>
      <c r="C35" s="555"/>
      <c r="D35" s="669"/>
      <c r="E35" s="554"/>
      <c r="F35" s="670"/>
      <c r="G35" s="671"/>
      <c r="H35" s="554"/>
      <c r="I35" s="670"/>
      <c r="J35" s="671"/>
      <c r="K35" s="668"/>
      <c r="L35" s="670"/>
      <c r="M35" s="671"/>
    </row>
    <row r="36" spans="2:13" ht="27.6">
      <c r="B36" s="554" t="s">
        <v>1557</v>
      </c>
      <c r="C36" s="555" t="s">
        <v>1593</v>
      </c>
      <c r="D36" s="672" t="e">
        <f>C7/C15</f>
        <v>#DIV/0!</v>
      </c>
      <c r="E36" s="554"/>
      <c r="F36" s="670">
        <v>21.5</v>
      </c>
      <c r="G36" s="671">
        <v>23.5</v>
      </c>
      <c r="H36" s="554"/>
      <c r="I36" s="673" t="e">
        <f>D36-F36</f>
        <v>#DIV/0!</v>
      </c>
      <c r="J36" s="674" t="e">
        <f>D36-G36</f>
        <v>#DIV/0!</v>
      </c>
      <c r="K36" s="668"/>
      <c r="L36" s="666" t="e">
        <f>-($C$15-($C$7/F36))*$D$34</f>
        <v>#DIV/0!</v>
      </c>
      <c r="M36" s="667" t="e">
        <f>-($C$15-($C$7/G36))*$D$34</f>
        <v>#DIV/0!</v>
      </c>
    </row>
    <row r="37" spans="2:13" ht="13.8">
      <c r="B37" s="554"/>
      <c r="C37" s="555"/>
      <c r="D37" s="672"/>
      <c r="E37" s="554"/>
      <c r="F37" s="670"/>
      <c r="G37" s="671"/>
      <c r="H37" s="554"/>
      <c r="I37" s="673"/>
      <c r="J37" s="674"/>
      <c r="K37" s="668"/>
      <c r="L37" s="673"/>
      <c r="M37" s="674"/>
    </row>
    <row r="38" spans="2:13" ht="27.6">
      <c r="B38" s="554" t="s">
        <v>1558</v>
      </c>
      <c r="C38" s="555" t="s">
        <v>1594</v>
      </c>
      <c r="D38" s="672" t="e">
        <f>C7/SUM(C15,C19)</f>
        <v>#DIV/0!</v>
      </c>
      <c r="E38" s="554"/>
      <c r="F38" s="670">
        <v>10</v>
      </c>
      <c r="G38" s="671">
        <v>11.5</v>
      </c>
      <c r="H38" s="554"/>
      <c r="I38" s="673" t="e">
        <f>D38-F38</f>
        <v>#DIV/0!</v>
      </c>
      <c r="J38" s="674" t="e">
        <f>D38-G38</f>
        <v>#DIV/0!</v>
      </c>
      <c r="K38" s="668"/>
      <c r="L38" s="673">
        <f>(SUM($C$15,$C$19)-($C$7/F38))*'Rev Income Spend B''mark Metrics'!$I$14</f>
        <v>0</v>
      </c>
      <c r="M38" s="674">
        <f>(SUM($C$15,$C$19)-($C$7/G38))*'Rev Income Spend B''mark Metrics'!$I$14</f>
        <v>0</v>
      </c>
    </row>
    <row r="39" spans="2:13" ht="13.8">
      <c r="B39" s="554"/>
      <c r="C39" s="555"/>
      <c r="D39" s="672"/>
      <c r="E39" s="554"/>
      <c r="F39" s="670"/>
      <c r="G39" s="671"/>
      <c r="H39" s="554"/>
      <c r="I39" s="673"/>
      <c r="J39" s="674"/>
      <c r="K39" s="668"/>
      <c r="L39" s="673"/>
      <c r="M39" s="674"/>
    </row>
    <row r="40" spans="2:13" ht="42" thickBot="1">
      <c r="B40" s="554" t="s">
        <v>1560</v>
      </c>
      <c r="C40" s="555" t="s">
        <v>1595</v>
      </c>
      <c r="D40" s="675" t="e">
        <f>C13/(C15*C11)</f>
        <v>#DIV/0!</v>
      </c>
      <c r="E40" s="676"/>
      <c r="F40" s="677">
        <v>0.78</v>
      </c>
      <c r="G40" s="678">
        <v>0.8</v>
      </c>
      <c r="H40" s="676"/>
      <c r="I40" s="679" t="e">
        <f t="shared" ref="I40:I42" si="0">D40-F40</f>
        <v>#DIV/0!</v>
      </c>
      <c r="J40" s="680" t="e">
        <f t="shared" ref="J40:J42" si="1">D40-G40</f>
        <v>#DIV/0!</v>
      </c>
      <c r="K40" s="668"/>
      <c r="L40" s="681" t="e">
        <f>(($C$13/F40-$C$17)/$C$11)*$D$34</f>
        <v>#DIV/0!</v>
      </c>
      <c r="M40" s="682" t="e">
        <f>(($C$13/G40-$C$17)/$C$11)*$D$34</f>
        <v>#DIV/0!</v>
      </c>
    </row>
    <row r="41" spans="2:13">
      <c r="D41" s="558"/>
      <c r="I41" s="558"/>
      <c r="J41" s="558"/>
    </row>
    <row r="42" spans="2:13" hidden="1">
      <c r="B42" s="251" t="s">
        <v>1559</v>
      </c>
      <c r="C42" s="557"/>
      <c r="D42" s="558" t="e">
        <f>C7*C11/C17/D40</f>
        <v>#DIV/0!</v>
      </c>
      <c r="F42">
        <v>29</v>
      </c>
      <c r="G42">
        <v>31</v>
      </c>
      <c r="I42" s="558" t="e">
        <f t="shared" si="0"/>
        <v>#DIV/0!</v>
      </c>
      <c r="J42" s="558" t="e">
        <f t="shared" si="1"/>
        <v>#DIV/0!</v>
      </c>
    </row>
  </sheetData>
  <sheetProtection sheet="1" objects="1" scenarios="1"/>
  <mergeCells count="3">
    <mergeCell ref="F31:G31"/>
    <mergeCell ref="I31:J31"/>
    <mergeCell ref="L31:M31"/>
  </mergeCells>
  <conditionalFormatting sqref="I34:J34">
    <cfRule type="cellIs" dxfId="15" priority="18" operator="greaterThan">
      <formula>0</formula>
    </cfRule>
    <cfRule type="cellIs" dxfId="14" priority="17" operator="lessThan">
      <formula>0</formula>
    </cfRule>
  </conditionalFormatting>
  <conditionalFormatting sqref="I36:J36">
    <cfRule type="cellIs" dxfId="12" priority="14" operator="lessThan">
      <formula>0</formula>
    </cfRule>
    <cfRule type="cellIs" dxfId="13" priority="13" operator="greaterThan">
      <formula>0</formula>
    </cfRule>
  </conditionalFormatting>
  <conditionalFormatting sqref="I38:J38">
    <cfRule type="cellIs" dxfId="10" priority="11" operator="greaterThan">
      <formula>0</formula>
    </cfRule>
    <cfRule type="cellIs" dxfId="11" priority="12" operator="lessThan">
      <formula>0</formula>
    </cfRule>
  </conditionalFormatting>
  <conditionalFormatting sqref="I40:J40">
    <cfRule type="cellIs" dxfId="9" priority="9" operator="greaterThan">
      <formula>0</formula>
    </cfRule>
    <cfRule type="cellIs" dxfId="8" priority="10" operator="lessThan">
      <formula>0</formula>
    </cfRule>
  </conditionalFormatting>
  <conditionalFormatting sqref="L34:M34">
    <cfRule type="cellIs" dxfId="6" priority="7" operator="lessThan">
      <formula>0</formula>
    </cfRule>
    <cfRule type="cellIs" dxfId="7" priority="8" operator="greaterThan">
      <formula>0</formula>
    </cfRule>
  </conditionalFormatting>
  <conditionalFormatting sqref="L36:M36">
    <cfRule type="cellIs" dxfId="4" priority="5" operator="greaterThan">
      <formula>0</formula>
    </cfRule>
    <cfRule type="cellIs" dxfId="5" priority="6" operator="lessThan">
      <formula>0</formula>
    </cfRule>
  </conditionalFormatting>
  <conditionalFormatting sqref="L38:M38">
    <cfRule type="cellIs" dxfId="3" priority="3" operator="greaterThan">
      <formula>0</formula>
    </cfRule>
    <cfRule type="cellIs" dxfId="2" priority="4" operator="lessThan">
      <formula>0</formula>
    </cfRule>
  </conditionalFormatting>
  <conditionalFormatting sqref="L40:M40">
    <cfRule type="cellIs" dxfId="1" priority="1" operator="greaterThan">
      <formula>0</formula>
    </cfRule>
    <cfRule type="cellIs" dxfId="0" priority="2" operator="lessThan">
      <formula>0</formula>
    </cfRule>
  </conditionalFormatting>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HW349"/>
  <sheetViews>
    <sheetView workbookViewId="0">
      <selection activeCell="E247" sqref="E247"/>
    </sheetView>
  </sheetViews>
  <sheetFormatPr defaultColWidth="9.21875" defaultRowHeight="13.2"/>
  <cols>
    <col min="1" max="1" width="13.21875" customWidth="1"/>
    <col min="2" max="2" width="44.77734375" style="270" bestFit="1" customWidth="1"/>
    <col min="3" max="3" width="12.77734375" style="270" bestFit="1" customWidth="1"/>
    <col min="4" max="4" width="21.77734375" style="270" bestFit="1" customWidth="1"/>
    <col min="5" max="5" width="12" style="413" customWidth="1"/>
    <col min="6" max="6" width="12" style="413" bestFit="1" customWidth="1"/>
    <col min="7" max="84" width="12.77734375" style="413" customWidth="1"/>
    <col min="85" max="85" width="11.21875" style="413" hidden="1" customWidth="1"/>
    <col min="86" max="88" width="0" style="413" hidden="1" customWidth="1"/>
    <col min="89" max="89" width="31" style="270" hidden="1" customWidth="1"/>
    <col min="90" max="90" width="17.21875" style="270" hidden="1" customWidth="1"/>
    <col min="91" max="93" width="17.21875" style="413" hidden="1" customWidth="1"/>
    <col min="94" max="94" width="20.44140625" style="270" hidden="1" customWidth="1"/>
    <col min="95" max="99" width="17.21875" style="413" hidden="1" customWidth="1"/>
    <col min="100" max="101" width="17.21875" style="266" hidden="1" customWidth="1"/>
    <col min="102" max="102" width="35.44140625" style="270" hidden="1" customWidth="1"/>
    <col min="103" max="104" width="18.21875" style="413" hidden="1" customWidth="1"/>
    <col min="105" max="105" width="18.21875" style="270" hidden="1" customWidth="1"/>
    <col min="106" max="107" width="0" style="413" hidden="1" customWidth="1"/>
    <col min="108" max="109" width="10.21875" style="413" hidden="1" customWidth="1"/>
    <col min="110" max="111" width="0" style="413" hidden="1" customWidth="1"/>
    <col min="112" max="113" width="10.21875" style="413" hidden="1" customWidth="1"/>
    <col min="114" max="115" width="0" style="413" hidden="1" customWidth="1"/>
    <col min="116" max="117" width="10.21875" style="413" hidden="1" customWidth="1"/>
    <col min="118" max="119" width="0" style="413" hidden="1" customWidth="1"/>
    <col min="120" max="129" width="10.21875" style="413" hidden="1" customWidth="1"/>
    <col min="130" max="141" width="0" style="413" hidden="1" customWidth="1"/>
    <col min="142" max="142" width="10.77734375" style="266" hidden="1" customWidth="1"/>
    <col min="143" max="143" width="10.5546875" style="266" hidden="1" customWidth="1"/>
    <col min="144" max="144" width="11.21875" style="266" hidden="1" customWidth="1"/>
    <col min="145" max="145" width="11" style="266" hidden="1" customWidth="1"/>
    <col min="146" max="146" width="12.5546875" style="266" hidden="1" customWidth="1"/>
    <col min="147" max="147" width="13" style="266" hidden="1" customWidth="1"/>
    <col min="148" max="183" width="0" style="266" hidden="1" customWidth="1"/>
    <col min="184" max="229" width="0" style="413" hidden="1" customWidth="1"/>
    <col min="230" max="230" width="10" style="413" hidden="1" customWidth="1"/>
    <col min="231" max="231" width="10.5546875" style="413" hidden="1" customWidth="1"/>
  </cols>
  <sheetData>
    <row r="1" spans="1:231" ht="12.75" customHeight="1">
      <c r="R1" s="414"/>
      <c r="BH1" s="415"/>
      <c r="BI1" s="415"/>
      <c r="BJ1" s="415"/>
      <c r="BK1" s="415"/>
      <c r="BL1" s="415"/>
      <c r="BM1" s="415"/>
      <c r="BN1" s="415"/>
      <c r="BO1" s="415"/>
      <c r="BP1" s="415"/>
      <c r="BQ1" s="650"/>
      <c r="BR1" s="650"/>
      <c r="BS1" s="650"/>
      <c r="BT1" s="650"/>
      <c r="BU1" s="651"/>
      <c r="BV1" s="651"/>
      <c r="BW1" s="651"/>
      <c r="BX1" s="651"/>
      <c r="BY1" s="651"/>
      <c r="BZ1" s="651"/>
      <c r="CA1" s="651"/>
      <c r="CB1" s="651"/>
      <c r="CC1" s="651"/>
      <c r="CD1" s="651"/>
      <c r="CE1" s="651"/>
      <c r="CF1" s="651"/>
    </row>
    <row r="2" spans="1:231" s="272" customFormat="1" ht="66.75" customHeight="1" thickBot="1">
      <c r="A2" s="272" t="s">
        <v>876</v>
      </c>
      <c r="B2" s="271" t="s">
        <v>877</v>
      </c>
      <c r="C2" s="416" t="s">
        <v>873</v>
      </c>
      <c r="D2" s="416" t="s">
        <v>878</v>
      </c>
      <c r="E2" s="417" t="s">
        <v>491</v>
      </c>
      <c r="F2" s="417" t="s">
        <v>494</v>
      </c>
      <c r="G2" s="417" t="s">
        <v>497</v>
      </c>
      <c r="H2" s="417" t="s">
        <v>500</v>
      </c>
      <c r="I2" s="417" t="s">
        <v>503</v>
      </c>
      <c r="J2" s="417" t="s">
        <v>506</v>
      </c>
      <c r="K2" s="417" t="s">
        <v>509</v>
      </c>
      <c r="L2" s="417" t="s">
        <v>512</v>
      </c>
      <c r="M2" s="417" t="s">
        <v>515</v>
      </c>
      <c r="N2" s="417" t="s">
        <v>518</v>
      </c>
      <c r="O2" s="417" t="s">
        <v>521</v>
      </c>
      <c r="P2" s="417" t="s">
        <v>524</v>
      </c>
      <c r="Q2" s="417" t="s">
        <v>527</v>
      </c>
      <c r="R2" s="417" t="s">
        <v>530</v>
      </c>
      <c r="S2" s="417" t="s">
        <v>533</v>
      </c>
      <c r="T2" s="417" t="s">
        <v>535</v>
      </c>
      <c r="U2" s="417" t="s">
        <v>538</v>
      </c>
      <c r="V2" s="417" t="s">
        <v>540</v>
      </c>
      <c r="W2" s="417" t="s">
        <v>542</v>
      </c>
      <c r="X2" s="417" t="s">
        <v>430</v>
      </c>
      <c r="Y2" s="417" t="s">
        <v>548</v>
      </c>
      <c r="Z2" s="417" t="s">
        <v>551</v>
      </c>
      <c r="AA2" s="417" t="s">
        <v>554</v>
      </c>
      <c r="AB2" s="417" t="s">
        <v>557</v>
      </c>
      <c r="AC2" s="417" t="s">
        <v>560</v>
      </c>
      <c r="AD2" s="417" t="s">
        <v>563</v>
      </c>
      <c r="AE2" s="417" t="s">
        <v>566</v>
      </c>
      <c r="AF2" s="417" t="s">
        <v>569</v>
      </c>
      <c r="AG2" s="417" t="s">
        <v>572</v>
      </c>
      <c r="AH2" s="417" t="s">
        <v>575</v>
      </c>
      <c r="AI2" s="417" t="s">
        <v>578</v>
      </c>
      <c r="AJ2" s="417" t="s">
        <v>581</v>
      </c>
      <c r="AK2" s="417" t="s">
        <v>584</v>
      </c>
      <c r="AL2" s="417" t="s">
        <v>587</v>
      </c>
      <c r="AM2" s="417" t="s">
        <v>590</v>
      </c>
      <c r="AN2" s="417" t="s">
        <v>593</v>
      </c>
      <c r="AO2" s="417" t="s">
        <v>596</v>
      </c>
      <c r="AP2" s="417" t="s">
        <v>599</v>
      </c>
      <c r="AQ2" s="417" t="s">
        <v>602</v>
      </c>
      <c r="AR2" s="417" t="s">
        <v>605</v>
      </c>
      <c r="AS2" s="417" t="s">
        <v>607</v>
      </c>
      <c r="AT2" s="417" t="s">
        <v>610</v>
      </c>
      <c r="AU2" s="417" t="s">
        <v>613</v>
      </c>
      <c r="AV2" s="417" t="s">
        <v>616</v>
      </c>
      <c r="AW2" s="417" t="s">
        <v>619</v>
      </c>
      <c r="AX2" s="417" t="s">
        <v>622</v>
      </c>
      <c r="AY2" s="417" t="s">
        <v>625</v>
      </c>
      <c r="AZ2" s="417" t="s">
        <v>628</v>
      </c>
      <c r="BA2" s="417" t="s">
        <v>631</v>
      </c>
      <c r="BB2" s="417" t="s">
        <v>634</v>
      </c>
      <c r="BC2" s="417" t="s">
        <v>637</v>
      </c>
      <c r="BD2" s="417" t="s">
        <v>879</v>
      </c>
      <c r="BE2" s="417" t="s">
        <v>880</v>
      </c>
      <c r="BF2" s="417" t="s">
        <v>881</v>
      </c>
      <c r="BG2" s="417" t="s">
        <v>882</v>
      </c>
      <c r="BH2" s="417" t="s">
        <v>649</v>
      </c>
      <c r="BI2" s="417" t="s">
        <v>652</v>
      </c>
      <c r="BJ2" s="417" t="s">
        <v>488</v>
      </c>
      <c r="BK2" s="417" t="s">
        <v>657</v>
      </c>
      <c r="BL2" s="417" t="s">
        <v>660</v>
      </c>
      <c r="BM2" s="417" t="s">
        <v>883</v>
      </c>
      <c r="BN2" s="417" t="s">
        <v>884</v>
      </c>
      <c r="BO2" s="417" t="s">
        <v>885</v>
      </c>
      <c r="BP2" s="417" t="s">
        <v>886</v>
      </c>
      <c r="BQ2" s="417" t="s">
        <v>887</v>
      </c>
      <c r="BR2" s="417" t="s">
        <v>888</v>
      </c>
      <c r="BS2" s="417" t="s">
        <v>889</v>
      </c>
      <c r="BT2" s="417" t="s">
        <v>890</v>
      </c>
      <c r="BU2" s="417" t="s">
        <v>678</v>
      </c>
      <c r="BV2" s="417" t="s">
        <v>681</v>
      </c>
      <c r="BW2" s="417" t="s">
        <v>684</v>
      </c>
      <c r="BX2" s="417" t="s">
        <v>891</v>
      </c>
      <c r="BY2" s="417" t="s">
        <v>688</v>
      </c>
      <c r="BZ2" s="417" t="s">
        <v>691</v>
      </c>
      <c r="CA2" s="417" t="s">
        <v>694</v>
      </c>
      <c r="CB2" s="417" t="s">
        <v>697</v>
      </c>
      <c r="CC2" s="417" t="s">
        <v>892</v>
      </c>
      <c r="CD2" s="417" t="s">
        <v>893</v>
      </c>
      <c r="CE2" s="417" t="s">
        <v>894</v>
      </c>
      <c r="CF2" s="417" t="s">
        <v>895</v>
      </c>
      <c r="CG2" s="418" t="s">
        <v>896</v>
      </c>
      <c r="CH2" s="418" t="s">
        <v>897</v>
      </c>
      <c r="CI2" s="418" t="s">
        <v>898</v>
      </c>
      <c r="CJ2" s="418" t="s">
        <v>899</v>
      </c>
      <c r="CK2" s="419" t="s">
        <v>900</v>
      </c>
      <c r="CL2" s="419" t="s">
        <v>901</v>
      </c>
      <c r="CM2" s="418" t="s">
        <v>902</v>
      </c>
      <c r="CN2" s="418" t="s">
        <v>903</v>
      </c>
      <c r="CO2" s="418" t="s">
        <v>904</v>
      </c>
      <c r="CP2" s="419" t="s">
        <v>905</v>
      </c>
      <c r="CQ2" s="418" t="s">
        <v>902</v>
      </c>
      <c r="CR2" s="418" t="s">
        <v>903</v>
      </c>
      <c r="CS2" s="418" t="s">
        <v>904</v>
      </c>
      <c r="CT2" s="418" t="s">
        <v>906</v>
      </c>
      <c r="CU2" s="418" t="s">
        <v>907</v>
      </c>
      <c r="CV2" s="420" t="s">
        <v>908</v>
      </c>
      <c r="CW2" s="420" t="s">
        <v>909</v>
      </c>
      <c r="CX2" s="419" t="s">
        <v>910</v>
      </c>
      <c r="CY2" s="418" t="s">
        <v>911</v>
      </c>
      <c r="CZ2" s="418" t="s">
        <v>912</v>
      </c>
      <c r="DA2" s="419" t="s">
        <v>913</v>
      </c>
      <c r="DB2" s="418" t="s">
        <v>914</v>
      </c>
      <c r="DC2" s="418" t="s">
        <v>915</v>
      </c>
      <c r="DD2" s="418" t="s">
        <v>916</v>
      </c>
      <c r="DE2" s="419" t="s">
        <v>917</v>
      </c>
      <c r="DF2" s="418" t="s">
        <v>918</v>
      </c>
      <c r="DG2" s="418" t="s">
        <v>919</v>
      </c>
      <c r="DH2" s="418" t="s">
        <v>920</v>
      </c>
      <c r="DI2" s="419" t="s">
        <v>921</v>
      </c>
      <c r="DJ2" s="418" t="s">
        <v>922</v>
      </c>
      <c r="DK2" s="418" t="s">
        <v>923</v>
      </c>
      <c r="DL2" s="418" t="s">
        <v>924</v>
      </c>
      <c r="DM2" s="419" t="s">
        <v>925</v>
      </c>
      <c r="DN2" s="418" t="s">
        <v>926</v>
      </c>
      <c r="DO2" s="418" t="s">
        <v>927</v>
      </c>
      <c r="DP2" s="418" t="s">
        <v>928</v>
      </c>
      <c r="DQ2" s="419" t="s">
        <v>929</v>
      </c>
      <c r="DR2" s="418" t="s">
        <v>930</v>
      </c>
      <c r="DS2" s="418" t="s">
        <v>931</v>
      </c>
      <c r="DT2" s="418" t="s">
        <v>932</v>
      </c>
      <c r="DU2" s="419" t="s">
        <v>933</v>
      </c>
      <c r="DV2" s="418" t="s">
        <v>934</v>
      </c>
      <c r="DW2" s="418" t="s">
        <v>935</v>
      </c>
      <c r="DX2" s="418" t="s">
        <v>936</v>
      </c>
      <c r="DY2" s="419" t="s">
        <v>937</v>
      </c>
      <c r="DZ2" s="418" t="s">
        <v>938</v>
      </c>
      <c r="EA2" s="418" t="s">
        <v>939</v>
      </c>
      <c r="EB2" s="418" t="s">
        <v>940</v>
      </c>
      <c r="EC2" s="418" t="s">
        <v>941</v>
      </c>
      <c r="ED2" s="418" t="s">
        <v>942</v>
      </c>
      <c r="EE2" s="418" t="s">
        <v>943</v>
      </c>
      <c r="EF2" s="418" t="s">
        <v>944</v>
      </c>
      <c r="EG2" s="418" t="s">
        <v>945</v>
      </c>
      <c r="EH2" s="418" t="s">
        <v>946</v>
      </c>
      <c r="EI2" s="418" t="s">
        <v>947</v>
      </c>
      <c r="EJ2" s="418" t="s">
        <v>948</v>
      </c>
      <c r="EK2" s="418" t="s">
        <v>949</v>
      </c>
      <c r="EL2" s="420" t="s">
        <v>950</v>
      </c>
      <c r="EM2" s="420" t="s">
        <v>951</v>
      </c>
      <c r="EN2" s="420" t="s">
        <v>952</v>
      </c>
      <c r="EO2" s="420" t="s">
        <v>953</v>
      </c>
      <c r="EP2" s="420" t="s">
        <v>954</v>
      </c>
      <c r="EQ2" s="420" t="s">
        <v>955</v>
      </c>
      <c r="ER2" s="420" t="s">
        <v>950</v>
      </c>
      <c r="ES2" s="420" t="s">
        <v>951</v>
      </c>
      <c r="ET2" s="420" t="s">
        <v>952</v>
      </c>
      <c r="EU2" s="420" t="s">
        <v>953</v>
      </c>
      <c r="EV2" s="420" t="s">
        <v>954</v>
      </c>
      <c r="EW2" s="420" t="s">
        <v>955</v>
      </c>
      <c r="EX2" s="420" t="s">
        <v>950</v>
      </c>
      <c r="EY2" s="420" t="s">
        <v>951</v>
      </c>
      <c r="EZ2" s="420" t="s">
        <v>952</v>
      </c>
      <c r="FA2" s="420" t="s">
        <v>953</v>
      </c>
      <c r="FB2" s="420" t="s">
        <v>954</v>
      </c>
      <c r="FC2" s="420" t="s">
        <v>955</v>
      </c>
      <c r="FD2" s="420" t="s">
        <v>950</v>
      </c>
      <c r="FE2" s="420" t="s">
        <v>951</v>
      </c>
      <c r="FF2" s="420" t="s">
        <v>952</v>
      </c>
      <c r="FG2" s="420" t="s">
        <v>953</v>
      </c>
      <c r="FH2" s="420" t="s">
        <v>954</v>
      </c>
      <c r="FI2" s="420" t="s">
        <v>955</v>
      </c>
      <c r="FJ2" s="420" t="s">
        <v>950</v>
      </c>
      <c r="FK2" s="420" t="s">
        <v>951</v>
      </c>
      <c r="FL2" s="420" t="s">
        <v>952</v>
      </c>
      <c r="FM2" s="420" t="s">
        <v>953</v>
      </c>
      <c r="FN2" s="420" t="s">
        <v>954</v>
      </c>
      <c r="FO2" s="420" t="s">
        <v>955</v>
      </c>
      <c r="FP2" s="420" t="s">
        <v>950</v>
      </c>
      <c r="FQ2" s="420" t="s">
        <v>951</v>
      </c>
      <c r="FR2" s="420" t="s">
        <v>952</v>
      </c>
      <c r="FS2" s="420" t="s">
        <v>953</v>
      </c>
      <c r="FT2" s="420" t="s">
        <v>954</v>
      </c>
      <c r="FU2" s="420" t="s">
        <v>955</v>
      </c>
      <c r="FV2" s="420" t="s">
        <v>950</v>
      </c>
      <c r="FW2" s="420" t="s">
        <v>951</v>
      </c>
      <c r="FX2" s="420" t="s">
        <v>952</v>
      </c>
      <c r="FY2" s="420" t="s">
        <v>953</v>
      </c>
      <c r="FZ2" s="420" t="s">
        <v>954</v>
      </c>
      <c r="GA2" s="420" t="s">
        <v>955</v>
      </c>
      <c r="GB2" s="420" t="s">
        <v>950</v>
      </c>
      <c r="GC2" s="420" t="s">
        <v>951</v>
      </c>
      <c r="GD2" s="420" t="s">
        <v>952</v>
      </c>
      <c r="GE2" s="420" t="s">
        <v>953</v>
      </c>
      <c r="GF2" s="420" t="s">
        <v>954</v>
      </c>
      <c r="GG2" s="420" t="s">
        <v>955</v>
      </c>
      <c r="GH2" s="420" t="s">
        <v>950</v>
      </c>
      <c r="GI2" s="420" t="s">
        <v>951</v>
      </c>
      <c r="GJ2" s="420" t="s">
        <v>952</v>
      </c>
      <c r="GK2" s="420" t="s">
        <v>953</v>
      </c>
      <c r="GL2" s="420" t="s">
        <v>954</v>
      </c>
      <c r="GM2" s="420" t="s">
        <v>955</v>
      </c>
      <c r="GN2" s="420" t="s">
        <v>950</v>
      </c>
      <c r="GO2" s="420" t="s">
        <v>951</v>
      </c>
      <c r="GP2" s="420" t="s">
        <v>952</v>
      </c>
      <c r="GQ2" s="420" t="s">
        <v>953</v>
      </c>
      <c r="GR2" s="420" t="s">
        <v>954</v>
      </c>
      <c r="GS2" s="420" t="s">
        <v>955</v>
      </c>
      <c r="GT2" s="420" t="s">
        <v>950</v>
      </c>
      <c r="GU2" s="420" t="s">
        <v>951</v>
      </c>
      <c r="GV2" s="420" t="s">
        <v>952</v>
      </c>
      <c r="GW2" s="420" t="s">
        <v>953</v>
      </c>
      <c r="GX2" s="420" t="s">
        <v>954</v>
      </c>
      <c r="GY2" s="420" t="s">
        <v>955</v>
      </c>
      <c r="GZ2" s="420" t="s">
        <v>950</v>
      </c>
      <c r="HA2" s="420" t="s">
        <v>951</v>
      </c>
      <c r="HB2" s="420" t="s">
        <v>952</v>
      </c>
      <c r="HC2" s="420" t="s">
        <v>953</v>
      </c>
      <c r="HD2" s="420" t="s">
        <v>954</v>
      </c>
      <c r="HE2" s="420" t="s">
        <v>955</v>
      </c>
      <c r="HF2" s="420" t="s">
        <v>950</v>
      </c>
      <c r="HG2" s="420" t="s">
        <v>951</v>
      </c>
      <c r="HH2" s="420" t="s">
        <v>952</v>
      </c>
      <c r="HI2" s="420" t="s">
        <v>953</v>
      </c>
      <c r="HJ2" s="420" t="s">
        <v>954</v>
      </c>
      <c r="HK2" s="420" t="s">
        <v>955</v>
      </c>
      <c r="HL2" s="420" t="s">
        <v>950</v>
      </c>
      <c r="HM2" s="420" t="s">
        <v>951</v>
      </c>
      <c r="HN2" s="420" t="s">
        <v>952</v>
      </c>
      <c r="HO2" s="420" t="s">
        <v>953</v>
      </c>
      <c r="HP2" s="420" t="s">
        <v>954</v>
      </c>
      <c r="HQ2" s="420" t="s">
        <v>955</v>
      </c>
      <c r="HR2" s="420" t="s">
        <v>950</v>
      </c>
      <c r="HS2" s="420" t="s">
        <v>951</v>
      </c>
      <c r="HT2" s="420" t="s">
        <v>952</v>
      </c>
      <c r="HU2" s="420" t="s">
        <v>953</v>
      </c>
      <c r="HV2" s="420" t="s">
        <v>954</v>
      </c>
      <c r="HW2" s="420" t="s">
        <v>955</v>
      </c>
    </row>
    <row r="3" spans="1:231">
      <c r="A3" s="421">
        <f>'b) Template'!I3</f>
        <v>0</v>
      </c>
      <c r="B3" s="270" t="str">
        <f>'b) Template'!B3</f>
        <v>Please Click on Arrow to Choose School</v>
      </c>
      <c r="C3" s="422">
        <f>'b) Template'!$B$4</f>
        <v>0</v>
      </c>
      <c r="D3" s="423" t="str">
        <f>CONCATENATE('b) Template'!$I$3,A220)</f>
        <v>0FORECAST</v>
      </c>
      <c r="E3" s="424">
        <f>'b) Template'!$K$16</f>
        <v>0</v>
      </c>
      <c r="F3" s="424">
        <f>'b) Template'!$K$17</f>
        <v>0</v>
      </c>
      <c r="G3" s="424">
        <f>'b) Template'!$K$18</f>
        <v>0</v>
      </c>
      <c r="H3" s="424">
        <f>'b) Template'!$K$19</f>
        <v>0</v>
      </c>
      <c r="I3" s="424">
        <f>'b) Template'!$K$20</f>
        <v>0</v>
      </c>
      <c r="J3" s="424">
        <f>'b) Template'!$K$21</f>
        <v>0</v>
      </c>
      <c r="K3" s="424">
        <f>'b) Template'!$K$22</f>
        <v>0</v>
      </c>
      <c r="L3" s="424">
        <f>'b) Template'!$K$23</f>
        <v>0</v>
      </c>
      <c r="M3" s="424">
        <f>'b) Template'!$K$24</f>
        <v>0</v>
      </c>
      <c r="N3" s="424">
        <f>'b) Template'!$K$25</f>
        <v>0</v>
      </c>
      <c r="O3" s="424">
        <f>'b) Template'!$K$26</f>
        <v>0</v>
      </c>
      <c r="P3" s="424">
        <f>'b) Template'!$K$27</f>
        <v>0</v>
      </c>
      <c r="Q3" s="424">
        <f>'b) Template'!$K$28</f>
        <v>0</v>
      </c>
      <c r="R3" s="424">
        <f>'b) Template'!$K$29</f>
        <v>0</v>
      </c>
      <c r="S3" s="424">
        <f>'b) Template'!$K$30</f>
        <v>0</v>
      </c>
      <c r="T3" s="424">
        <f>'b) Template'!$K$31</f>
        <v>0</v>
      </c>
      <c r="U3" s="424">
        <f>'b) Template'!$K$32</f>
        <v>0</v>
      </c>
      <c r="V3" s="424">
        <f>'b) Template'!$K$33</f>
        <v>0</v>
      </c>
      <c r="W3" s="424">
        <f>'b) Template'!$K$34</f>
        <v>0</v>
      </c>
      <c r="X3" s="424">
        <f>'b) Template'!$K$35</f>
        <v>0</v>
      </c>
      <c r="Y3" s="424">
        <f>'b) Template'!$K$40</f>
        <v>0</v>
      </c>
      <c r="Z3" s="424">
        <f>'b) Template'!$K$41</f>
        <v>0</v>
      </c>
      <c r="AA3" s="424">
        <f>'b) Template'!$K$42</f>
        <v>0</v>
      </c>
      <c r="AB3" s="424">
        <f>'b) Template'!$K$43</f>
        <v>0</v>
      </c>
      <c r="AC3" s="424">
        <f>'b) Template'!$K$44</f>
        <v>0</v>
      </c>
      <c r="AD3" s="424">
        <f>'b) Template'!$K$45</f>
        <v>0</v>
      </c>
      <c r="AE3" s="424">
        <f>'b) Template'!$K$46</f>
        <v>0</v>
      </c>
      <c r="AF3" s="424">
        <f>'b) Template'!$K$47</f>
        <v>0</v>
      </c>
      <c r="AG3" s="424">
        <f>'b) Template'!$K$48</f>
        <v>0</v>
      </c>
      <c r="AH3" s="424">
        <f>'b) Template'!$K$49</f>
        <v>0</v>
      </c>
      <c r="AI3" s="424">
        <f>'b) Template'!$K$50</f>
        <v>0</v>
      </c>
      <c r="AJ3" s="424">
        <f>'b) Template'!$K$51</f>
        <v>0</v>
      </c>
      <c r="AK3" s="424">
        <f>'b) Template'!$K$52</f>
        <v>0</v>
      </c>
      <c r="AL3" s="424">
        <f>'b) Template'!$K$53</f>
        <v>0</v>
      </c>
      <c r="AM3" s="424">
        <f>'b) Template'!$K$54</f>
        <v>0</v>
      </c>
      <c r="AN3" s="424">
        <f>'b) Template'!$K$55</f>
        <v>0</v>
      </c>
      <c r="AO3" s="424">
        <f>'b) Template'!$K$56</f>
        <v>0</v>
      </c>
      <c r="AP3" s="424">
        <f>'b) Template'!$K$57</f>
        <v>0</v>
      </c>
      <c r="AQ3" s="424">
        <f>'b) Template'!$K$58</f>
        <v>0</v>
      </c>
      <c r="AR3" s="424">
        <f>'b) Template'!$K$59</f>
        <v>0</v>
      </c>
      <c r="AS3" s="424">
        <f>'b) Template'!$K$60</f>
        <v>0</v>
      </c>
      <c r="AT3" s="424">
        <f>'b) Template'!$K$61</f>
        <v>0</v>
      </c>
      <c r="AU3" s="424">
        <f>'b) Template'!$K$62</f>
        <v>0</v>
      </c>
      <c r="AV3" s="424">
        <f>'b) Template'!$K$63</f>
        <v>0</v>
      </c>
      <c r="AW3" s="424">
        <f>'b) Template'!$K$64</f>
        <v>0</v>
      </c>
      <c r="AX3" s="424">
        <f>'b) Template'!$K$65</f>
        <v>0</v>
      </c>
      <c r="AY3" s="424">
        <f>'b) Template'!$K$66</f>
        <v>0</v>
      </c>
      <c r="AZ3" s="424">
        <f>'b) Template'!$K$67</f>
        <v>0</v>
      </c>
      <c r="BA3" s="424">
        <f>'b) Template'!$K$68</f>
        <v>0</v>
      </c>
      <c r="BB3" s="424">
        <f>'b) Template'!$K$69</f>
        <v>0</v>
      </c>
      <c r="BC3" s="424">
        <f>'b) Template'!$K$70</f>
        <v>0</v>
      </c>
      <c r="BD3" s="424">
        <f>'b) Template'!$K$71</f>
        <v>0</v>
      </c>
      <c r="BE3" s="424">
        <f>'b) Template'!$K$78</f>
        <v>0</v>
      </c>
      <c r="BF3" s="424" t="e">
        <f>'b) Template'!$K$79</f>
        <v>#N/A</v>
      </c>
      <c r="BG3" s="424" t="e">
        <f>'b) Template'!$K$80</f>
        <v>#N/A</v>
      </c>
      <c r="BH3" s="424">
        <f>'b) Template'!$K$88</f>
        <v>0</v>
      </c>
      <c r="BI3" s="424">
        <f>'b) Template'!$K$89</f>
        <v>0</v>
      </c>
      <c r="BJ3" s="424">
        <f>'b) Template'!$K$90</f>
        <v>0</v>
      </c>
      <c r="BK3" s="424">
        <f>'b) Template'!$K$93</f>
        <v>0</v>
      </c>
      <c r="BL3" s="424">
        <f>'b) Template'!$K$94</f>
        <v>0</v>
      </c>
      <c r="BM3" s="424">
        <f>'b) Template'!$K$95</f>
        <v>0</v>
      </c>
      <c r="BN3" s="424">
        <f>'b) Template'!$K$101</f>
        <v>0</v>
      </c>
      <c r="BO3" s="424" t="e">
        <f>'b) Template'!$K$102</f>
        <v>#N/A</v>
      </c>
      <c r="BP3" s="424" t="e">
        <f>'b) Template'!$K$103</f>
        <v>#N/A</v>
      </c>
      <c r="BQ3" s="424">
        <f>'b) Template'!$K$106</f>
        <v>0</v>
      </c>
      <c r="BR3" s="424" t="e">
        <f>'b) Template'!$K$107</f>
        <v>#N/A</v>
      </c>
      <c r="BS3" s="424" t="e">
        <f>'b) Template'!$K$108</f>
        <v>#N/A</v>
      </c>
      <c r="BT3" s="424" t="e">
        <f>'b) Template'!$K$109</f>
        <v>#N/A</v>
      </c>
      <c r="BU3" s="424">
        <f>'b) Template'!$K$124</f>
        <v>0</v>
      </c>
      <c r="BV3" s="424">
        <f>'b) Template'!$K$125</f>
        <v>0</v>
      </c>
      <c r="BW3" s="424">
        <f>'b) Template'!$K$126</f>
        <v>0</v>
      </c>
      <c r="BX3" s="424">
        <f>'b) Template'!$K$127</f>
        <v>0</v>
      </c>
      <c r="BY3" s="424">
        <f>'b) Template'!$K$130</f>
        <v>0</v>
      </c>
      <c r="BZ3" s="424">
        <f>'b) Template'!$K$131</f>
        <v>0</v>
      </c>
      <c r="CA3" s="424"/>
      <c r="CB3" s="424">
        <f>'b) Template'!$K$133</f>
        <v>0</v>
      </c>
      <c r="CC3" s="424">
        <f>'b) Template'!$K$134</f>
        <v>0</v>
      </c>
      <c r="CD3" s="424">
        <f>'b) Template'!$K$136</f>
        <v>0</v>
      </c>
      <c r="CE3" s="424" t="e">
        <f>'b) Template'!$K$137</f>
        <v>#N/A</v>
      </c>
      <c r="CF3" s="424" t="e">
        <f>'b) Template'!$K$138</f>
        <v>#N/A</v>
      </c>
      <c r="CG3" s="425" t="str">
        <f>IF(CH3&gt;0,"YES","NO")</f>
        <v>YES</v>
      </c>
      <c r="CH3" s="425">
        <f>'b) Template'!$C$8</f>
        <v>6</v>
      </c>
      <c r="CI3" s="425">
        <f>'b) Template'!$C$9</f>
        <v>0</v>
      </c>
      <c r="CJ3" s="425">
        <f>'b) Template'!$C$10</f>
        <v>0</v>
      </c>
      <c r="CK3" s="426" t="str">
        <f>'a) School Summary'!E11</f>
        <v>PLEASE CHOOSE</v>
      </c>
      <c r="CL3" s="426" t="str">
        <f>'a) School Summary'!E20</f>
        <v>PLEASE CHOOSE</v>
      </c>
      <c r="CM3" s="427">
        <f>'a) School Summary'!C28</f>
        <v>0</v>
      </c>
      <c r="CN3" s="427">
        <f>'a) School Summary'!C30</f>
        <v>0</v>
      </c>
      <c r="CO3" s="428">
        <f>'a) School Summary'!C32</f>
        <v>0</v>
      </c>
      <c r="CP3" s="429" t="str">
        <f>'a) School Summary'!E37</f>
        <v>PLEASE CHOOSE</v>
      </c>
      <c r="CQ3" s="427">
        <f>'a) School Summary'!C43</f>
        <v>0</v>
      </c>
      <c r="CR3" s="427">
        <f>'a) School Summary'!C45</f>
        <v>0</v>
      </c>
      <c r="CS3" s="428">
        <f>'a) School Summary'!C47</f>
        <v>0</v>
      </c>
      <c r="CT3" s="427" t="e">
        <f>'"Alerts"'!D40</f>
        <v>#N/A</v>
      </c>
      <c r="CU3" s="427" t="e">
        <f>'"Alerts"'!D37</f>
        <v>#N/A</v>
      </c>
      <c r="CV3" s="425" t="e">
        <f>'d) IUB reporting March 2025'!$F$17</f>
        <v>#N/A</v>
      </c>
      <c r="CW3" s="425" t="e">
        <f>'d) IUB reporting March 2025'!$F$20</f>
        <v>#N/A</v>
      </c>
      <c r="CX3" s="426" t="str">
        <f>'d) IUB reporting March 2025'!B31</f>
        <v>Balance held on behalf of other schools or other valid adjustment</v>
      </c>
      <c r="CY3" s="425">
        <f>'d) IUB reporting March 2025'!$E$31</f>
        <v>0</v>
      </c>
      <c r="CZ3" s="428">
        <f>'d) IUB reporting March 2025'!$F$31</f>
        <v>0</v>
      </c>
      <c r="DA3" s="426">
        <f>'d) IUB reporting March 2025'!G31</f>
        <v>0</v>
      </c>
      <c r="DB3" s="426" t="str">
        <f>'d) IUB reporting March 2025'!B32</f>
        <v>Revenue Contribution to an agreed Capital Scheme</v>
      </c>
      <c r="DC3" s="425">
        <f>'d) IUB reporting March 2025'!E32</f>
        <v>0</v>
      </c>
      <c r="DD3" s="428">
        <f>'d) IUB reporting March 2025'!F32</f>
        <v>0</v>
      </c>
      <c r="DE3" s="426">
        <f>'d) IUB reporting March 2025'!G32</f>
        <v>0</v>
      </c>
      <c r="DF3" s="426" t="str">
        <f>'d) IUB reporting March 2025'!B33</f>
        <v>Revenue Contribution to an agreed Capital Spend to Save Scheme</v>
      </c>
      <c r="DG3" s="425">
        <f>'d) IUB reporting March 2025'!E33</f>
        <v>0</v>
      </c>
      <c r="DH3" s="428">
        <f>'d) IUB reporting March 2025'!F33</f>
        <v>0</v>
      </c>
      <c r="DI3" s="426">
        <f>'d) IUB reporting March 2025'!G33</f>
        <v>0</v>
      </c>
      <c r="DJ3" s="426" t="str">
        <f>'d) IUB reporting March 2025'!B34</f>
        <v>To support costs from a Review of Contracts of a SIGNIFICANT Value in future year (s)</v>
      </c>
      <c r="DK3" s="425">
        <f>'d) IUB reporting March 2025'!E34</f>
        <v>0</v>
      </c>
      <c r="DL3" s="428">
        <f>'d) IUB reporting March 2025'!F34</f>
        <v>0</v>
      </c>
      <c r="DM3" s="426">
        <f>'d) IUB reporting March 2025'!G34</f>
        <v>0</v>
      </c>
      <c r="DN3" s="426" t="str">
        <f>'d) IUB reporting March 2025'!B35</f>
        <v>To manage a SIGNIFICANT Expansion of Pupil Numbers</v>
      </c>
      <c r="DO3" s="425">
        <f>'d) IUB reporting March 2025'!E35</f>
        <v>0</v>
      </c>
      <c r="DP3" s="428">
        <f>'d) IUB reporting March 2025'!F35</f>
        <v>0</v>
      </c>
      <c r="DQ3" s="426">
        <f>'d) IUB reporting March 2025'!G35</f>
        <v>0</v>
      </c>
      <c r="DR3" s="426" t="str">
        <f>'d) IUB reporting March 2025'!B36</f>
        <v>To Manage the impact of a SIGNIFICANT Budget reduction</v>
      </c>
      <c r="DS3" s="425">
        <f>'d) IUB reporting March 2025'!E36</f>
        <v>0</v>
      </c>
      <c r="DT3" s="428">
        <f>'d) IUB reporting March 2025'!F36</f>
        <v>0</v>
      </c>
      <c r="DU3" s="426">
        <f>'d) IUB reporting March 2025'!G36</f>
        <v>0</v>
      </c>
      <c r="DV3" s="426" t="str">
        <f>'d) IUB reporting March 2025'!B37</f>
        <v>To Manage Exceptional Circumstances which may cause SIGNIFICANT financial turbulence</v>
      </c>
      <c r="DW3" s="425">
        <f>'d) IUB reporting March 2025'!E37</f>
        <v>0</v>
      </c>
      <c r="DX3" s="428">
        <f>'d) IUB reporting March 2025'!F37</f>
        <v>0</v>
      </c>
      <c r="DY3" s="426">
        <f>'d) IUB reporting March 2025'!G37</f>
        <v>0</v>
      </c>
      <c r="DZ3" s="427" t="str">
        <f>'"Alerts"'!D10</f>
        <v>YES</v>
      </c>
      <c r="EA3" s="427" t="str">
        <f>'"Alerts"'!D13</f>
        <v>NO</v>
      </c>
      <c r="EB3" s="427" t="str">
        <f>'"Alerts"'!D16</f>
        <v>NO</v>
      </c>
      <c r="EC3" s="427" t="e">
        <f>'"Alerts"'!D19</f>
        <v>#N/A</v>
      </c>
      <c r="ED3" s="427" t="e">
        <f>'"Alerts"'!D22</f>
        <v>#N/A</v>
      </c>
      <c r="EE3" s="427" t="e">
        <f>'"Alerts"'!D25</f>
        <v>#N/A</v>
      </c>
      <c r="EF3" s="427" t="e">
        <f>'"Alerts"'!D28</f>
        <v>#N/A</v>
      </c>
      <c r="EG3" s="427" t="e">
        <f>'"Alerts"'!D31</f>
        <v>#N/A</v>
      </c>
      <c r="EH3" s="427" t="str">
        <f>'"Alerts"'!D34</f>
        <v>YES</v>
      </c>
      <c r="EI3" s="427" t="e">
        <f>'"Alerts"'!D37</f>
        <v>#N/A</v>
      </c>
      <c r="EJ3" s="427" t="e">
        <f>'"Alerts"'!D40</f>
        <v>#N/A</v>
      </c>
      <c r="EK3" s="427" t="str">
        <f>'"Alerts"'!D43</f>
        <v>CHECK</v>
      </c>
      <c r="EL3" s="430">
        <f>'c) IUB reporting March 2024'!$B$22</f>
        <v>0</v>
      </c>
      <c r="EM3" s="430">
        <f>'c) IUB reporting March 2024'!$A$22</f>
        <v>0</v>
      </c>
      <c r="EN3" s="430">
        <f>'c) IUB reporting March 2024'!$E$22</f>
        <v>0</v>
      </c>
      <c r="EO3" s="430">
        <f>'c) IUB reporting March 2024'!$F$22</f>
        <v>0</v>
      </c>
      <c r="EP3" s="430">
        <f>'c) IUB reporting March 2024'!$G$22</f>
        <v>0</v>
      </c>
      <c r="EQ3" s="430">
        <f>'c) IUB reporting March 2024'!$H$22</f>
        <v>0</v>
      </c>
      <c r="ER3" s="430">
        <f>'c) IUB reporting March 2024'!$B$23</f>
        <v>0</v>
      </c>
      <c r="ES3" s="430">
        <f>'c) IUB reporting March 2024'!$A$23</f>
        <v>0</v>
      </c>
      <c r="ET3" s="430">
        <f>'c) IUB reporting March 2024'!$E$23</f>
        <v>0</v>
      </c>
      <c r="EU3" s="430">
        <f>'c) IUB reporting March 2024'!$F$23</f>
        <v>0</v>
      </c>
      <c r="EV3" s="430">
        <f>'c) IUB reporting March 2024'!$G$23</f>
        <v>0</v>
      </c>
      <c r="EW3" s="430">
        <f>'c) IUB reporting March 2024'!$H$23</f>
        <v>0</v>
      </c>
      <c r="EX3" s="430">
        <f>'c) IUB reporting March 2024'!$B$24</f>
        <v>0</v>
      </c>
      <c r="EY3" s="430">
        <f>'c) IUB reporting March 2024'!$A$24</f>
        <v>0</v>
      </c>
      <c r="EZ3" s="430">
        <f>'c) IUB reporting March 2024'!$E$24</f>
        <v>0</v>
      </c>
      <c r="FA3" s="430">
        <f>'c) IUB reporting March 2024'!$F$24</f>
        <v>0</v>
      </c>
      <c r="FB3" s="430">
        <f>'c) IUB reporting March 2024'!$G$24</f>
        <v>0</v>
      </c>
      <c r="FC3" s="430">
        <f>'c) IUB reporting March 2024'!$H$24</f>
        <v>0</v>
      </c>
      <c r="FD3" s="430">
        <f>'c) IUB reporting March 2024'!$B$25</f>
        <v>0</v>
      </c>
      <c r="FE3" s="430">
        <f>'c) IUB reporting March 2024'!$A$25</f>
        <v>0</v>
      </c>
      <c r="FF3" s="430">
        <f>'c) IUB reporting March 2024'!$E$25</f>
        <v>0</v>
      </c>
      <c r="FG3" s="430">
        <f>'c) IUB reporting March 2024'!$F$25</f>
        <v>0</v>
      </c>
      <c r="FH3" s="430">
        <f>'c) IUB reporting March 2024'!$G$25</f>
        <v>0</v>
      </c>
      <c r="FI3" s="430">
        <f>'c) IUB reporting March 2024'!$H$25</f>
        <v>0</v>
      </c>
      <c r="FJ3" s="430">
        <f>'c) IUB reporting March 2024'!$B$26</f>
        <v>0</v>
      </c>
      <c r="FK3" s="430">
        <f>'c) IUB reporting March 2024'!$A$26</f>
        <v>0</v>
      </c>
      <c r="FL3" s="430">
        <f>'c) IUB reporting March 2024'!$E$26</f>
        <v>0</v>
      </c>
      <c r="FM3" s="430">
        <f>'c) IUB reporting March 2024'!$F$26</f>
        <v>0</v>
      </c>
      <c r="FN3" s="430">
        <f>'c) IUB reporting March 2024'!$G$26</f>
        <v>0</v>
      </c>
      <c r="FO3" s="430">
        <f>'c) IUB reporting March 2024'!$H$26</f>
        <v>0</v>
      </c>
      <c r="FP3" s="430">
        <f>'c) IUB reporting March 2024'!$B$27</f>
        <v>0</v>
      </c>
      <c r="FQ3" s="430">
        <f>'c) IUB reporting March 2024'!$A$27</f>
        <v>0</v>
      </c>
      <c r="FR3" s="430">
        <f>'c) IUB reporting March 2024'!$E$27</f>
        <v>0</v>
      </c>
      <c r="FS3" s="430">
        <f>'c) IUB reporting March 2024'!$F$27</f>
        <v>0</v>
      </c>
      <c r="FT3" s="430">
        <f>'c) IUB reporting March 2024'!$G$27</f>
        <v>0</v>
      </c>
      <c r="FU3" s="430">
        <f>'c) IUB reporting March 2024'!$H$27</f>
        <v>0</v>
      </c>
      <c r="FV3" s="430">
        <f>'c) IUB reporting March 2024'!$B$28</f>
        <v>0</v>
      </c>
      <c r="FW3" s="430">
        <f>'c) IUB reporting March 2024'!$A$28</f>
        <v>0</v>
      </c>
      <c r="FX3" s="430">
        <f>'c) IUB reporting March 2024'!$E$28</f>
        <v>0</v>
      </c>
      <c r="FY3" s="430">
        <f>'c) IUB reporting March 2024'!$F$28</f>
        <v>0</v>
      </c>
      <c r="FZ3" s="430">
        <f>'c) IUB reporting March 2024'!$G$28</f>
        <v>0</v>
      </c>
      <c r="GA3" s="430">
        <f>'c) IUB reporting March 2024'!$H$28</f>
        <v>0</v>
      </c>
      <c r="GB3" s="430">
        <f>'c) IUB reporting March 2024'!$B$29</f>
        <v>0</v>
      </c>
      <c r="GC3" s="430">
        <f>'c) IUB reporting March 2024'!$A$29</f>
        <v>0</v>
      </c>
      <c r="GD3" s="430">
        <f>'c) IUB reporting March 2024'!$E$29</f>
        <v>0</v>
      </c>
      <c r="GE3" s="430">
        <f>'c) IUB reporting March 2024'!$F$29</f>
        <v>0</v>
      </c>
      <c r="GF3" s="430">
        <f>'c) IUB reporting March 2024'!$G$29</f>
        <v>0</v>
      </c>
      <c r="GG3" s="430">
        <f>'c) IUB reporting March 2024'!$H$29</f>
        <v>0</v>
      </c>
      <c r="GH3" s="430">
        <f>'c) IUB reporting March 2024'!$B$30</f>
        <v>0</v>
      </c>
      <c r="GI3" s="430">
        <f>'c) IUB reporting March 2024'!$A$30</f>
        <v>0</v>
      </c>
      <c r="GJ3" s="430">
        <f>'c) IUB reporting March 2024'!$E$30</f>
        <v>0</v>
      </c>
      <c r="GK3" s="430">
        <f>'c) IUB reporting March 2024'!$F$30</f>
        <v>0</v>
      </c>
      <c r="GL3" s="430">
        <f>'c) IUB reporting March 2024'!$G$30</f>
        <v>0</v>
      </c>
      <c r="GM3" s="430">
        <f>'c) IUB reporting March 2024'!$H$30</f>
        <v>0</v>
      </c>
      <c r="GN3" s="430">
        <f>'c) IUB reporting March 2024'!$B$31</f>
        <v>0</v>
      </c>
      <c r="GO3" s="430">
        <f>'c) IUB reporting March 2024'!$A$31</f>
        <v>0</v>
      </c>
      <c r="GP3" s="430">
        <f>'c) IUB reporting March 2024'!$E$31</f>
        <v>0</v>
      </c>
      <c r="GQ3" s="430">
        <f>'c) IUB reporting March 2024'!$F$31</f>
        <v>0</v>
      </c>
      <c r="GR3" s="430">
        <f>'c) IUB reporting March 2024'!$G$31</f>
        <v>0</v>
      </c>
      <c r="GS3" s="430">
        <f>'c) IUB reporting March 2024'!$H$31</f>
        <v>0</v>
      </c>
      <c r="GT3" s="430">
        <f>'c) IUB reporting March 2024'!$B$32</f>
        <v>0</v>
      </c>
      <c r="GU3" s="430">
        <f>'c) IUB reporting March 2024'!$A$32</f>
        <v>0</v>
      </c>
      <c r="GV3" s="430">
        <f>'c) IUB reporting March 2024'!$E$32</f>
        <v>0</v>
      </c>
      <c r="GW3" s="430">
        <f>'c) IUB reporting March 2024'!$F$32</f>
        <v>0</v>
      </c>
      <c r="GX3" s="430">
        <f>'c) IUB reporting March 2024'!$G$32</f>
        <v>0</v>
      </c>
      <c r="GY3" s="430">
        <f>'c) IUB reporting March 2024'!$H$32</f>
        <v>0</v>
      </c>
      <c r="GZ3" s="430">
        <f>'c) IUB reporting March 2024'!$B$33</f>
        <v>0</v>
      </c>
      <c r="HA3" s="430">
        <f>'c) IUB reporting March 2024'!$A$33</f>
        <v>0</v>
      </c>
      <c r="HB3" s="430">
        <f>'c) IUB reporting March 2024'!$E$33</f>
        <v>0</v>
      </c>
      <c r="HC3" s="430">
        <f>'c) IUB reporting March 2024'!$F$33</f>
        <v>0</v>
      </c>
      <c r="HD3" s="430">
        <f>'c) IUB reporting March 2024'!$G$33</f>
        <v>0</v>
      </c>
      <c r="HE3" s="430">
        <f>'c) IUB reporting March 2024'!$H$33</f>
        <v>0</v>
      </c>
      <c r="HF3" s="430">
        <f>'c) IUB reporting March 2024'!$B$34</f>
        <v>0</v>
      </c>
      <c r="HG3" s="430">
        <f>'c) IUB reporting March 2024'!$A$34</f>
        <v>0</v>
      </c>
      <c r="HH3" s="430">
        <f>'c) IUB reporting March 2024'!$E$34</f>
        <v>0</v>
      </c>
      <c r="HI3" s="430">
        <f>'c) IUB reporting March 2024'!$F$34</f>
        <v>0</v>
      </c>
      <c r="HJ3" s="430">
        <f>'c) IUB reporting March 2024'!$G$34</f>
        <v>0</v>
      </c>
      <c r="HK3" s="430">
        <f>'c) IUB reporting March 2024'!$H$34</f>
        <v>0</v>
      </c>
      <c r="HL3" s="430">
        <f>'c) IUB reporting March 2024'!$B$35</f>
        <v>0</v>
      </c>
      <c r="HM3" s="430">
        <f>'c) IUB reporting March 2024'!$A$35</f>
        <v>0</v>
      </c>
      <c r="HN3" s="430">
        <f>'c) IUB reporting March 2024'!$E$35</f>
        <v>0</v>
      </c>
      <c r="HO3" s="430">
        <f>'c) IUB reporting March 2024'!$F$35</f>
        <v>0</v>
      </c>
      <c r="HP3" s="430">
        <f>'c) IUB reporting March 2024'!$G$35</f>
        <v>0</v>
      </c>
      <c r="HQ3" s="430">
        <f>'c) IUB reporting March 2024'!$H$35</f>
        <v>0</v>
      </c>
      <c r="HR3" s="430">
        <f>'c) IUB reporting March 2024'!$B$36</f>
        <v>0</v>
      </c>
      <c r="HS3" s="430">
        <f>'c) IUB reporting March 2024'!$A$36</f>
        <v>0</v>
      </c>
      <c r="HT3" s="430">
        <f>'c) IUB reporting March 2024'!$E$36</f>
        <v>0</v>
      </c>
      <c r="HU3" s="430">
        <f>'c) IUB reporting March 2024'!$F$36</f>
        <v>0</v>
      </c>
      <c r="HV3" s="430">
        <f>'c) IUB reporting March 2024'!$G$36</f>
        <v>0</v>
      </c>
      <c r="HW3" s="431">
        <f>'c) IUB reporting March 2024'!$H$36</f>
        <v>0</v>
      </c>
    </row>
    <row r="4" spans="1:231">
      <c r="A4" s="421">
        <f t="shared" ref="A4:B6" si="0">A3</f>
        <v>0</v>
      </c>
      <c r="B4" s="270" t="str">
        <f t="shared" si="0"/>
        <v>Please Click on Arrow to Choose School</v>
      </c>
      <c r="C4" s="432">
        <f>'b) Template'!$B$4</f>
        <v>0</v>
      </c>
      <c r="D4" s="433" t="str">
        <f>CONCATENATE('b) Template'!$I$3,A221)</f>
        <v>0ATD</v>
      </c>
      <c r="E4" s="434">
        <f>'b) Template'!$I$16</f>
        <v>0</v>
      </c>
      <c r="F4" s="434">
        <f>'b) Template'!$I$17</f>
        <v>0</v>
      </c>
      <c r="G4" s="434">
        <f>'b) Template'!$I$18</f>
        <v>0</v>
      </c>
      <c r="H4" s="434">
        <f>'b) Template'!$I$19</f>
        <v>0</v>
      </c>
      <c r="I4" s="434">
        <f>'b) Template'!$I$20</f>
        <v>0</v>
      </c>
      <c r="J4" s="434">
        <f>'b) Template'!$I$21</f>
        <v>0</v>
      </c>
      <c r="K4" s="434">
        <f>'b) Template'!$I$22</f>
        <v>0</v>
      </c>
      <c r="L4" s="434">
        <f>'b) Template'!$I$23</f>
        <v>0</v>
      </c>
      <c r="M4" s="434">
        <f>'b) Template'!$I$24</f>
        <v>0</v>
      </c>
      <c r="N4" s="434">
        <f>'b) Template'!$I$25</f>
        <v>0</v>
      </c>
      <c r="O4" s="434">
        <f>'b) Template'!$I$26</f>
        <v>0</v>
      </c>
      <c r="P4" s="434">
        <f>'b) Template'!$I$27</f>
        <v>0</v>
      </c>
      <c r="Q4" s="434">
        <f>'b) Template'!$I$28</f>
        <v>0</v>
      </c>
      <c r="R4" s="434">
        <f>'b) Template'!$I$29</f>
        <v>0</v>
      </c>
      <c r="S4" s="434">
        <f>'b) Template'!$I$30</f>
        <v>0</v>
      </c>
      <c r="T4" s="434">
        <f>'b) Template'!$I$31</f>
        <v>0</v>
      </c>
      <c r="U4" s="434">
        <f>'b) Template'!$I$32</f>
        <v>0</v>
      </c>
      <c r="V4" s="434">
        <f>'b) Template'!$I$33</f>
        <v>0</v>
      </c>
      <c r="W4" s="434">
        <f>'b) Template'!$I$34</f>
        <v>0</v>
      </c>
      <c r="X4" s="434">
        <f>'b) Template'!$I$35</f>
        <v>0</v>
      </c>
      <c r="Y4" s="434">
        <f>'b) Template'!$I$40</f>
        <v>0</v>
      </c>
      <c r="Z4" s="434">
        <f>'b) Template'!$I$41</f>
        <v>0</v>
      </c>
      <c r="AA4" s="434">
        <f>'b) Template'!$I$42</f>
        <v>0</v>
      </c>
      <c r="AB4" s="434">
        <f>'b) Template'!$I$43</f>
        <v>0</v>
      </c>
      <c r="AC4" s="434">
        <f>'b) Template'!$I$44</f>
        <v>0</v>
      </c>
      <c r="AD4" s="434">
        <f>'b) Template'!$I$45</f>
        <v>0</v>
      </c>
      <c r="AE4" s="434">
        <f>'b) Template'!$I$46</f>
        <v>0</v>
      </c>
      <c r="AF4" s="434">
        <f>'b) Template'!$I$47</f>
        <v>0</v>
      </c>
      <c r="AG4" s="434">
        <f>'b) Template'!$I$48</f>
        <v>0</v>
      </c>
      <c r="AH4" s="434">
        <f>'b) Template'!$I$49</f>
        <v>0</v>
      </c>
      <c r="AI4" s="434">
        <f>'b) Template'!$I$50</f>
        <v>0</v>
      </c>
      <c r="AJ4" s="434">
        <f>'b) Template'!$I$51</f>
        <v>0</v>
      </c>
      <c r="AK4" s="434">
        <f>'b) Template'!$I$52</f>
        <v>0</v>
      </c>
      <c r="AL4" s="434">
        <f>'b) Template'!$I$53</f>
        <v>0</v>
      </c>
      <c r="AM4" s="434">
        <f>'b) Template'!$I$54</f>
        <v>0</v>
      </c>
      <c r="AN4" s="434">
        <f>'b) Template'!$I$55</f>
        <v>0</v>
      </c>
      <c r="AO4" s="434">
        <f>'b) Template'!$I$56</f>
        <v>0</v>
      </c>
      <c r="AP4" s="434">
        <f>'b) Template'!$I$57</f>
        <v>0</v>
      </c>
      <c r="AQ4" s="434">
        <f>'b) Template'!$I$58</f>
        <v>0</v>
      </c>
      <c r="AR4" s="434">
        <f>'b) Template'!$I$59</f>
        <v>0</v>
      </c>
      <c r="AS4" s="434">
        <f>'b) Template'!$I$60</f>
        <v>0</v>
      </c>
      <c r="AT4" s="434">
        <f>'b) Template'!$I$61</f>
        <v>0</v>
      </c>
      <c r="AU4" s="434">
        <f>'b) Template'!$I$62</f>
        <v>0</v>
      </c>
      <c r="AV4" s="434">
        <f>'b) Template'!$I$63</f>
        <v>0</v>
      </c>
      <c r="AW4" s="434">
        <f>'b) Template'!$I$64</f>
        <v>0</v>
      </c>
      <c r="AX4" s="434">
        <f>'b) Template'!$I$65</f>
        <v>0</v>
      </c>
      <c r="AY4" s="434">
        <f>'b) Template'!$I$66</f>
        <v>0</v>
      </c>
      <c r="AZ4" s="434">
        <f>'b) Template'!$I$67</f>
        <v>0</v>
      </c>
      <c r="BA4" s="434">
        <f>'b) Template'!$I$68</f>
        <v>0</v>
      </c>
      <c r="BB4" s="434">
        <f>'b) Template'!$I$69</f>
        <v>0</v>
      </c>
      <c r="BC4" s="434">
        <f>'b) Template'!$I$70</f>
        <v>0</v>
      </c>
      <c r="BD4" s="434">
        <f>'b) Template'!$I$71</f>
        <v>0</v>
      </c>
      <c r="BE4" s="434">
        <f>'b) Template'!$I$78</f>
        <v>0</v>
      </c>
      <c r="BF4" s="434">
        <f>'b) Template'!$I$79</f>
        <v>0</v>
      </c>
      <c r="BG4" s="434">
        <f>'b) Template'!$I$80</f>
        <v>0</v>
      </c>
      <c r="BH4" s="434">
        <f>'b) Template'!$I$88</f>
        <v>0</v>
      </c>
      <c r="BI4" s="434">
        <f>'b) Template'!$I$89</f>
        <v>0</v>
      </c>
      <c r="BJ4" s="434">
        <f>'b) Template'!$I$90</f>
        <v>0</v>
      </c>
      <c r="BK4" s="434">
        <f>'b) Template'!$I$93</f>
        <v>0</v>
      </c>
      <c r="BL4" s="434">
        <f>'b) Template'!$I$94</f>
        <v>0</v>
      </c>
      <c r="BM4" s="434">
        <f>'b) Template'!$I$95</f>
        <v>0</v>
      </c>
      <c r="BN4" s="434">
        <f>'b) Template'!$I$101</f>
        <v>0</v>
      </c>
      <c r="BO4" s="434">
        <f>'b) Template'!$I$102</f>
        <v>0</v>
      </c>
      <c r="BP4" s="434">
        <f>'b) Template'!$I$103</f>
        <v>0</v>
      </c>
      <c r="BQ4" s="434">
        <f>'b) Template'!$I$106</f>
        <v>0</v>
      </c>
      <c r="BR4" s="434">
        <f>'b) Template'!$I$107</f>
        <v>0</v>
      </c>
      <c r="BS4" s="434">
        <f>'b) Template'!$I$108</f>
        <v>0</v>
      </c>
      <c r="BT4" s="434">
        <f>'b) Template'!$I$109</f>
        <v>0</v>
      </c>
      <c r="BU4" s="434">
        <f>'b) Template'!$I$124</f>
        <v>0</v>
      </c>
      <c r="BV4" s="434">
        <f>'b) Template'!$I$125</f>
        <v>0</v>
      </c>
      <c r="BW4" s="434">
        <f>'b) Template'!$I$126</f>
        <v>0</v>
      </c>
      <c r="BX4" s="434">
        <f>'b) Template'!$I$127</f>
        <v>0</v>
      </c>
      <c r="BY4" s="434">
        <f>'b) Template'!$I$130</f>
        <v>0</v>
      </c>
      <c r="BZ4" s="434">
        <f>'b) Template'!$I$131</f>
        <v>0</v>
      </c>
      <c r="CA4" s="434">
        <f>'b) Template'!$I$132</f>
        <v>0</v>
      </c>
      <c r="CB4" s="434">
        <f>'b) Template'!$I$133</f>
        <v>0</v>
      </c>
      <c r="CC4" s="434">
        <f>'b) Template'!$I$134</f>
        <v>0</v>
      </c>
      <c r="CD4" s="434">
        <f>'b) Template'!$I$136</f>
        <v>0</v>
      </c>
      <c r="CE4" s="434">
        <f>'b) Template'!$I$137</f>
        <v>0</v>
      </c>
      <c r="CF4" s="434">
        <f>'b) Template'!$I$138</f>
        <v>0</v>
      </c>
      <c r="CG4" s="435"/>
      <c r="CH4" s="435"/>
      <c r="CI4" s="435"/>
      <c r="CJ4" s="435"/>
      <c r="CK4" s="436"/>
      <c r="CL4" s="436"/>
      <c r="CM4" s="435"/>
      <c r="CN4" s="435"/>
      <c r="CO4" s="435"/>
      <c r="CP4" s="436"/>
      <c r="CQ4" s="435"/>
      <c r="CR4" s="435"/>
      <c r="CS4" s="435"/>
      <c r="CT4" s="435"/>
      <c r="CU4" s="435"/>
      <c r="CV4" s="435"/>
      <c r="CW4" s="435"/>
      <c r="CX4" s="436"/>
      <c r="CY4" s="435"/>
      <c r="CZ4" s="435"/>
      <c r="DA4" s="436"/>
      <c r="DB4" s="435"/>
      <c r="DC4" s="435"/>
      <c r="DD4" s="435"/>
      <c r="DE4" s="435"/>
      <c r="DF4" s="435"/>
      <c r="DG4" s="435"/>
      <c r="DH4" s="435"/>
      <c r="DI4" s="435"/>
      <c r="DJ4" s="435"/>
      <c r="DK4" s="435"/>
      <c r="DL4" s="435"/>
      <c r="DM4" s="435"/>
      <c r="DN4" s="435"/>
      <c r="DO4" s="435"/>
      <c r="DP4" s="435"/>
      <c r="DQ4" s="435"/>
      <c r="DR4" s="435"/>
      <c r="DS4" s="435"/>
      <c r="DT4" s="435"/>
      <c r="DU4" s="435"/>
      <c r="DV4" s="435"/>
      <c r="DW4" s="435"/>
      <c r="DX4" s="435"/>
      <c r="DY4" s="435"/>
      <c r="DZ4" s="435"/>
      <c r="EA4" s="435"/>
      <c r="EB4" s="435"/>
      <c r="EC4" s="435"/>
      <c r="ED4" s="435"/>
      <c r="EE4" s="435"/>
      <c r="EF4" s="435"/>
      <c r="EG4" s="435"/>
      <c r="EH4" s="435"/>
      <c r="EI4" s="435"/>
      <c r="EJ4" s="435"/>
      <c r="EK4" s="435"/>
      <c r="EL4" s="435"/>
      <c r="EM4" s="435"/>
      <c r="EN4" s="435"/>
      <c r="EO4" s="435"/>
      <c r="EP4" s="435"/>
      <c r="EQ4" s="435"/>
      <c r="ER4" s="435"/>
      <c r="ES4" s="435"/>
      <c r="ET4" s="435"/>
      <c r="EU4" s="435"/>
      <c r="EV4" s="435"/>
      <c r="EW4" s="435"/>
      <c r="EX4" s="435"/>
      <c r="EY4" s="435"/>
      <c r="EZ4" s="435"/>
      <c r="FA4" s="435"/>
      <c r="FB4" s="435"/>
      <c r="FC4" s="435"/>
      <c r="FD4" s="435"/>
      <c r="FE4" s="435"/>
      <c r="FF4" s="435"/>
      <c r="FG4" s="435"/>
      <c r="FH4" s="435"/>
      <c r="FI4" s="435"/>
      <c r="FJ4" s="435"/>
      <c r="FK4" s="435"/>
      <c r="FL4" s="435"/>
      <c r="FM4" s="435"/>
      <c r="FN4" s="435"/>
      <c r="FO4" s="435"/>
      <c r="FP4" s="435"/>
      <c r="FQ4" s="435"/>
      <c r="FR4" s="435"/>
      <c r="FS4" s="435"/>
      <c r="FT4" s="435"/>
      <c r="FU4" s="435"/>
      <c r="FV4" s="435"/>
      <c r="FW4" s="435"/>
      <c r="FX4" s="435"/>
      <c r="FY4" s="435"/>
      <c r="FZ4" s="435"/>
      <c r="GA4" s="435"/>
      <c r="GB4" s="435"/>
      <c r="GC4" s="435"/>
      <c r="GD4" s="435"/>
      <c r="GE4" s="435"/>
      <c r="GF4" s="435"/>
      <c r="GG4" s="435"/>
      <c r="GH4" s="435"/>
      <c r="GI4" s="435"/>
      <c r="GJ4" s="435"/>
      <c r="GK4" s="435"/>
      <c r="GL4" s="435"/>
      <c r="GM4" s="435"/>
      <c r="GN4" s="435"/>
      <c r="GO4" s="435"/>
      <c r="GP4" s="435"/>
      <c r="GQ4" s="435"/>
      <c r="GR4" s="435"/>
      <c r="GS4" s="435"/>
      <c r="GT4" s="435"/>
      <c r="GU4" s="435"/>
      <c r="GV4" s="435"/>
      <c r="GW4" s="435"/>
      <c r="GX4" s="435"/>
      <c r="GY4" s="435"/>
      <c r="GZ4" s="435"/>
      <c r="HA4" s="435"/>
      <c r="HB4" s="435"/>
      <c r="HC4" s="435"/>
      <c r="HD4" s="435"/>
      <c r="HE4" s="435"/>
      <c r="HF4" s="435"/>
      <c r="HG4" s="435"/>
      <c r="HH4" s="435"/>
      <c r="HI4" s="435"/>
      <c r="HJ4" s="435"/>
      <c r="HK4" s="435"/>
      <c r="HL4" s="435"/>
      <c r="HM4" s="435"/>
      <c r="HN4" s="435"/>
      <c r="HO4" s="435"/>
      <c r="HP4" s="435"/>
      <c r="HQ4" s="435"/>
      <c r="HR4" s="435"/>
      <c r="HS4" s="435"/>
      <c r="HT4" s="435"/>
      <c r="HU4" s="435"/>
      <c r="HV4" s="435"/>
      <c r="HW4" s="437"/>
    </row>
    <row r="5" spans="1:231">
      <c r="A5" s="438">
        <f t="shared" si="0"/>
        <v>0</v>
      </c>
      <c r="B5" s="270" t="str">
        <f t="shared" si="0"/>
        <v>Please Click on Arrow to Choose School</v>
      </c>
      <c r="C5" s="432">
        <f>'b) Template'!$B$4</f>
        <v>0</v>
      </c>
      <c r="D5" s="433" t="str">
        <f>CONCATENATE('b) Template'!$I$3,A222)</f>
        <v>0GAB</v>
      </c>
      <c r="E5" s="434" t="e">
        <f>'b) Template'!$E$16</f>
        <v>#N/A</v>
      </c>
      <c r="F5" s="434" t="e">
        <f>'b) Template'!$E$17</f>
        <v>#N/A</v>
      </c>
      <c r="G5" s="434" t="e">
        <f>'b) Template'!$E$18</f>
        <v>#N/A</v>
      </c>
      <c r="H5" s="434" t="e">
        <f>'b) Template'!$E$19</f>
        <v>#N/A</v>
      </c>
      <c r="I5" s="434" t="e">
        <f>'b) Template'!$E$20</f>
        <v>#N/A</v>
      </c>
      <c r="J5" s="434" t="e">
        <f>'b) Template'!$E$21</f>
        <v>#N/A</v>
      </c>
      <c r="K5" s="434" t="e">
        <f>'b) Template'!$E$22</f>
        <v>#N/A</v>
      </c>
      <c r="L5" s="434" t="e">
        <f>'b) Template'!$E$23</f>
        <v>#N/A</v>
      </c>
      <c r="M5" s="434" t="e">
        <f>'b) Template'!$E$24</f>
        <v>#N/A</v>
      </c>
      <c r="N5" s="434" t="e">
        <f>'b) Template'!$E$25</f>
        <v>#N/A</v>
      </c>
      <c r="O5" s="434" t="e">
        <f>'b) Template'!$E$26</f>
        <v>#N/A</v>
      </c>
      <c r="P5" s="434" t="e">
        <f>'b) Template'!$E$27</f>
        <v>#N/A</v>
      </c>
      <c r="Q5" s="434" t="e">
        <f>'b) Template'!$E$28</f>
        <v>#N/A</v>
      </c>
      <c r="R5" s="434" t="e">
        <f>'b) Template'!$E$29</f>
        <v>#N/A</v>
      </c>
      <c r="S5" s="434" t="e">
        <f>'b) Template'!$E$30</f>
        <v>#N/A</v>
      </c>
      <c r="T5" s="434" t="e">
        <f>'b) Template'!$E$31</f>
        <v>#N/A</v>
      </c>
      <c r="U5" s="434" t="e">
        <f>'b) Template'!$E$32</f>
        <v>#N/A</v>
      </c>
      <c r="V5" s="434" t="e">
        <f>'b) Template'!$E$33</f>
        <v>#N/A</v>
      </c>
      <c r="W5" s="434" t="e">
        <f>'b) Template'!$E$34</f>
        <v>#N/A</v>
      </c>
      <c r="X5" s="434" t="e">
        <f>'b) Template'!$E$35</f>
        <v>#N/A</v>
      </c>
      <c r="Y5" s="434" t="e">
        <f>'b) Template'!$E$40</f>
        <v>#N/A</v>
      </c>
      <c r="Z5" s="434" t="e">
        <f>'b) Template'!$E$41</f>
        <v>#N/A</v>
      </c>
      <c r="AA5" s="434" t="e">
        <f>'b) Template'!$E$42</f>
        <v>#N/A</v>
      </c>
      <c r="AB5" s="434" t="e">
        <f>'b) Template'!$E$43</f>
        <v>#N/A</v>
      </c>
      <c r="AC5" s="434" t="e">
        <f>'b) Template'!$E$44</f>
        <v>#N/A</v>
      </c>
      <c r="AD5" s="434" t="e">
        <f>'b) Template'!$E$45</f>
        <v>#N/A</v>
      </c>
      <c r="AE5" s="434" t="e">
        <f>'b) Template'!$E$46</f>
        <v>#N/A</v>
      </c>
      <c r="AF5" s="434" t="e">
        <f>'b) Template'!$E$47</f>
        <v>#N/A</v>
      </c>
      <c r="AG5" s="434" t="e">
        <f>'b) Template'!$E$48</f>
        <v>#N/A</v>
      </c>
      <c r="AH5" s="434" t="e">
        <f>'b) Template'!$E$49</f>
        <v>#N/A</v>
      </c>
      <c r="AI5" s="434" t="e">
        <f>'b) Template'!$E$50</f>
        <v>#N/A</v>
      </c>
      <c r="AJ5" s="434" t="e">
        <f>'b) Template'!$E$51</f>
        <v>#N/A</v>
      </c>
      <c r="AK5" s="434" t="e">
        <f>'b) Template'!$E$52</f>
        <v>#N/A</v>
      </c>
      <c r="AL5" s="434" t="e">
        <f>'b) Template'!$E$53</f>
        <v>#N/A</v>
      </c>
      <c r="AM5" s="434" t="e">
        <f>'b) Template'!$E$54</f>
        <v>#N/A</v>
      </c>
      <c r="AN5" s="434" t="e">
        <f>'b) Template'!$E$55</f>
        <v>#N/A</v>
      </c>
      <c r="AO5" s="434" t="e">
        <f>'b) Template'!$E$56</f>
        <v>#N/A</v>
      </c>
      <c r="AP5" s="434" t="e">
        <f>'b) Template'!$E$57</f>
        <v>#N/A</v>
      </c>
      <c r="AQ5" s="434" t="e">
        <f>'b) Template'!$E$58</f>
        <v>#N/A</v>
      </c>
      <c r="AR5" s="434" t="e">
        <f>'b) Template'!$E$59</f>
        <v>#N/A</v>
      </c>
      <c r="AS5" s="434" t="e">
        <f>'b) Template'!$E$60</f>
        <v>#N/A</v>
      </c>
      <c r="AT5" s="434" t="e">
        <f>'b) Template'!$E$61</f>
        <v>#N/A</v>
      </c>
      <c r="AU5" s="434" t="e">
        <f>'b) Template'!$E$62</f>
        <v>#N/A</v>
      </c>
      <c r="AV5" s="434" t="e">
        <f>'b) Template'!$E$63</f>
        <v>#N/A</v>
      </c>
      <c r="AW5" s="434" t="e">
        <f>'b) Template'!$E$64</f>
        <v>#N/A</v>
      </c>
      <c r="AX5" s="434" t="e">
        <f>'b) Template'!$E$65</f>
        <v>#N/A</v>
      </c>
      <c r="AY5" s="434" t="e">
        <f>'b) Template'!$E$66</f>
        <v>#N/A</v>
      </c>
      <c r="AZ5" s="434" t="e">
        <f>'b) Template'!$E$67</f>
        <v>#N/A</v>
      </c>
      <c r="BA5" s="434" t="e">
        <f>'b) Template'!$E$68</f>
        <v>#N/A</v>
      </c>
      <c r="BB5" s="434" t="e">
        <f>'b) Template'!$E$69</f>
        <v>#N/A</v>
      </c>
      <c r="BC5" s="434" t="e">
        <f>'b) Template'!$E$70</f>
        <v>#N/A</v>
      </c>
      <c r="BD5" s="434" t="e">
        <f>'b) Template'!$E$71</f>
        <v>#N/A</v>
      </c>
      <c r="BE5" s="434" t="e">
        <f>'b) Template'!$E$78</f>
        <v>#N/A</v>
      </c>
      <c r="BF5" s="434" t="e">
        <f>'b) Template'!$E$79</f>
        <v>#N/A</v>
      </c>
      <c r="BG5" s="434" t="e">
        <f>'b) Template'!$E$80</f>
        <v>#N/A</v>
      </c>
      <c r="BH5" s="434" t="e">
        <f>'b) Template'!$E$88</f>
        <v>#N/A</v>
      </c>
      <c r="BI5" s="434" t="e">
        <f>'b) Template'!$E$89</f>
        <v>#N/A</v>
      </c>
      <c r="BJ5" s="434" t="e">
        <f>'b) Template'!$E$90</f>
        <v>#N/A</v>
      </c>
      <c r="BK5" s="434" t="e">
        <f>'b) Template'!$E$93</f>
        <v>#N/A</v>
      </c>
      <c r="BL5" s="434" t="e">
        <f>'b) Template'!$E$94</f>
        <v>#N/A</v>
      </c>
      <c r="BM5" s="434" t="e">
        <f>'b) Template'!$E$95</f>
        <v>#N/A</v>
      </c>
      <c r="BN5" s="434" t="e">
        <f>'b) Template'!$E$101</f>
        <v>#N/A</v>
      </c>
      <c r="BO5" s="434" t="e">
        <f>'b) Template'!$E$102</f>
        <v>#N/A</v>
      </c>
      <c r="BP5" s="434" t="e">
        <f>'b) Template'!$E$103</f>
        <v>#N/A</v>
      </c>
      <c r="BQ5" s="434" t="e">
        <f>'b) Template'!$E$106</f>
        <v>#N/A</v>
      </c>
      <c r="BR5" s="434" t="e">
        <f>'b) Template'!$E$107</f>
        <v>#N/A</v>
      </c>
      <c r="BS5" s="434" t="e">
        <f>'b) Template'!$E$108</f>
        <v>#N/A</v>
      </c>
      <c r="BT5" s="434" t="e">
        <f>'b) Template'!$E$109</f>
        <v>#N/A</v>
      </c>
      <c r="BU5" s="434" t="e">
        <f>'b) Template'!$E$124</f>
        <v>#N/A</v>
      </c>
      <c r="BV5" s="434" t="e">
        <f>'b) Template'!$E$125</f>
        <v>#N/A</v>
      </c>
      <c r="BW5" s="434" t="e">
        <f>'b) Template'!$E$126</f>
        <v>#N/A</v>
      </c>
      <c r="BX5" s="434" t="e">
        <f>'b) Template'!$E$127</f>
        <v>#N/A</v>
      </c>
      <c r="BY5" s="434" t="e">
        <f>'b) Template'!$E$130</f>
        <v>#N/A</v>
      </c>
      <c r="BZ5" s="434" t="e">
        <f>'b) Template'!$E$131</f>
        <v>#N/A</v>
      </c>
      <c r="CA5" s="434"/>
      <c r="CB5" s="434" t="e">
        <f>'b) Template'!$E$133</f>
        <v>#N/A</v>
      </c>
      <c r="CC5" s="434" t="e">
        <f>'b) Template'!$E$134</f>
        <v>#N/A</v>
      </c>
      <c r="CD5" s="434" t="e">
        <f>'b) Template'!$E$136</f>
        <v>#N/A</v>
      </c>
      <c r="CE5" s="434" t="e">
        <f>'b) Template'!$E$137</f>
        <v>#N/A</v>
      </c>
      <c r="CF5" s="434" t="e">
        <f>'b) Template'!$E$138</f>
        <v>#N/A</v>
      </c>
      <c r="CG5" s="435"/>
      <c r="CH5" s="435"/>
      <c r="CI5" s="435"/>
      <c r="CJ5" s="435"/>
      <c r="CK5" s="436"/>
      <c r="CL5" s="436"/>
      <c r="CM5" s="435"/>
      <c r="CN5" s="435"/>
      <c r="CO5" s="435"/>
      <c r="CP5" s="436"/>
      <c r="CQ5" s="435"/>
      <c r="CR5" s="435"/>
      <c r="CS5" s="435"/>
      <c r="CT5" s="435"/>
      <c r="CU5" s="435"/>
      <c r="CV5" s="435"/>
      <c r="CW5" s="435"/>
      <c r="CX5" s="436"/>
      <c r="CY5" s="435"/>
      <c r="CZ5" s="435"/>
      <c r="DA5" s="436"/>
      <c r="DB5" s="435"/>
      <c r="DC5" s="435"/>
      <c r="DD5" s="435"/>
      <c r="DE5" s="435"/>
      <c r="DF5" s="435"/>
      <c r="DG5" s="435"/>
      <c r="DH5" s="435"/>
      <c r="DI5" s="435"/>
      <c r="DJ5" s="435"/>
      <c r="DK5" s="435"/>
      <c r="DL5" s="435"/>
      <c r="DM5" s="435"/>
      <c r="DN5" s="435"/>
      <c r="DO5" s="435"/>
      <c r="DP5" s="435"/>
      <c r="DQ5" s="435"/>
      <c r="DR5" s="435"/>
      <c r="DS5" s="435"/>
      <c r="DT5" s="435"/>
      <c r="DU5" s="435"/>
      <c r="DV5" s="435"/>
      <c r="DW5" s="435"/>
      <c r="DX5" s="435"/>
      <c r="DY5" s="435"/>
      <c r="DZ5" s="435"/>
      <c r="EA5" s="435"/>
      <c r="EB5" s="435"/>
      <c r="EC5" s="435"/>
      <c r="ED5" s="435"/>
      <c r="EE5" s="435"/>
      <c r="EF5" s="435"/>
      <c r="EG5" s="435"/>
      <c r="EH5" s="435"/>
      <c r="EI5" s="435"/>
      <c r="EJ5" s="435"/>
      <c r="EK5" s="435"/>
      <c r="EL5" s="435"/>
      <c r="EM5" s="435"/>
      <c r="EN5" s="435"/>
      <c r="EO5" s="435"/>
      <c r="EP5" s="435"/>
      <c r="EQ5" s="435"/>
      <c r="ER5" s="435"/>
      <c r="ES5" s="435"/>
      <c r="ET5" s="435"/>
      <c r="EU5" s="435"/>
      <c r="EV5" s="435"/>
      <c r="EW5" s="435"/>
      <c r="EX5" s="435"/>
      <c r="EY5" s="435"/>
      <c r="EZ5" s="435"/>
      <c r="FA5" s="435"/>
      <c r="FB5" s="435"/>
      <c r="FC5" s="435"/>
      <c r="FD5" s="435"/>
      <c r="FE5" s="435"/>
      <c r="FF5" s="435"/>
      <c r="FG5" s="435"/>
      <c r="FH5" s="435"/>
      <c r="FI5" s="435"/>
      <c r="FJ5" s="435"/>
      <c r="FK5" s="435"/>
      <c r="FL5" s="435"/>
      <c r="FM5" s="435"/>
      <c r="FN5" s="435"/>
      <c r="FO5" s="435"/>
      <c r="FP5" s="435"/>
      <c r="FQ5" s="435"/>
      <c r="FR5" s="435"/>
      <c r="FS5" s="435"/>
      <c r="FT5" s="435"/>
      <c r="FU5" s="435"/>
      <c r="FV5" s="435"/>
      <c r="FW5" s="435"/>
      <c r="FX5" s="435"/>
      <c r="FY5" s="435"/>
      <c r="FZ5" s="435"/>
      <c r="GA5" s="435"/>
      <c r="GB5" s="435"/>
      <c r="GC5" s="435"/>
      <c r="GD5" s="435"/>
      <c r="GE5" s="435"/>
      <c r="GF5" s="435"/>
      <c r="GG5" s="435"/>
      <c r="GH5" s="435"/>
      <c r="GI5" s="435"/>
      <c r="GJ5" s="435"/>
      <c r="GK5" s="435"/>
      <c r="GL5" s="435"/>
      <c r="GM5" s="435"/>
      <c r="GN5" s="435"/>
      <c r="GO5" s="435"/>
      <c r="GP5" s="435"/>
      <c r="GQ5" s="435"/>
      <c r="GR5" s="435"/>
      <c r="GS5" s="435"/>
      <c r="GT5" s="435"/>
      <c r="GU5" s="435"/>
      <c r="GV5" s="435"/>
      <c r="GW5" s="435"/>
      <c r="GX5" s="435"/>
      <c r="GY5" s="435"/>
      <c r="GZ5" s="435"/>
      <c r="HA5" s="435"/>
      <c r="HB5" s="435"/>
      <c r="HC5" s="435"/>
      <c r="HD5" s="435"/>
      <c r="HE5" s="435"/>
      <c r="HF5" s="435"/>
      <c r="HG5" s="435"/>
      <c r="HH5" s="435"/>
      <c r="HI5" s="435"/>
      <c r="HJ5" s="435"/>
      <c r="HK5" s="435"/>
      <c r="HL5" s="435"/>
      <c r="HM5" s="435"/>
      <c r="HN5" s="435"/>
      <c r="HO5" s="435"/>
      <c r="HP5" s="435"/>
      <c r="HQ5" s="435"/>
      <c r="HR5" s="435"/>
      <c r="HS5" s="435"/>
      <c r="HT5" s="435"/>
      <c r="HU5" s="435"/>
      <c r="HV5" s="435"/>
      <c r="HW5" s="437"/>
    </row>
    <row r="6" spans="1:231" ht="13.8" thickBot="1">
      <c r="A6" s="438">
        <f t="shared" si="0"/>
        <v>0</v>
      </c>
      <c r="B6" s="270" t="str">
        <f t="shared" si="0"/>
        <v>Please Click on Arrow to Choose School</v>
      </c>
      <c r="C6" s="439">
        <f>'b) Template'!$B$4</f>
        <v>0</v>
      </c>
      <c r="D6" s="440" t="str">
        <f>CONCATENATE('b) Template'!$I$3,A223)</f>
        <v>0REVISED</v>
      </c>
      <c r="E6" s="441">
        <f>'b) Template'!$G$16</f>
        <v>0</v>
      </c>
      <c r="F6" s="441">
        <f>'b) Template'!$G$17</f>
        <v>0</v>
      </c>
      <c r="G6" s="441">
        <f>'b) Template'!$G$18</f>
        <v>0</v>
      </c>
      <c r="H6" s="441">
        <f>'b) Template'!$G$19</f>
        <v>0</v>
      </c>
      <c r="I6" s="441">
        <f>'b) Template'!$G$20</f>
        <v>0</v>
      </c>
      <c r="J6" s="441">
        <f>'b) Template'!$G$21</f>
        <v>0</v>
      </c>
      <c r="K6" s="441">
        <f>'b) Template'!$G$22</f>
        <v>0</v>
      </c>
      <c r="L6" s="441">
        <f>'b) Template'!$G$23</f>
        <v>0</v>
      </c>
      <c r="M6" s="441">
        <f>'b) Template'!$G$24</f>
        <v>0</v>
      </c>
      <c r="N6" s="441">
        <f>'b) Template'!$G$25</f>
        <v>0</v>
      </c>
      <c r="O6" s="441">
        <f>'b) Template'!$G$26</f>
        <v>0</v>
      </c>
      <c r="P6" s="441">
        <f>'b) Template'!$G$27</f>
        <v>0</v>
      </c>
      <c r="Q6" s="441">
        <f>'b) Template'!$G$28</f>
        <v>0</v>
      </c>
      <c r="R6" s="441">
        <f>'b) Template'!$G$29</f>
        <v>0</v>
      </c>
      <c r="S6" s="441">
        <f>'b) Template'!$G$30</f>
        <v>0</v>
      </c>
      <c r="T6" s="441">
        <f>'b) Template'!$G$31</f>
        <v>0</v>
      </c>
      <c r="U6" s="441">
        <f>'b) Template'!$G$32</f>
        <v>0</v>
      </c>
      <c r="V6" s="441">
        <f>'b) Template'!$G$33</f>
        <v>0</v>
      </c>
      <c r="W6" s="441">
        <f>'b) Template'!$G$34</f>
        <v>0</v>
      </c>
      <c r="X6" s="441">
        <f>'b) Template'!$G$35</f>
        <v>0</v>
      </c>
      <c r="Y6" s="441">
        <f>'b) Template'!$G$40</f>
        <v>0</v>
      </c>
      <c r="Z6" s="441">
        <f>'b) Template'!$G$41</f>
        <v>0</v>
      </c>
      <c r="AA6" s="441">
        <f>'b) Template'!$G$42</f>
        <v>0</v>
      </c>
      <c r="AB6" s="441">
        <f>'b) Template'!$G$43</f>
        <v>0</v>
      </c>
      <c r="AC6" s="441">
        <f>'b) Template'!$G$44</f>
        <v>0</v>
      </c>
      <c r="AD6" s="441">
        <f>'b) Template'!$G$45</f>
        <v>0</v>
      </c>
      <c r="AE6" s="441">
        <f>'b) Template'!$G$46</f>
        <v>0</v>
      </c>
      <c r="AF6" s="441">
        <f>'b) Template'!$G$47</f>
        <v>0</v>
      </c>
      <c r="AG6" s="441">
        <f>'b) Template'!$G$48</f>
        <v>0</v>
      </c>
      <c r="AH6" s="441">
        <f>'b) Template'!$G$49</f>
        <v>0</v>
      </c>
      <c r="AI6" s="441">
        <f>'b) Template'!$G$50</f>
        <v>0</v>
      </c>
      <c r="AJ6" s="441">
        <f>'b) Template'!$G$51</f>
        <v>0</v>
      </c>
      <c r="AK6" s="441">
        <f>'b) Template'!$G$52</f>
        <v>0</v>
      </c>
      <c r="AL6" s="441">
        <f>'b) Template'!$G$53</f>
        <v>0</v>
      </c>
      <c r="AM6" s="441">
        <f>'b) Template'!$G$54</f>
        <v>0</v>
      </c>
      <c r="AN6" s="441">
        <f>'b) Template'!$G$55</f>
        <v>0</v>
      </c>
      <c r="AO6" s="441">
        <f>'b) Template'!$G$56</f>
        <v>0</v>
      </c>
      <c r="AP6" s="441">
        <f>'b) Template'!$G$57</f>
        <v>0</v>
      </c>
      <c r="AQ6" s="441">
        <f>'b) Template'!$G$58</f>
        <v>0</v>
      </c>
      <c r="AR6" s="441">
        <f>'b) Template'!$G$59</f>
        <v>0</v>
      </c>
      <c r="AS6" s="441">
        <f>'b) Template'!$G$60</f>
        <v>0</v>
      </c>
      <c r="AT6" s="441">
        <f>'b) Template'!$G$61</f>
        <v>0</v>
      </c>
      <c r="AU6" s="441">
        <f>'b) Template'!$G$62</f>
        <v>0</v>
      </c>
      <c r="AV6" s="441">
        <f>'b) Template'!$G$63</f>
        <v>0</v>
      </c>
      <c r="AW6" s="441">
        <f>'b) Template'!$G$64</f>
        <v>0</v>
      </c>
      <c r="AX6" s="441">
        <f>'b) Template'!$G$65</f>
        <v>0</v>
      </c>
      <c r="AY6" s="441">
        <f>'b) Template'!$G$66</f>
        <v>0</v>
      </c>
      <c r="AZ6" s="441">
        <f>'b) Template'!$G$67</f>
        <v>0</v>
      </c>
      <c r="BA6" s="441">
        <f>'b) Template'!$G$68</f>
        <v>0</v>
      </c>
      <c r="BB6" s="441">
        <f>'b) Template'!$G$69</f>
        <v>0</v>
      </c>
      <c r="BC6" s="441">
        <f>'b) Template'!$G$70</f>
        <v>0</v>
      </c>
      <c r="BD6" s="441">
        <f>'b) Template'!$G$71</f>
        <v>0</v>
      </c>
      <c r="BE6" s="441">
        <f>'b) Template'!$G$78</f>
        <v>0</v>
      </c>
      <c r="BF6" s="441" t="e">
        <f>'b) Template'!$G$79</f>
        <v>#N/A</v>
      </c>
      <c r="BG6" s="441" t="e">
        <f>'b) Template'!$G$80</f>
        <v>#N/A</v>
      </c>
      <c r="BH6" s="441">
        <f>'b) Template'!$G$88</f>
        <v>0</v>
      </c>
      <c r="BI6" s="441">
        <f>'b) Template'!$G$89</f>
        <v>0</v>
      </c>
      <c r="BJ6" s="441">
        <f>'b) Template'!$G$90</f>
        <v>0</v>
      </c>
      <c r="BK6" s="441">
        <f>'b) Template'!$G$93</f>
        <v>0</v>
      </c>
      <c r="BL6" s="441">
        <f>'b) Template'!$G$94</f>
        <v>0</v>
      </c>
      <c r="BM6" s="441">
        <f>'b) Template'!$G$95</f>
        <v>0</v>
      </c>
      <c r="BN6" s="441">
        <f>'b) Template'!$G$101</f>
        <v>0</v>
      </c>
      <c r="BO6" s="441" t="e">
        <f>'b) Template'!$G$102</f>
        <v>#N/A</v>
      </c>
      <c r="BP6" s="441" t="e">
        <f>'b) Template'!$G$103</f>
        <v>#N/A</v>
      </c>
      <c r="BQ6" s="441">
        <f>'b) Template'!$G$106</f>
        <v>0</v>
      </c>
      <c r="BR6" s="441" t="e">
        <f>'b) Template'!$G$107</f>
        <v>#N/A</v>
      </c>
      <c r="BS6" s="441" t="e">
        <f>'b) Template'!$G$108</f>
        <v>#N/A</v>
      </c>
      <c r="BT6" s="441" t="e">
        <f>'b) Template'!$G$109</f>
        <v>#N/A</v>
      </c>
      <c r="BU6" s="441">
        <f>'b) Template'!$G$124</f>
        <v>0</v>
      </c>
      <c r="BV6" s="441">
        <f>'b) Template'!$G$125</f>
        <v>0</v>
      </c>
      <c r="BW6" s="441">
        <f>'b) Template'!$G$126</f>
        <v>0</v>
      </c>
      <c r="BX6" s="441">
        <f>'b) Template'!$G$127</f>
        <v>0</v>
      </c>
      <c r="BY6" s="441">
        <f>'b) Template'!$G$130</f>
        <v>0</v>
      </c>
      <c r="BZ6" s="441">
        <f>'b) Template'!$G$131</f>
        <v>0</v>
      </c>
      <c r="CA6" s="441">
        <f>'b) Template'!$G$132</f>
        <v>0</v>
      </c>
      <c r="CB6" s="441">
        <f>'b) Template'!$G$133</f>
        <v>0</v>
      </c>
      <c r="CC6" s="441">
        <f>'b) Template'!$G$134</f>
        <v>0</v>
      </c>
      <c r="CD6" s="441">
        <f>'b) Template'!$G$136</f>
        <v>0</v>
      </c>
      <c r="CE6" s="441" t="e">
        <f>'b) Template'!$G$137</f>
        <v>#N/A</v>
      </c>
      <c r="CF6" s="441" t="e">
        <f>'b) Template'!$G$138</f>
        <v>#N/A</v>
      </c>
      <c r="CG6" s="442"/>
      <c r="CH6" s="442"/>
      <c r="CI6" s="442"/>
      <c r="CJ6" s="442"/>
      <c r="CK6" s="443"/>
      <c r="CL6" s="443"/>
      <c r="CM6" s="442"/>
      <c r="CN6" s="442"/>
      <c r="CO6" s="442"/>
      <c r="CP6" s="443"/>
      <c r="CQ6" s="442"/>
      <c r="CR6" s="442"/>
      <c r="CS6" s="442"/>
      <c r="CT6" s="442"/>
      <c r="CU6" s="442"/>
      <c r="CV6" s="442"/>
      <c r="CW6" s="442"/>
      <c r="CX6" s="443"/>
      <c r="CY6" s="442"/>
      <c r="CZ6" s="442"/>
      <c r="DA6" s="443"/>
      <c r="DB6" s="442"/>
      <c r="DC6" s="442"/>
      <c r="DD6" s="442"/>
      <c r="DE6" s="442"/>
      <c r="DF6" s="442"/>
      <c r="DG6" s="442"/>
      <c r="DH6" s="442"/>
      <c r="DI6" s="442"/>
      <c r="DJ6" s="442"/>
      <c r="DK6" s="442"/>
      <c r="DL6" s="442"/>
      <c r="DM6" s="442"/>
      <c r="DN6" s="442"/>
      <c r="DO6" s="442"/>
      <c r="DP6" s="442"/>
      <c r="DQ6" s="442"/>
      <c r="DR6" s="442"/>
      <c r="DS6" s="442"/>
      <c r="DT6" s="442"/>
      <c r="DU6" s="442"/>
      <c r="DV6" s="442"/>
      <c r="DW6" s="442"/>
      <c r="DX6" s="442"/>
      <c r="DY6" s="442"/>
      <c r="DZ6" s="442"/>
      <c r="EA6" s="442"/>
      <c r="EB6" s="442"/>
      <c r="EC6" s="442"/>
      <c r="ED6" s="442"/>
      <c r="EE6" s="442"/>
      <c r="EF6" s="442"/>
      <c r="EG6" s="442"/>
      <c r="EH6" s="442"/>
      <c r="EI6" s="442"/>
      <c r="EJ6" s="442"/>
      <c r="EK6" s="442"/>
      <c r="EL6" s="442"/>
      <c r="EM6" s="442"/>
      <c r="EN6" s="442"/>
      <c r="EO6" s="442"/>
      <c r="EP6" s="442"/>
      <c r="EQ6" s="442"/>
      <c r="ER6" s="442"/>
      <c r="ES6" s="442"/>
      <c r="ET6" s="442"/>
      <c r="EU6" s="442"/>
      <c r="EV6" s="442"/>
      <c r="EW6" s="442"/>
      <c r="EX6" s="442"/>
      <c r="EY6" s="442"/>
      <c r="EZ6" s="442"/>
      <c r="FA6" s="442"/>
      <c r="FB6" s="442"/>
      <c r="FC6" s="442"/>
      <c r="FD6" s="442"/>
      <c r="FE6" s="442"/>
      <c r="FF6" s="442"/>
      <c r="FG6" s="442"/>
      <c r="FH6" s="442"/>
      <c r="FI6" s="442"/>
      <c r="FJ6" s="442"/>
      <c r="FK6" s="442"/>
      <c r="FL6" s="442"/>
      <c r="FM6" s="442"/>
      <c r="FN6" s="442"/>
      <c r="FO6" s="442"/>
      <c r="FP6" s="442"/>
      <c r="FQ6" s="442"/>
      <c r="FR6" s="442"/>
      <c r="FS6" s="442"/>
      <c r="FT6" s="442"/>
      <c r="FU6" s="442"/>
      <c r="FV6" s="442"/>
      <c r="FW6" s="442"/>
      <c r="FX6" s="442"/>
      <c r="FY6" s="442"/>
      <c r="FZ6" s="442"/>
      <c r="GA6" s="442"/>
      <c r="GB6" s="442"/>
      <c r="GC6" s="442"/>
      <c r="GD6" s="442"/>
      <c r="GE6" s="442"/>
      <c r="GF6" s="442"/>
      <c r="GG6" s="442"/>
      <c r="GH6" s="442"/>
      <c r="GI6" s="442"/>
      <c r="GJ6" s="442"/>
      <c r="GK6" s="442"/>
      <c r="GL6" s="442"/>
      <c r="GM6" s="442"/>
      <c r="GN6" s="442"/>
      <c r="GO6" s="442"/>
      <c r="GP6" s="442"/>
      <c r="GQ6" s="442"/>
      <c r="GR6" s="442"/>
      <c r="GS6" s="442"/>
      <c r="GT6" s="442"/>
      <c r="GU6" s="442"/>
      <c r="GV6" s="442"/>
      <c r="GW6" s="442"/>
      <c r="GX6" s="442"/>
      <c r="GY6" s="442"/>
      <c r="GZ6" s="442"/>
      <c r="HA6" s="442"/>
      <c r="HB6" s="442"/>
      <c r="HC6" s="442"/>
      <c r="HD6" s="442"/>
      <c r="HE6" s="442"/>
      <c r="HF6" s="442"/>
      <c r="HG6" s="442"/>
      <c r="HH6" s="442"/>
      <c r="HI6" s="442"/>
      <c r="HJ6" s="442"/>
      <c r="HK6" s="442"/>
      <c r="HL6" s="442"/>
      <c r="HM6" s="442"/>
      <c r="HN6" s="442"/>
      <c r="HO6" s="442"/>
      <c r="HP6" s="442"/>
      <c r="HQ6" s="442"/>
      <c r="HR6" s="442"/>
      <c r="HS6" s="442"/>
      <c r="HT6" s="442"/>
      <c r="HU6" s="442"/>
      <c r="HV6" s="442"/>
      <c r="HW6" s="444"/>
    </row>
    <row r="7" spans="1:231">
      <c r="EL7" s="387"/>
      <c r="EM7" s="387"/>
      <c r="EN7" s="387"/>
      <c r="EO7" s="387"/>
      <c r="EP7" s="387"/>
      <c r="EQ7" s="387"/>
      <c r="ER7" s="387"/>
    </row>
    <row r="8" spans="1:231">
      <c r="EL8" s="387"/>
      <c r="EM8" s="387"/>
      <c r="EN8" s="387"/>
      <c r="EO8" s="387"/>
      <c r="EP8" s="387"/>
      <c r="EQ8" s="387"/>
      <c r="ER8" s="387"/>
    </row>
    <row r="9" spans="1:231" hidden="1">
      <c r="A9" s="445" t="s">
        <v>956</v>
      </c>
      <c r="B9" s="446"/>
      <c r="C9" s="446"/>
      <c r="D9" s="446"/>
      <c r="E9" s="447"/>
      <c r="F9" s="447"/>
      <c r="G9" s="448"/>
    </row>
    <row r="10" spans="1:231" hidden="1">
      <c r="A10" s="449"/>
      <c r="B10" s="450"/>
      <c r="C10" s="451"/>
      <c r="D10" s="452">
        <f>'b) Template'!G11</f>
        <v>0</v>
      </c>
      <c r="E10" s="453"/>
      <c r="F10" s="454">
        <f>'b) Template'!I11</f>
        <v>0</v>
      </c>
      <c r="G10" s="455"/>
    </row>
    <row r="11" spans="1:231" hidden="1">
      <c r="A11" s="449"/>
      <c r="B11" s="451" t="s">
        <v>957</v>
      </c>
      <c r="C11" s="450"/>
      <c r="D11" s="450" t="e">
        <f>'"Alerts"'!#REF!</f>
        <v>#REF!</v>
      </c>
      <c r="E11" s="456"/>
      <c r="F11" s="456" t="e">
        <f>'"Alerts"'!#REF!</f>
        <v>#REF!</v>
      </c>
      <c r="G11" s="455"/>
    </row>
    <row r="12" spans="1:231" hidden="1">
      <c r="A12" s="449"/>
      <c r="B12" s="451" t="s">
        <v>958</v>
      </c>
      <c r="C12" s="450"/>
      <c r="D12" s="450" t="str">
        <f>IF('b) Template'!G78&gt;0,"CHECK","OK")</f>
        <v>OK</v>
      </c>
      <c r="E12" s="456"/>
      <c r="F12" s="456" t="str">
        <f>IF('b) Template'!I78&gt;0,"CHECK","OK")</f>
        <v>OK</v>
      </c>
      <c r="G12" s="455"/>
    </row>
    <row r="13" spans="1:231" hidden="1">
      <c r="A13" s="449"/>
      <c r="B13" s="451" t="s">
        <v>959</v>
      </c>
      <c r="C13" s="450"/>
      <c r="D13" s="450" t="str">
        <f>IF('b) Template'!G101&gt;0,"CHECK","OK")</f>
        <v>OK</v>
      </c>
      <c r="E13" s="456"/>
      <c r="F13" s="456" t="str">
        <f>IF('b) Template'!I101&gt;0,"CHECK","OK")</f>
        <v>OK</v>
      </c>
      <c r="G13" s="455"/>
    </row>
    <row r="14" spans="1:231" hidden="1">
      <c r="A14" s="449"/>
      <c r="B14" s="451" t="s">
        <v>960</v>
      </c>
      <c r="C14" s="450"/>
      <c r="D14" s="450" t="e">
        <f>IF('b) Template'!G109&gt;0,"CHECK","OK")</f>
        <v>#N/A</v>
      </c>
      <c r="E14" s="456"/>
      <c r="F14" s="456" t="str">
        <f>IF('b) Template'!I109&gt;0,"CHECK","OK")</f>
        <v>OK</v>
      </c>
      <c r="G14" s="455"/>
    </row>
    <row r="15" spans="1:231" hidden="1">
      <c r="A15" s="449"/>
      <c r="B15" s="451" t="s">
        <v>961</v>
      </c>
      <c r="C15" s="450"/>
      <c r="D15" s="450" t="e">
        <f>IF('b) Template'!G109&gt;SSCT!D21,"CHECK","OK")</f>
        <v>#N/A</v>
      </c>
      <c r="E15" s="456"/>
      <c r="F15" s="456" t="str">
        <f>IF('b) Template'!I109&gt;SSCT!F21,"CHECK","OK")</f>
        <v>OK</v>
      </c>
      <c r="G15" s="455"/>
    </row>
    <row r="16" spans="1:231" hidden="1">
      <c r="A16" s="449"/>
      <c r="B16" s="451" t="s">
        <v>962</v>
      </c>
      <c r="C16" s="450"/>
      <c r="D16" s="450" t="e">
        <f>IF('b) Template'!G109&lt;0,"CHECK","OK")</f>
        <v>#N/A</v>
      </c>
      <c r="E16" s="456"/>
      <c r="F16" s="456" t="str">
        <f>IF('b) Template'!I109&lt;0,"CHECK","OK")</f>
        <v>OK</v>
      </c>
      <c r="G16" s="455"/>
    </row>
    <row r="17" spans="1:7" hidden="1">
      <c r="A17" s="449"/>
      <c r="B17" s="451" t="s">
        <v>963</v>
      </c>
      <c r="C17" s="450"/>
      <c r="D17" s="450" t="e">
        <f>IF('b) Template'!G109&lt;(('b) Template'!G102+'b) Template'!G79)*0.5),"CHECK","OK")</f>
        <v>#N/A</v>
      </c>
      <c r="E17" s="456"/>
      <c r="F17" s="456" t="str">
        <f>IF('b) Template'!I109&lt;(('b) Template'!I102+'b) Template'!I79)*0.5),"CHECK","OK")</f>
        <v>OK</v>
      </c>
      <c r="G17" s="455"/>
    </row>
    <row r="18" spans="1:7" hidden="1">
      <c r="A18" s="449"/>
      <c r="B18" s="451"/>
      <c r="C18" s="450"/>
      <c r="D18" s="450"/>
      <c r="E18" s="456"/>
      <c r="F18" s="456"/>
      <c r="G18" s="455"/>
    </row>
    <row r="19" spans="1:7" hidden="1">
      <c r="A19" s="449"/>
      <c r="B19" s="451"/>
      <c r="C19" s="450"/>
      <c r="D19" s="450"/>
      <c r="E19" s="456"/>
      <c r="F19" s="456"/>
      <c r="G19" s="455"/>
    </row>
    <row r="20" spans="1:7" hidden="1">
      <c r="A20" s="449"/>
      <c r="B20" s="451" t="s">
        <v>964</v>
      </c>
      <c r="C20" s="457"/>
      <c r="D20" s="457">
        <f>'b) Template'!G16+'b) Template'!G17+'b) Template'!G18+'b) Template'!G19+'b) Template'!G20</f>
        <v>0</v>
      </c>
      <c r="E20" s="458"/>
      <c r="F20" s="458">
        <f>'b) Template'!I16+'b) Template'!I17+'b) Template'!I18+'b) Template'!I19+'b) Template'!I20</f>
        <v>0</v>
      </c>
      <c r="G20" s="455"/>
    </row>
    <row r="21" spans="1:7" hidden="1">
      <c r="A21" s="449"/>
      <c r="B21" s="451" t="s">
        <v>965</v>
      </c>
      <c r="C21" s="457"/>
      <c r="D21" s="457">
        <f>IF($C$3="SECONDARY",D20*0.05,D20*0.08)</f>
        <v>0</v>
      </c>
      <c r="E21" s="458"/>
      <c r="F21" s="458">
        <f>IF($C$3="SECONDARY",F20*0.05,F20*0.08)</f>
        <v>0</v>
      </c>
      <c r="G21" s="455"/>
    </row>
    <row r="22" spans="1:7" ht="13.8" hidden="1" thickBot="1">
      <c r="A22" s="459"/>
      <c r="B22" s="460"/>
      <c r="C22" s="460"/>
      <c r="D22" s="460"/>
      <c r="E22" s="461"/>
      <c r="F22" s="461"/>
      <c r="G22" s="462"/>
    </row>
    <row r="23" spans="1:7">
      <c r="A23" s="463" t="s">
        <v>966</v>
      </c>
    </row>
    <row r="25" spans="1:7">
      <c r="A25" s="464"/>
      <c r="B25" s="465"/>
    </row>
    <row r="26" spans="1:7" hidden="1">
      <c r="A26" s="465" t="s">
        <v>967</v>
      </c>
      <c r="B26" s="465" t="s">
        <v>877</v>
      </c>
      <c r="C26" s="465" t="s">
        <v>873</v>
      </c>
      <c r="D26" s="465" t="s">
        <v>876</v>
      </c>
    </row>
    <row r="27" spans="1:7" hidden="1">
      <c r="A27" s="466" t="s">
        <v>968</v>
      </c>
      <c r="B27" s="466" t="s">
        <v>969</v>
      </c>
      <c r="C27" s="466" t="s">
        <v>970</v>
      </c>
      <c r="D27" s="466">
        <v>1008</v>
      </c>
    </row>
    <row r="28" spans="1:7" hidden="1">
      <c r="A28" s="466" t="s">
        <v>971</v>
      </c>
      <c r="B28" s="466" t="s">
        <v>972</v>
      </c>
      <c r="C28" s="466" t="s">
        <v>970</v>
      </c>
      <c r="D28" s="466">
        <v>1012</v>
      </c>
    </row>
    <row r="29" spans="1:7" hidden="1">
      <c r="A29" s="466" t="s">
        <v>973</v>
      </c>
      <c r="B29" s="466" t="s">
        <v>974</v>
      </c>
      <c r="C29" s="466" t="s">
        <v>970</v>
      </c>
      <c r="D29" s="466">
        <v>1001</v>
      </c>
    </row>
    <row r="30" spans="1:7" hidden="1">
      <c r="A30" s="466" t="s">
        <v>975</v>
      </c>
      <c r="B30" s="466" t="s">
        <v>976</v>
      </c>
      <c r="C30" s="466" t="s">
        <v>970</v>
      </c>
      <c r="D30" s="466">
        <v>1002</v>
      </c>
    </row>
    <row r="31" spans="1:7" hidden="1">
      <c r="A31" s="466" t="s">
        <v>977</v>
      </c>
      <c r="B31" s="466" t="s">
        <v>978</v>
      </c>
      <c r="C31" s="466" t="s">
        <v>970</v>
      </c>
      <c r="D31" s="466">
        <v>1009</v>
      </c>
    </row>
    <row r="32" spans="1:7" hidden="1">
      <c r="A32" s="466" t="s">
        <v>979</v>
      </c>
      <c r="B32" s="466" t="s">
        <v>980</v>
      </c>
      <c r="C32" s="466" t="s">
        <v>970</v>
      </c>
      <c r="D32" s="466">
        <v>1010</v>
      </c>
    </row>
    <row r="33" spans="1:4" hidden="1">
      <c r="A33" s="466" t="s">
        <v>981</v>
      </c>
      <c r="B33" s="466" t="s">
        <v>982</v>
      </c>
      <c r="C33" s="466" t="s">
        <v>970</v>
      </c>
      <c r="D33" s="466">
        <v>1000</v>
      </c>
    </row>
    <row r="34" spans="1:4" hidden="1">
      <c r="A34" s="466" t="s">
        <v>983</v>
      </c>
      <c r="B34" s="466" t="s">
        <v>984</v>
      </c>
      <c r="C34" s="466" t="s">
        <v>985</v>
      </c>
      <c r="D34" s="466">
        <v>2173</v>
      </c>
    </row>
    <row r="35" spans="1:4" hidden="1">
      <c r="A35" s="466" t="s">
        <v>986</v>
      </c>
      <c r="B35" s="466" t="s">
        <v>987</v>
      </c>
      <c r="C35" s="466" t="s">
        <v>985</v>
      </c>
      <c r="D35" s="466">
        <v>2146</v>
      </c>
    </row>
    <row r="36" spans="1:4" hidden="1">
      <c r="A36" s="466" t="s">
        <v>988</v>
      </c>
      <c r="B36" s="466" t="s">
        <v>989</v>
      </c>
      <c r="C36" s="466" t="s">
        <v>985</v>
      </c>
      <c r="D36" s="466">
        <v>3000</v>
      </c>
    </row>
    <row r="37" spans="1:4" hidden="1">
      <c r="A37" s="466" t="s">
        <v>990</v>
      </c>
      <c r="B37" s="466" t="s">
        <v>991</v>
      </c>
      <c r="C37" s="466" t="s">
        <v>985</v>
      </c>
      <c r="D37" s="466">
        <v>3026</v>
      </c>
    </row>
    <row r="38" spans="1:4" hidden="1">
      <c r="A38" s="466" t="s">
        <v>992</v>
      </c>
      <c r="B38" s="466" t="s">
        <v>993</v>
      </c>
      <c r="C38" s="466" t="s">
        <v>985</v>
      </c>
      <c r="D38" s="466">
        <v>2001</v>
      </c>
    </row>
    <row r="39" spans="1:4" hidden="1">
      <c r="A39" s="466" t="s">
        <v>994</v>
      </c>
      <c r="B39" s="466" t="s">
        <v>995</v>
      </c>
      <c r="C39" s="466" t="s">
        <v>985</v>
      </c>
      <c r="D39" s="466">
        <v>2150</v>
      </c>
    </row>
    <row r="40" spans="1:4" hidden="1">
      <c r="A40" s="466" t="s">
        <v>996</v>
      </c>
      <c r="B40" s="466" t="s">
        <v>997</v>
      </c>
      <c r="C40" s="466" t="s">
        <v>985</v>
      </c>
      <c r="D40" s="466">
        <v>2184</v>
      </c>
    </row>
    <row r="41" spans="1:4" hidden="1">
      <c r="A41" s="466" t="s">
        <v>998</v>
      </c>
      <c r="B41" s="466" t="s">
        <v>999</v>
      </c>
      <c r="C41" s="466" t="s">
        <v>985</v>
      </c>
      <c r="D41" s="466">
        <v>3360</v>
      </c>
    </row>
    <row r="42" spans="1:4" hidden="1">
      <c r="A42" s="466" t="s">
        <v>1000</v>
      </c>
      <c r="B42" s="466" t="s">
        <v>1001</v>
      </c>
      <c r="C42" s="466" t="s">
        <v>985</v>
      </c>
      <c r="D42" s="466">
        <v>2102</v>
      </c>
    </row>
    <row r="43" spans="1:4" hidden="1">
      <c r="A43" s="466" t="s">
        <v>1002</v>
      </c>
      <c r="B43" s="466" t="s">
        <v>1003</v>
      </c>
      <c r="C43" s="466" t="s">
        <v>985</v>
      </c>
      <c r="D43" s="466">
        <v>2020</v>
      </c>
    </row>
    <row r="44" spans="1:4" hidden="1">
      <c r="A44" s="466" t="s">
        <v>1004</v>
      </c>
      <c r="B44" s="466" t="s">
        <v>1005</v>
      </c>
      <c r="C44" s="466" t="s">
        <v>985</v>
      </c>
      <c r="D44" s="466">
        <v>2166</v>
      </c>
    </row>
    <row r="45" spans="1:4" hidden="1">
      <c r="A45" s="466" t="s">
        <v>1006</v>
      </c>
      <c r="B45" s="466" t="s">
        <v>1007</v>
      </c>
      <c r="C45" s="466" t="s">
        <v>985</v>
      </c>
      <c r="D45" s="466">
        <v>2062</v>
      </c>
    </row>
    <row r="46" spans="1:4" hidden="1">
      <c r="A46" s="466" t="s">
        <v>1008</v>
      </c>
      <c r="B46" s="466" t="s">
        <v>1009</v>
      </c>
      <c r="C46" s="466" t="s">
        <v>985</v>
      </c>
      <c r="D46" s="466">
        <v>2075</v>
      </c>
    </row>
    <row r="47" spans="1:4" hidden="1">
      <c r="A47" s="466" t="s">
        <v>1010</v>
      </c>
      <c r="B47" s="466" t="s">
        <v>1011</v>
      </c>
      <c r="C47" s="466" t="s">
        <v>985</v>
      </c>
      <c r="D47" s="466">
        <v>2107</v>
      </c>
    </row>
    <row r="48" spans="1:4" hidden="1">
      <c r="A48" s="466" t="s">
        <v>1012</v>
      </c>
      <c r="B48" s="466" t="s">
        <v>1013</v>
      </c>
      <c r="C48" s="466" t="s">
        <v>985</v>
      </c>
      <c r="D48" s="466">
        <v>2009</v>
      </c>
    </row>
    <row r="49" spans="1:4" hidden="1">
      <c r="A49" s="466" t="s">
        <v>1014</v>
      </c>
      <c r="B49" s="466" t="s">
        <v>1015</v>
      </c>
      <c r="C49" s="466" t="s">
        <v>985</v>
      </c>
      <c r="D49" s="466">
        <v>3031</v>
      </c>
    </row>
    <row r="50" spans="1:4" hidden="1">
      <c r="A50" s="466" t="s">
        <v>1016</v>
      </c>
      <c r="B50" s="466" t="s">
        <v>1017</v>
      </c>
      <c r="C50" s="466" t="s">
        <v>985</v>
      </c>
      <c r="D50" s="466">
        <v>2203</v>
      </c>
    </row>
    <row r="51" spans="1:4" hidden="1">
      <c r="A51" s="466" t="s">
        <v>1018</v>
      </c>
      <c r="B51" s="466" t="s">
        <v>1019</v>
      </c>
      <c r="C51" s="466" t="s">
        <v>985</v>
      </c>
      <c r="D51" s="466">
        <v>2036</v>
      </c>
    </row>
    <row r="52" spans="1:4" hidden="1">
      <c r="A52" s="466" t="s">
        <v>1020</v>
      </c>
      <c r="B52" s="466" t="s">
        <v>1021</v>
      </c>
      <c r="C52" s="466" t="s">
        <v>985</v>
      </c>
      <c r="D52" s="466">
        <v>2087</v>
      </c>
    </row>
    <row r="53" spans="1:4" hidden="1">
      <c r="A53" s="466" t="s">
        <v>1022</v>
      </c>
      <c r="B53" s="466" t="s">
        <v>1023</v>
      </c>
      <c r="C53" s="466" t="s">
        <v>985</v>
      </c>
      <c r="D53" s="466">
        <v>2094</v>
      </c>
    </row>
    <row r="54" spans="1:4" hidden="1">
      <c r="A54" s="466" t="s">
        <v>1024</v>
      </c>
      <c r="B54" s="466" t="s">
        <v>1025</v>
      </c>
      <c r="C54" s="466" t="s">
        <v>985</v>
      </c>
      <c r="D54" s="466">
        <v>3024</v>
      </c>
    </row>
    <row r="55" spans="1:4" hidden="1">
      <c r="A55" s="466" t="s">
        <v>1026</v>
      </c>
      <c r="B55" s="466" t="s">
        <v>1027</v>
      </c>
      <c r="C55" s="466" t="s">
        <v>985</v>
      </c>
      <c r="D55" s="466">
        <v>2015</v>
      </c>
    </row>
    <row r="56" spans="1:4" hidden="1">
      <c r="A56" s="466" t="s">
        <v>1028</v>
      </c>
      <c r="B56" s="466" t="s">
        <v>1029</v>
      </c>
      <c r="C56" s="466" t="s">
        <v>985</v>
      </c>
      <c r="D56" s="466">
        <v>2186</v>
      </c>
    </row>
    <row r="57" spans="1:4" hidden="1">
      <c r="A57" s="466" t="s">
        <v>1030</v>
      </c>
      <c r="B57" s="466" t="s">
        <v>1031</v>
      </c>
      <c r="C57" s="466" t="s">
        <v>985</v>
      </c>
      <c r="D57" s="466">
        <v>2110</v>
      </c>
    </row>
    <row r="58" spans="1:4" hidden="1">
      <c r="A58" s="466" t="s">
        <v>1032</v>
      </c>
      <c r="B58" s="466" t="s">
        <v>1033</v>
      </c>
      <c r="C58" s="466" t="s">
        <v>985</v>
      </c>
      <c r="D58" s="466">
        <v>2111</v>
      </c>
    </row>
    <row r="59" spans="1:4" hidden="1">
      <c r="A59" s="466" t="s">
        <v>1034</v>
      </c>
      <c r="B59" s="466" t="s">
        <v>1035</v>
      </c>
      <c r="C59" s="466" t="s">
        <v>985</v>
      </c>
      <c r="D59" s="466">
        <v>2024</v>
      </c>
    </row>
    <row r="60" spans="1:4" hidden="1">
      <c r="A60" s="466" t="s">
        <v>1036</v>
      </c>
      <c r="B60" s="466" t="s">
        <v>1037</v>
      </c>
      <c r="C60" s="466" t="s">
        <v>985</v>
      </c>
      <c r="D60" s="466">
        <v>2112</v>
      </c>
    </row>
    <row r="61" spans="1:4" hidden="1">
      <c r="A61" s="466" t="s">
        <v>1038</v>
      </c>
      <c r="B61" s="466" t="s">
        <v>1039</v>
      </c>
      <c r="C61" s="466" t="s">
        <v>985</v>
      </c>
      <c r="D61" s="466">
        <v>2167</v>
      </c>
    </row>
    <row r="62" spans="1:4" hidden="1">
      <c r="A62" s="466" t="s">
        <v>1040</v>
      </c>
      <c r="B62" s="466" t="s">
        <v>1041</v>
      </c>
      <c r="C62" s="466" t="s">
        <v>985</v>
      </c>
      <c r="D62" s="466">
        <v>3028</v>
      </c>
    </row>
    <row r="63" spans="1:4" hidden="1">
      <c r="A63" s="466" t="s">
        <v>1042</v>
      </c>
      <c r="B63" s="466" t="s">
        <v>1043</v>
      </c>
      <c r="C63" s="466" t="s">
        <v>985</v>
      </c>
      <c r="D63" s="466">
        <v>2147</v>
      </c>
    </row>
    <row r="64" spans="1:4" hidden="1">
      <c r="A64" s="466" t="s">
        <v>1044</v>
      </c>
      <c r="B64" s="466" t="s">
        <v>1045</v>
      </c>
      <c r="C64" s="466" t="s">
        <v>985</v>
      </c>
      <c r="D64" s="466">
        <v>2120</v>
      </c>
    </row>
    <row r="65" spans="1:4" hidden="1">
      <c r="A65" s="466" t="s">
        <v>1046</v>
      </c>
      <c r="B65" s="466" t="s">
        <v>1047</v>
      </c>
      <c r="C65" s="466" t="s">
        <v>985</v>
      </c>
      <c r="D65" s="466">
        <v>2113</v>
      </c>
    </row>
    <row r="66" spans="1:4" hidden="1">
      <c r="A66" s="466" t="s">
        <v>1048</v>
      </c>
      <c r="B66" s="466" t="s">
        <v>1049</v>
      </c>
      <c r="C66" s="466" t="s">
        <v>985</v>
      </c>
      <c r="D66" s="466">
        <v>2103</v>
      </c>
    </row>
    <row r="67" spans="1:4" hidden="1">
      <c r="A67" s="466" t="s">
        <v>1050</v>
      </c>
      <c r="B67" s="466" t="s">
        <v>1051</v>
      </c>
      <c r="C67" s="466" t="s">
        <v>985</v>
      </c>
      <c r="D67" s="466">
        <v>2084</v>
      </c>
    </row>
    <row r="68" spans="1:4" hidden="1">
      <c r="A68" s="466" t="s">
        <v>1052</v>
      </c>
      <c r="B68" s="466" t="s">
        <v>1053</v>
      </c>
      <c r="C68" s="466" t="s">
        <v>985</v>
      </c>
      <c r="D68" s="466">
        <v>2183</v>
      </c>
    </row>
    <row r="69" spans="1:4" hidden="1">
      <c r="A69" s="466" t="s">
        <v>1054</v>
      </c>
      <c r="B69" s="466" t="s">
        <v>1055</v>
      </c>
      <c r="C69" s="466" t="s">
        <v>985</v>
      </c>
      <c r="D69" s="466">
        <v>2065</v>
      </c>
    </row>
    <row r="70" spans="1:4" hidden="1">
      <c r="A70" s="466" t="s">
        <v>1056</v>
      </c>
      <c r="B70" s="466" t="s">
        <v>1057</v>
      </c>
      <c r="C70" s="466" t="s">
        <v>985</v>
      </c>
      <c r="D70" s="466">
        <v>5201</v>
      </c>
    </row>
    <row r="71" spans="1:4" hidden="1">
      <c r="A71" s="466" t="s">
        <v>1058</v>
      </c>
      <c r="B71" s="466" t="s">
        <v>1059</v>
      </c>
      <c r="C71" s="466" t="s">
        <v>985</v>
      </c>
      <c r="D71" s="466">
        <v>2027</v>
      </c>
    </row>
    <row r="72" spans="1:4" hidden="1">
      <c r="A72" s="466" t="s">
        <v>1060</v>
      </c>
      <c r="B72" s="466" t="s">
        <v>1061</v>
      </c>
      <c r="C72" s="466" t="s">
        <v>985</v>
      </c>
      <c r="D72" s="466">
        <v>2182</v>
      </c>
    </row>
    <row r="73" spans="1:4" hidden="1">
      <c r="A73" s="466" t="s">
        <v>1062</v>
      </c>
      <c r="B73" s="466" t="s">
        <v>1063</v>
      </c>
      <c r="C73" s="466" t="s">
        <v>985</v>
      </c>
      <c r="D73" s="466">
        <v>2157</v>
      </c>
    </row>
    <row r="74" spans="1:4" hidden="1">
      <c r="A74" s="466" t="s">
        <v>1064</v>
      </c>
      <c r="B74" s="466" t="s">
        <v>1065</v>
      </c>
      <c r="C74" s="466" t="s">
        <v>985</v>
      </c>
      <c r="D74" s="466">
        <v>2034</v>
      </c>
    </row>
    <row r="75" spans="1:4" hidden="1">
      <c r="A75" s="466" t="s">
        <v>1066</v>
      </c>
      <c r="B75" s="466" t="s">
        <v>1067</v>
      </c>
      <c r="C75" s="466" t="s">
        <v>985</v>
      </c>
      <c r="D75" s="466">
        <v>2033</v>
      </c>
    </row>
    <row r="76" spans="1:4" hidden="1">
      <c r="A76" s="466" t="s">
        <v>1068</v>
      </c>
      <c r="B76" s="466" t="s">
        <v>1069</v>
      </c>
      <c r="C76" s="466" t="s">
        <v>985</v>
      </c>
      <c r="D76" s="466">
        <v>2093</v>
      </c>
    </row>
    <row r="77" spans="1:4" hidden="1">
      <c r="A77" s="466" t="s">
        <v>1070</v>
      </c>
      <c r="B77" s="466" t="s">
        <v>1071</v>
      </c>
      <c r="C77" s="466" t="s">
        <v>985</v>
      </c>
      <c r="D77" s="466">
        <v>2114</v>
      </c>
    </row>
    <row r="78" spans="1:4" hidden="1">
      <c r="A78" s="466" t="s">
        <v>1072</v>
      </c>
      <c r="B78" s="466" t="s">
        <v>1073</v>
      </c>
      <c r="C78" s="466" t="s">
        <v>985</v>
      </c>
      <c r="D78" s="466">
        <v>2121</v>
      </c>
    </row>
    <row r="79" spans="1:4" hidden="1">
      <c r="A79" s="466" t="s">
        <v>1074</v>
      </c>
      <c r="B79" s="466" t="s">
        <v>1075</v>
      </c>
      <c r="C79" s="466" t="s">
        <v>985</v>
      </c>
      <c r="D79" s="466">
        <v>2038</v>
      </c>
    </row>
    <row r="80" spans="1:4" hidden="1">
      <c r="A80" s="466" t="s">
        <v>1076</v>
      </c>
      <c r="B80" s="466" t="s">
        <v>1077</v>
      </c>
      <c r="C80" s="466" t="s">
        <v>985</v>
      </c>
      <c r="D80" s="466">
        <v>3308</v>
      </c>
    </row>
    <row r="81" spans="1:4" hidden="1">
      <c r="A81" s="466" t="s">
        <v>1078</v>
      </c>
      <c r="B81" s="466" t="s">
        <v>1079</v>
      </c>
      <c r="C81" s="466" t="s">
        <v>985</v>
      </c>
      <c r="D81" s="466">
        <v>2142</v>
      </c>
    </row>
    <row r="82" spans="1:4" hidden="1">
      <c r="A82" s="466" t="s">
        <v>1080</v>
      </c>
      <c r="B82" s="466" t="s">
        <v>1081</v>
      </c>
      <c r="C82" s="466" t="s">
        <v>985</v>
      </c>
      <c r="D82" s="466">
        <v>5203</v>
      </c>
    </row>
    <row r="83" spans="1:4" hidden="1">
      <c r="A83" s="466" t="s">
        <v>1082</v>
      </c>
      <c r="B83" s="466" t="s">
        <v>1083</v>
      </c>
      <c r="C83" s="466" t="s">
        <v>985</v>
      </c>
      <c r="D83" s="466">
        <v>5204</v>
      </c>
    </row>
    <row r="84" spans="1:4" hidden="1">
      <c r="A84" s="466" t="s">
        <v>1084</v>
      </c>
      <c r="B84" s="466" t="s">
        <v>1085</v>
      </c>
      <c r="C84" s="466" t="s">
        <v>985</v>
      </c>
      <c r="D84" s="466">
        <v>2196</v>
      </c>
    </row>
    <row r="85" spans="1:4" hidden="1">
      <c r="A85" s="466" t="s">
        <v>1086</v>
      </c>
      <c r="B85" s="466" t="s">
        <v>1087</v>
      </c>
      <c r="C85" s="466" t="s">
        <v>985</v>
      </c>
      <c r="D85" s="466">
        <v>2123</v>
      </c>
    </row>
    <row r="86" spans="1:4" hidden="1">
      <c r="A86" s="466" t="s">
        <v>1088</v>
      </c>
      <c r="B86" s="466" t="s">
        <v>1089</v>
      </c>
      <c r="C86" s="466" t="s">
        <v>985</v>
      </c>
      <c r="D86" s="466">
        <v>3379</v>
      </c>
    </row>
    <row r="87" spans="1:4" hidden="1">
      <c r="A87" s="466" t="s">
        <v>1090</v>
      </c>
      <c r="B87" s="466" t="s">
        <v>1091</v>
      </c>
      <c r="C87" s="466" t="s">
        <v>985</v>
      </c>
      <c r="D87" s="466">
        <v>2029</v>
      </c>
    </row>
    <row r="88" spans="1:4" hidden="1">
      <c r="A88" s="466" t="s">
        <v>1092</v>
      </c>
      <c r="B88" s="466" t="s">
        <v>1093</v>
      </c>
      <c r="C88" s="466" t="s">
        <v>985</v>
      </c>
      <c r="D88" s="466">
        <v>2180</v>
      </c>
    </row>
    <row r="89" spans="1:4" hidden="1">
      <c r="A89" s="466" t="s">
        <v>1094</v>
      </c>
      <c r="B89" s="466" t="s">
        <v>1095</v>
      </c>
      <c r="C89" s="466" t="s">
        <v>985</v>
      </c>
      <c r="D89" s="466">
        <v>2169</v>
      </c>
    </row>
    <row r="90" spans="1:4" hidden="1">
      <c r="A90" s="466" t="s">
        <v>1096</v>
      </c>
      <c r="B90" s="466" t="s">
        <v>1097</v>
      </c>
      <c r="C90" s="466" t="s">
        <v>985</v>
      </c>
      <c r="D90" s="466">
        <v>2168</v>
      </c>
    </row>
    <row r="91" spans="1:4" hidden="1">
      <c r="A91" s="466" t="s">
        <v>1098</v>
      </c>
      <c r="B91" s="466" t="s">
        <v>1099</v>
      </c>
      <c r="C91" s="466" t="s">
        <v>985</v>
      </c>
      <c r="D91" s="466">
        <v>3304</v>
      </c>
    </row>
    <row r="92" spans="1:4" hidden="1">
      <c r="A92" s="466" t="s">
        <v>1100</v>
      </c>
      <c r="B92" s="466" t="s">
        <v>1101</v>
      </c>
      <c r="C92" s="466" t="s">
        <v>985</v>
      </c>
      <c r="D92" s="466">
        <v>2124</v>
      </c>
    </row>
    <row r="93" spans="1:4" hidden="1">
      <c r="A93" s="466" t="s">
        <v>1102</v>
      </c>
      <c r="B93" s="466" t="s">
        <v>1103</v>
      </c>
      <c r="C93" s="466" t="s">
        <v>985</v>
      </c>
      <c r="D93" s="466">
        <v>2195</v>
      </c>
    </row>
    <row r="94" spans="1:4" hidden="1">
      <c r="A94" s="466" t="s">
        <v>1104</v>
      </c>
      <c r="B94" s="466" t="s">
        <v>1105</v>
      </c>
      <c r="C94" s="466" t="s">
        <v>985</v>
      </c>
      <c r="D94" s="466">
        <v>5207</v>
      </c>
    </row>
    <row r="95" spans="1:4" hidden="1">
      <c r="A95" s="466" t="s">
        <v>1106</v>
      </c>
      <c r="B95" s="466" t="s">
        <v>1107</v>
      </c>
      <c r="C95" s="466" t="s">
        <v>985</v>
      </c>
      <c r="D95" s="466">
        <v>3363</v>
      </c>
    </row>
    <row r="96" spans="1:4" hidden="1">
      <c r="A96" s="466" t="s">
        <v>1108</v>
      </c>
      <c r="B96" s="466" t="s">
        <v>1109</v>
      </c>
      <c r="C96" s="466" t="s">
        <v>985</v>
      </c>
      <c r="D96" s="466">
        <v>5200</v>
      </c>
    </row>
    <row r="97" spans="1:4" hidden="1">
      <c r="A97" s="466" t="s">
        <v>1110</v>
      </c>
      <c r="B97" s="466" t="s">
        <v>1111</v>
      </c>
      <c r="C97" s="466" t="s">
        <v>985</v>
      </c>
      <c r="D97" s="466">
        <v>2198</v>
      </c>
    </row>
    <row r="98" spans="1:4" hidden="1">
      <c r="A98" s="466" t="s">
        <v>1112</v>
      </c>
      <c r="B98" s="466" t="s">
        <v>1113</v>
      </c>
      <c r="C98" s="466" t="s">
        <v>985</v>
      </c>
      <c r="D98" s="466">
        <v>2041</v>
      </c>
    </row>
    <row r="99" spans="1:4" hidden="1">
      <c r="A99" s="466" t="s">
        <v>1114</v>
      </c>
      <c r="B99" s="466" t="s">
        <v>1115</v>
      </c>
      <c r="C99" s="466" t="s">
        <v>985</v>
      </c>
      <c r="D99" s="466">
        <v>2126</v>
      </c>
    </row>
    <row r="100" spans="1:4" hidden="1">
      <c r="A100" s="466" t="s">
        <v>1116</v>
      </c>
      <c r="B100" s="466" t="s">
        <v>1117</v>
      </c>
      <c r="C100" s="466" t="s">
        <v>985</v>
      </c>
      <c r="D100" s="466">
        <v>2127</v>
      </c>
    </row>
    <row r="101" spans="1:4" hidden="1">
      <c r="A101" s="466" t="s">
        <v>1118</v>
      </c>
      <c r="B101" s="466" t="s">
        <v>1119</v>
      </c>
      <c r="C101" s="466" t="s">
        <v>985</v>
      </c>
      <c r="D101" s="466">
        <v>2090</v>
      </c>
    </row>
    <row r="102" spans="1:4" hidden="1">
      <c r="A102" s="466" t="s">
        <v>1120</v>
      </c>
      <c r="B102" s="466" t="s">
        <v>1121</v>
      </c>
      <c r="C102" s="466" t="s">
        <v>985</v>
      </c>
      <c r="D102" s="466">
        <v>2043</v>
      </c>
    </row>
    <row r="103" spans="1:4" hidden="1">
      <c r="A103" s="466" t="s">
        <v>1122</v>
      </c>
      <c r="B103" s="466" t="s">
        <v>1123</v>
      </c>
      <c r="C103" s="466" t="s">
        <v>985</v>
      </c>
      <c r="D103" s="466">
        <v>2044</v>
      </c>
    </row>
    <row r="104" spans="1:4" hidden="1">
      <c r="A104" s="466" t="s">
        <v>1124</v>
      </c>
      <c r="B104" s="466" t="s">
        <v>1125</v>
      </c>
      <c r="C104" s="466" t="s">
        <v>985</v>
      </c>
      <c r="D104" s="466">
        <v>2002</v>
      </c>
    </row>
    <row r="105" spans="1:4" hidden="1">
      <c r="A105" s="466" t="s">
        <v>1126</v>
      </c>
      <c r="B105" s="466" t="s">
        <v>1127</v>
      </c>
      <c r="C105" s="466" t="s">
        <v>985</v>
      </c>
      <c r="D105" s="466">
        <v>2128</v>
      </c>
    </row>
    <row r="106" spans="1:4" hidden="1">
      <c r="A106" s="466" t="s">
        <v>1128</v>
      </c>
      <c r="B106" s="466" t="s">
        <v>1129</v>
      </c>
      <c r="C106" s="466" t="s">
        <v>985</v>
      </c>
      <c r="D106" s="466">
        <v>2145</v>
      </c>
    </row>
    <row r="107" spans="1:4" hidden="1">
      <c r="A107" s="466" t="s">
        <v>1130</v>
      </c>
      <c r="B107" s="466" t="s">
        <v>1131</v>
      </c>
      <c r="C107" s="466" t="s">
        <v>985</v>
      </c>
      <c r="D107" s="466">
        <v>3023</v>
      </c>
    </row>
    <row r="108" spans="1:4" hidden="1">
      <c r="A108" s="466" t="s">
        <v>1132</v>
      </c>
      <c r="B108" s="466" t="s">
        <v>1133</v>
      </c>
      <c r="C108" s="466" t="s">
        <v>985</v>
      </c>
      <c r="D108" s="466">
        <v>2199</v>
      </c>
    </row>
    <row r="109" spans="1:4" hidden="1">
      <c r="A109" s="466" t="s">
        <v>1134</v>
      </c>
      <c r="B109" s="466" t="s">
        <v>1135</v>
      </c>
      <c r="C109" s="466" t="s">
        <v>985</v>
      </c>
      <c r="D109" s="466">
        <v>2179</v>
      </c>
    </row>
    <row r="110" spans="1:4" hidden="1">
      <c r="A110" s="466" t="s">
        <v>1136</v>
      </c>
      <c r="B110" s="466" t="s">
        <v>1137</v>
      </c>
      <c r="C110" s="466" t="s">
        <v>985</v>
      </c>
      <c r="D110" s="466">
        <v>2048</v>
      </c>
    </row>
    <row r="111" spans="1:4" hidden="1">
      <c r="A111" s="466" t="s">
        <v>1138</v>
      </c>
      <c r="B111" s="466" t="s">
        <v>1139</v>
      </c>
      <c r="C111" s="466" t="s">
        <v>985</v>
      </c>
      <c r="D111" s="466">
        <v>2192</v>
      </c>
    </row>
    <row r="112" spans="1:4" hidden="1">
      <c r="A112" s="466" t="s">
        <v>1140</v>
      </c>
      <c r="B112" s="466" t="s">
        <v>1141</v>
      </c>
      <c r="C112" s="466" t="s">
        <v>985</v>
      </c>
      <c r="D112" s="466">
        <v>2154</v>
      </c>
    </row>
    <row r="113" spans="1:4" hidden="1">
      <c r="A113" s="466" t="s">
        <v>1142</v>
      </c>
      <c r="B113" s="466" t="s">
        <v>1143</v>
      </c>
      <c r="C113" s="466" t="s">
        <v>985</v>
      </c>
      <c r="D113" s="466">
        <v>2185</v>
      </c>
    </row>
    <row r="114" spans="1:4" hidden="1">
      <c r="A114" s="466" t="s">
        <v>1144</v>
      </c>
      <c r="B114" s="466" t="s">
        <v>1145</v>
      </c>
      <c r="C114" s="466" t="s">
        <v>985</v>
      </c>
      <c r="D114" s="466">
        <v>5206</v>
      </c>
    </row>
    <row r="115" spans="1:4" hidden="1">
      <c r="A115" s="466" t="s">
        <v>1146</v>
      </c>
      <c r="B115" s="466" t="s">
        <v>1147</v>
      </c>
      <c r="C115" s="466" t="s">
        <v>985</v>
      </c>
      <c r="D115" s="466">
        <v>2170</v>
      </c>
    </row>
    <row r="116" spans="1:4" hidden="1">
      <c r="A116" s="466" t="s">
        <v>1148</v>
      </c>
      <c r="B116" s="466" t="s">
        <v>1149</v>
      </c>
      <c r="C116" s="466" t="s">
        <v>985</v>
      </c>
      <c r="D116" s="466">
        <v>2054</v>
      </c>
    </row>
    <row r="117" spans="1:4" hidden="1">
      <c r="A117" s="466" t="s">
        <v>1150</v>
      </c>
      <c r="B117" s="466" t="s">
        <v>1151</v>
      </c>
      <c r="C117" s="466" t="s">
        <v>985</v>
      </c>
      <c r="D117" s="466">
        <v>2197</v>
      </c>
    </row>
    <row r="118" spans="1:4" hidden="1">
      <c r="A118" s="466" t="s">
        <v>1152</v>
      </c>
      <c r="B118" s="466" t="s">
        <v>1153</v>
      </c>
      <c r="C118" s="466" t="s">
        <v>985</v>
      </c>
      <c r="D118" s="466">
        <v>5205</v>
      </c>
    </row>
    <row r="119" spans="1:4" hidden="1">
      <c r="A119" s="466" t="s">
        <v>1154</v>
      </c>
      <c r="B119" s="466" t="s">
        <v>1155</v>
      </c>
      <c r="C119" s="466" t="s">
        <v>985</v>
      </c>
      <c r="D119" s="466">
        <v>2130</v>
      </c>
    </row>
    <row r="120" spans="1:4" hidden="1">
      <c r="A120" s="466" t="s">
        <v>1156</v>
      </c>
      <c r="B120" s="466" t="s">
        <v>1157</v>
      </c>
      <c r="C120" s="466" t="s">
        <v>985</v>
      </c>
      <c r="D120" s="466">
        <v>3353</v>
      </c>
    </row>
    <row r="121" spans="1:4" hidden="1">
      <c r="A121" s="466" t="s">
        <v>1158</v>
      </c>
      <c r="B121" s="466" t="s">
        <v>1159</v>
      </c>
      <c r="C121" s="466" t="s">
        <v>985</v>
      </c>
      <c r="D121" s="466">
        <v>3372</v>
      </c>
    </row>
    <row r="122" spans="1:4" hidden="1">
      <c r="A122" s="466" t="s">
        <v>1160</v>
      </c>
      <c r="B122" s="466" t="s">
        <v>1161</v>
      </c>
      <c r="C122" s="466" t="s">
        <v>985</v>
      </c>
      <c r="D122" s="466">
        <v>3375</v>
      </c>
    </row>
    <row r="123" spans="1:4" hidden="1">
      <c r="A123" s="466" t="s">
        <v>1162</v>
      </c>
      <c r="B123" s="466" t="s">
        <v>1163</v>
      </c>
      <c r="C123" s="466" t="s">
        <v>985</v>
      </c>
      <c r="D123" s="466">
        <v>2064</v>
      </c>
    </row>
    <row r="124" spans="1:4" hidden="1">
      <c r="A124" s="466" t="s">
        <v>1164</v>
      </c>
      <c r="B124" s="466" t="s">
        <v>1165</v>
      </c>
      <c r="C124" s="466" t="s">
        <v>985</v>
      </c>
      <c r="D124" s="466">
        <v>2132</v>
      </c>
    </row>
    <row r="125" spans="1:4" hidden="1">
      <c r="A125" s="466" t="s">
        <v>1166</v>
      </c>
      <c r="B125" s="466" t="s">
        <v>1167</v>
      </c>
      <c r="C125" s="466" t="s">
        <v>985</v>
      </c>
      <c r="D125" s="466">
        <v>3377</v>
      </c>
    </row>
    <row r="126" spans="1:4" hidden="1">
      <c r="A126" s="466" t="s">
        <v>1168</v>
      </c>
      <c r="B126" s="466" t="s">
        <v>1169</v>
      </c>
      <c r="C126" s="466" t="s">
        <v>985</v>
      </c>
      <c r="D126" s="466">
        <v>2101</v>
      </c>
    </row>
    <row r="127" spans="1:4" hidden="1">
      <c r="A127" s="466" t="s">
        <v>1170</v>
      </c>
      <c r="B127" s="466" t="s">
        <v>1171</v>
      </c>
      <c r="C127" s="466" t="s">
        <v>985</v>
      </c>
      <c r="D127" s="466">
        <v>2115</v>
      </c>
    </row>
    <row r="128" spans="1:4" hidden="1">
      <c r="A128" s="466" t="s">
        <v>1172</v>
      </c>
      <c r="B128" s="466" t="s">
        <v>1173</v>
      </c>
      <c r="C128" s="466" t="s">
        <v>985</v>
      </c>
      <c r="D128" s="466">
        <v>2086</v>
      </c>
    </row>
    <row r="129" spans="1:4" hidden="1">
      <c r="A129" s="466" t="s">
        <v>1174</v>
      </c>
      <c r="B129" s="466" t="s">
        <v>1175</v>
      </c>
      <c r="C129" s="466" t="s">
        <v>985</v>
      </c>
      <c r="D129" s="466">
        <v>2052</v>
      </c>
    </row>
    <row r="130" spans="1:4" hidden="1">
      <c r="A130" s="466" t="s">
        <v>1176</v>
      </c>
      <c r="B130" s="466" t="s">
        <v>1177</v>
      </c>
      <c r="C130" s="466" t="s">
        <v>985</v>
      </c>
      <c r="D130" s="466">
        <v>3365</v>
      </c>
    </row>
    <row r="131" spans="1:4" hidden="1">
      <c r="A131" s="466" t="s">
        <v>1178</v>
      </c>
      <c r="B131" s="466" t="s">
        <v>1179</v>
      </c>
      <c r="C131" s="466" t="s">
        <v>985</v>
      </c>
      <c r="D131" s="466">
        <v>5202</v>
      </c>
    </row>
    <row r="132" spans="1:4" hidden="1">
      <c r="A132" s="466" t="s">
        <v>1180</v>
      </c>
      <c r="B132" s="466" t="s">
        <v>1181</v>
      </c>
      <c r="C132" s="466" t="s">
        <v>985</v>
      </c>
      <c r="D132" s="466">
        <v>2140</v>
      </c>
    </row>
    <row r="133" spans="1:4" hidden="1">
      <c r="A133" s="466" t="s">
        <v>1182</v>
      </c>
      <c r="B133" s="466" t="s">
        <v>1183</v>
      </c>
      <c r="C133" s="466" t="s">
        <v>985</v>
      </c>
      <c r="D133" s="466">
        <v>2174</v>
      </c>
    </row>
    <row r="134" spans="1:4" hidden="1">
      <c r="A134" s="466" t="s">
        <v>1184</v>
      </c>
      <c r="B134" s="466" t="s">
        <v>1185</v>
      </c>
      <c r="C134" s="466" t="s">
        <v>985</v>
      </c>
      <c r="D134" s="466">
        <v>2055</v>
      </c>
    </row>
    <row r="135" spans="1:4" hidden="1">
      <c r="A135" s="466" t="s">
        <v>1186</v>
      </c>
      <c r="B135" s="466" t="s">
        <v>1187</v>
      </c>
      <c r="C135" s="466" t="s">
        <v>985</v>
      </c>
      <c r="D135" s="466">
        <v>2178</v>
      </c>
    </row>
    <row r="136" spans="1:4" hidden="1">
      <c r="A136" s="466" t="s">
        <v>1188</v>
      </c>
      <c r="B136" s="466" t="s">
        <v>1189</v>
      </c>
      <c r="C136" s="466" t="s">
        <v>985</v>
      </c>
      <c r="D136" s="466">
        <v>3366</v>
      </c>
    </row>
    <row r="137" spans="1:4" hidden="1">
      <c r="A137" s="466" t="s">
        <v>1190</v>
      </c>
      <c r="B137" s="466" t="s">
        <v>1191</v>
      </c>
      <c r="C137" s="466" t="s">
        <v>985</v>
      </c>
      <c r="D137" s="466">
        <v>2077</v>
      </c>
    </row>
    <row r="138" spans="1:4" hidden="1">
      <c r="A138" s="466" t="s">
        <v>1192</v>
      </c>
      <c r="B138" s="466" t="s">
        <v>1193</v>
      </c>
      <c r="C138" s="466" t="s">
        <v>985</v>
      </c>
      <c r="D138" s="466">
        <v>2095</v>
      </c>
    </row>
    <row r="139" spans="1:4" hidden="1">
      <c r="A139" s="466" t="s">
        <v>1194</v>
      </c>
      <c r="B139" s="466" t="s">
        <v>1195</v>
      </c>
      <c r="C139" s="466" t="s">
        <v>985</v>
      </c>
      <c r="D139" s="466">
        <v>2194</v>
      </c>
    </row>
    <row r="140" spans="1:4" hidden="1">
      <c r="A140" s="466" t="s">
        <v>1196</v>
      </c>
      <c r="B140" s="466" t="s">
        <v>1197</v>
      </c>
      <c r="C140" s="466" t="s">
        <v>985</v>
      </c>
      <c r="D140" s="466">
        <v>3369</v>
      </c>
    </row>
    <row r="141" spans="1:4" hidden="1">
      <c r="A141" s="466" t="s">
        <v>1198</v>
      </c>
      <c r="B141" s="466" t="s">
        <v>1199</v>
      </c>
      <c r="C141" s="466" t="s">
        <v>985</v>
      </c>
      <c r="D141" s="466">
        <v>3333</v>
      </c>
    </row>
    <row r="142" spans="1:4" hidden="1">
      <c r="A142" s="466" t="s">
        <v>1200</v>
      </c>
      <c r="B142" s="466" t="s">
        <v>1201</v>
      </c>
      <c r="C142" s="466" t="s">
        <v>985</v>
      </c>
      <c r="D142" s="466">
        <v>3373</v>
      </c>
    </row>
    <row r="143" spans="1:4" hidden="1">
      <c r="A143" s="466" t="s">
        <v>1202</v>
      </c>
      <c r="B143" s="466" t="s">
        <v>1203</v>
      </c>
      <c r="C143" s="466" t="s">
        <v>985</v>
      </c>
      <c r="D143" s="466">
        <v>3334</v>
      </c>
    </row>
    <row r="144" spans="1:4" hidden="1">
      <c r="A144" s="466" t="s">
        <v>1204</v>
      </c>
      <c r="B144" s="466" t="s">
        <v>1205</v>
      </c>
      <c r="C144" s="466" t="s">
        <v>985</v>
      </c>
      <c r="D144" s="466">
        <v>3335</v>
      </c>
    </row>
    <row r="145" spans="1:4" hidden="1">
      <c r="A145" s="466" t="s">
        <v>1206</v>
      </c>
      <c r="B145" s="466" t="s">
        <v>1207</v>
      </c>
      <c r="C145" s="466" t="s">
        <v>985</v>
      </c>
      <c r="D145" s="466">
        <v>3354</v>
      </c>
    </row>
    <row r="146" spans="1:4" hidden="1">
      <c r="A146" s="466" t="s">
        <v>1208</v>
      </c>
      <c r="B146" s="466" t="s">
        <v>1209</v>
      </c>
      <c r="C146" s="466" t="s">
        <v>985</v>
      </c>
      <c r="D146" s="466">
        <v>3351</v>
      </c>
    </row>
    <row r="147" spans="1:4" hidden="1">
      <c r="A147" s="466" t="s">
        <v>1210</v>
      </c>
      <c r="B147" s="466" t="s">
        <v>1211</v>
      </c>
      <c r="C147" s="466" t="s">
        <v>985</v>
      </c>
      <c r="D147" s="466">
        <v>3016</v>
      </c>
    </row>
    <row r="148" spans="1:4" hidden="1">
      <c r="A148" s="466" t="s">
        <v>1212</v>
      </c>
      <c r="B148" s="466" t="s">
        <v>1213</v>
      </c>
      <c r="C148" s="466" t="s">
        <v>985</v>
      </c>
      <c r="D148" s="466">
        <v>3352</v>
      </c>
    </row>
    <row r="149" spans="1:4" hidden="1">
      <c r="A149" s="466" t="s">
        <v>1214</v>
      </c>
      <c r="B149" s="466" t="s">
        <v>1215</v>
      </c>
      <c r="C149" s="466" t="s">
        <v>985</v>
      </c>
      <c r="D149" s="466">
        <v>5208</v>
      </c>
    </row>
    <row r="150" spans="1:4" hidden="1">
      <c r="A150" s="466" t="s">
        <v>1216</v>
      </c>
      <c r="B150" s="466" t="s">
        <v>1217</v>
      </c>
      <c r="C150" s="466" t="s">
        <v>985</v>
      </c>
      <c r="D150" s="466">
        <v>3367</v>
      </c>
    </row>
    <row r="151" spans="1:4" hidden="1">
      <c r="A151" s="466" t="s">
        <v>1218</v>
      </c>
      <c r="B151" s="466" t="s">
        <v>1219</v>
      </c>
      <c r="C151" s="466" t="s">
        <v>985</v>
      </c>
      <c r="D151" s="466">
        <v>3338</v>
      </c>
    </row>
    <row r="152" spans="1:4" hidden="1">
      <c r="A152" s="466" t="s">
        <v>1220</v>
      </c>
      <c r="B152" s="466" t="s">
        <v>1221</v>
      </c>
      <c r="C152" s="466" t="s">
        <v>985</v>
      </c>
      <c r="D152" s="466">
        <v>3370</v>
      </c>
    </row>
    <row r="153" spans="1:4" hidden="1">
      <c r="A153" s="466" t="s">
        <v>1222</v>
      </c>
      <c r="B153" s="466" t="s">
        <v>1223</v>
      </c>
      <c r="C153" s="466" t="s">
        <v>985</v>
      </c>
      <c r="D153" s="466">
        <v>3021</v>
      </c>
    </row>
    <row r="154" spans="1:4" hidden="1">
      <c r="A154" s="466" t="s">
        <v>1224</v>
      </c>
      <c r="B154" s="466" t="s">
        <v>1225</v>
      </c>
      <c r="C154" s="466" t="s">
        <v>985</v>
      </c>
      <c r="D154" s="466">
        <v>3347</v>
      </c>
    </row>
    <row r="155" spans="1:4" hidden="1">
      <c r="A155" s="466" t="s">
        <v>1226</v>
      </c>
      <c r="B155" s="466" t="s">
        <v>1227</v>
      </c>
      <c r="C155" s="466" t="s">
        <v>985</v>
      </c>
      <c r="D155" s="466">
        <v>3355</v>
      </c>
    </row>
    <row r="156" spans="1:4" hidden="1">
      <c r="A156" s="466" t="s">
        <v>1228</v>
      </c>
      <c r="B156" s="466" t="s">
        <v>1229</v>
      </c>
      <c r="C156" s="466" t="s">
        <v>985</v>
      </c>
      <c r="D156" s="466">
        <v>3013</v>
      </c>
    </row>
    <row r="157" spans="1:4" hidden="1">
      <c r="A157" s="466" t="s">
        <v>1230</v>
      </c>
      <c r="B157" s="466" t="s">
        <v>1231</v>
      </c>
      <c r="C157" s="466" t="s">
        <v>985</v>
      </c>
      <c r="D157" s="466">
        <v>3301</v>
      </c>
    </row>
    <row r="158" spans="1:4" hidden="1">
      <c r="A158" s="466" t="s">
        <v>1232</v>
      </c>
      <c r="B158" s="466" t="s">
        <v>1233</v>
      </c>
      <c r="C158" s="466" t="s">
        <v>985</v>
      </c>
      <c r="D158" s="466">
        <v>3034</v>
      </c>
    </row>
    <row r="159" spans="1:4" hidden="1">
      <c r="A159" s="466" t="s">
        <v>1234</v>
      </c>
      <c r="B159" s="466" t="s">
        <v>1235</v>
      </c>
      <c r="C159" s="466" t="s">
        <v>985</v>
      </c>
      <c r="D159" s="466">
        <v>3313</v>
      </c>
    </row>
    <row r="160" spans="1:4" hidden="1">
      <c r="A160" s="466" t="s">
        <v>1236</v>
      </c>
      <c r="B160" s="466" t="s">
        <v>1237</v>
      </c>
      <c r="C160" s="466" t="s">
        <v>985</v>
      </c>
      <c r="D160" s="466">
        <v>3371</v>
      </c>
    </row>
    <row r="161" spans="1:4" hidden="1">
      <c r="A161" s="466" t="s">
        <v>1238</v>
      </c>
      <c r="B161" s="466" t="s">
        <v>1239</v>
      </c>
      <c r="C161" s="466" t="s">
        <v>985</v>
      </c>
      <c r="D161" s="466">
        <v>3349</v>
      </c>
    </row>
    <row r="162" spans="1:4" hidden="1">
      <c r="A162" s="466" t="s">
        <v>1240</v>
      </c>
      <c r="B162" s="466" t="s">
        <v>1241</v>
      </c>
      <c r="C162" s="466" t="s">
        <v>985</v>
      </c>
      <c r="D162" s="466">
        <v>3350</v>
      </c>
    </row>
    <row r="163" spans="1:4" hidden="1">
      <c r="A163" s="466" t="s">
        <v>1242</v>
      </c>
      <c r="B163" s="466" t="s">
        <v>1243</v>
      </c>
      <c r="C163" s="466" t="s">
        <v>985</v>
      </c>
      <c r="D163" s="466">
        <v>2134</v>
      </c>
    </row>
    <row r="164" spans="1:4" hidden="1">
      <c r="A164" s="466" t="s">
        <v>1244</v>
      </c>
      <c r="B164" s="466" t="s">
        <v>1245</v>
      </c>
      <c r="C164" s="466" t="s">
        <v>985</v>
      </c>
      <c r="D164" s="466">
        <v>2148</v>
      </c>
    </row>
    <row r="165" spans="1:4" hidden="1">
      <c r="A165" s="466" t="s">
        <v>1246</v>
      </c>
      <c r="B165" s="466" t="s">
        <v>1247</v>
      </c>
      <c r="C165" s="466" t="s">
        <v>985</v>
      </c>
      <c r="D165" s="466">
        <v>2081</v>
      </c>
    </row>
    <row r="166" spans="1:4" hidden="1">
      <c r="A166" s="466" t="s">
        <v>1248</v>
      </c>
      <c r="B166" s="466" t="s">
        <v>1249</v>
      </c>
      <c r="C166" s="466" t="s">
        <v>985</v>
      </c>
      <c r="D166" s="466">
        <v>2057</v>
      </c>
    </row>
    <row r="167" spans="1:4" hidden="1">
      <c r="A167" s="466" t="s">
        <v>1250</v>
      </c>
      <c r="B167" s="466" t="s">
        <v>1251</v>
      </c>
      <c r="C167" s="466" t="s">
        <v>985</v>
      </c>
      <c r="D167" s="466">
        <v>2058</v>
      </c>
    </row>
    <row r="168" spans="1:4" hidden="1">
      <c r="A168" s="466" t="s">
        <v>1252</v>
      </c>
      <c r="B168" s="466" t="s">
        <v>1253</v>
      </c>
      <c r="C168" s="466" t="s">
        <v>985</v>
      </c>
      <c r="D168" s="466">
        <v>3368</v>
      </c>
    </row>
    <row r="169" spans="1:4" hidden="1">
      <c r="A169" s="466" t="s">
        <v>1254</v>
      </c>
      <c r="B169" s="466" t="s">
        <v>1255</v>
      </c>
      <c r="C169" s="466" t="s">
        <v>985</v>
      </c>
      <c r="D169" s="466">
        <v>2060</v>
      </c>
    </row>
    <row r="170" spans="1:4" hidden="1">
      <c r="A170" s="466" t="s">
        <v>1256</v>
      </c>
      <c r="B170" s="466" t="s">
        <v>1257</v>
      </c>
      <c r="C170" s="466" t="s">
        <v>985</v>
      </c>
      <c r="D170" s="466">
        <v>2061</v>
      </c>
    </row>
    <row r="171" spans="1:4" hidden="1">
      <c r="A171" s="466" t="s">
        <v>1258</v>
      </c>
      <c r="B171" s="466" t="s">
        <v>1259</v>
      </c>
      <c r="C171" s="466" t="s">
        <v>985</v>
      </c>
      <c r="D171" s="466">
        <v>2200</v>
      </c>
    </row>
    <row r="172" spans="1:4" hidden="1">
      <c r="A172" s="466" t="s">
        <v>1260</v>
      </c>
      <c r="B172" s="466" t="s">
        <v>1261</v>
      </c>
      <c r="C172" s="466" t="s">
        <v>985</v>
      </c>
      <c r="D172" s="466">
        <v>3362</v>
      </c>
    </row>
    <row r="173" spans="1:4" hidden="1">
      <c r="A173" s="466" t="s">
        <v>1262</v>
      </c>
      <c r="B173" s="466" t="s">
        <v>1263</v>
      </c>
      <c r="C173" s="466" t="s">
        <v>985</v>
      </c>
      <c r="D173" s="466">
        <v>2135</v>
      </c>
    </row>
    <row r="174" spans="1:4" hidden="1">
      <c r="A174" s="466" t="s">
        <v>1264</v>
      </c>
      <c r="B174" s="466" t="s">
        <v>1265</v>
      </c>
      <c r="C174" s="466" t="s">
        <v>985</v>
      </c>
      <c r="D174" s="466">
        <v>2071</v>
      </c>
    </row>
    <row r="175" spans="1:4" hidden="1">
      <c r="A175" s="466" t="s">
        <v>1266</v>
      </c>
      <c r="B175" s="466" t="s">
        <v>1267</v>
      </c>
      <c r="C175" s="466" t="s">
        <v>985</v>
      </c>
      <c r="D175" s="466">
        <v>2193</v>
      </c>
    </row>
    <row r="176" spans="1:4" hidden="1">
      <c r="A176" s="466" t="s">
        <v>1268</v>
      </c>
      <c r="B176" s="466" t="s">
        <v>1269</v>
      </c>
      <c r="C176" s="466" t="s">
        <v>985</v>
      </c>
      <c r="D176" s="466">
        <v>3378</v>
      </c>
    </row>
    <row r="177" spans="1:4" hidden="1">
      <c r="A177" s="466" t="s">
        <v>1270</v>
      </c>
      <c r="B177" s="466" t="s">
        <v>1271</v>
      </c>
      <c r="C177" s="466" t="s">
        <v>985</v>
      </c>
      <c r="D177" s="466">
        <v>2073</v>
      </c>
    </row>
    <row r="178" spans="1:4" hidden="1">
      <c r="A178" s="466" t="s">
        <v>1272</v>
      </c>
      <c r="B178" s="466" t="s">
        <v>1273</v>
      </c>
      <c r="C178" s="466" t="s">
        <v>985</v>
      </c>
      <c r="D178" s="466">
        <v>2074</v>
      </c>
    </row>
    <row r="179" spans="1:4" hidden="1">
      <c r="A179" s="466" t="s">
        <v>1274</v>
      </c>
      <c r="B179" s="466" t="s">
        <v>1275</v>
      </c>
      <c r="C179" s="466" t="s">
        <v>985</v>
      </c>
      <c r="D179" s="466">
        <v>2117</v>
      </c>
    </row>
    <row r="180" spans="1:4" hidden="1">
      <c r="A180" s="466" t="s">
        <v>1276</v>
      </c>
      <c r="B180" s="466" t="s">
        <v>1277</v>
      </c>
      <c r="C180" s="466" t="s">
        <v>985</v>
      </c>
      <c r="D180" s="466">
        <v>3030</v>
      </c>
    </row>
    <row r="181" spans="1:4" hidden="1">
      <c r="A181" s="466" t="s">
        <v>1278</v>
      </c>
      <c r="B181" s="466" t="s">
        <v>1279</v>
      </c>
      <c r="C181" s="466" t="s">
        <v>985</v>
      </c>
      <c r="D181" s="466">
        <v>3035</v>
      </c>
    </row>
    <row r="182" spans="1:4" hidden="1">
      <c r="A182" s="466" t="s">
        <v>1280</v>
      </c>
      <c r="B182" s="466" t="s">
        <v>1281</v>
      </c>
      <c r="C182" s="466" t="s">
        <v>985</v>
      </c>
      <c r="D182" s="466">
        <v>2078</v>
      </c>
    </row>
    <row r="183" spans="1:4" hidden="1">
      <c r="A183" s="466" t="s">
        <v>1282</v>
      </c>
      <c r="B183" s="466" t="s">
        <v>1283</v>
      </c>
      <c r="C183" s="466" t="s">
        <v>985</v>
      </c>
      <c r="D183" s="466">
        <v>2202</v>
      </c>
    </row>
    <row r="184" spans="1:4" hidden="1">
      <c r="A184" s="466" t="s">
        <v>1284</v>
      </c>
      <c r="B184" s="466" t="s">
        <v>1285</v>
      </c>
      <c r="C184" s="466" t="s">
        <v>985</v>
      </c>
      <c r="D184" s="466">
        <v>2100</v>
      </c>
    </row>
    <row r="185" spans="1:4" hidden="1">
      <c r="A185" s="466" t="s">
        <v>1286</v>
      </c>
      <c r="B185" s="466" t="s">
        <v>1287</v>
      </c>
      <c r="C185" s="466" t="s">
        <v>985</v>
      </c>
      <c r="D185" s="466">
        <v>3036</v>
      </c>
    </row>
    <row r="186" spans="1:4" hidden="1">
      <c r="A186" s="466" t="s">
        <v>1288</v>
      </c>
      <c r="B186" s="466" t="s">
        <v>1289</v>
      </c>
      <c r="C186" s="466" t="s">
        <v>1290</v>
      </c>
      <c r="D186" s="466">
        <v>4064</v>
      </c>
    </row>
    <row r="187" spans="1:4" hidden="1">
      <c r="A187" s="466" t="s">
        <v>1291</v>
      </c>
      <c r="B187" s="466" t="s">
        <v>1292</v>
      </c>
      <c r="C187" s="466" t="s">
        <v>1290</v>
      </c>
      <c r="D187" s="466">
        <v>4022</v>
      </c>
    </row>
    <row r="188" spans="1:4" hidden="1">
      <c r="A188" s="466" t="s">
        <v>1293</v>
      </c>
      <c r="B188" s="466" t="s">
        <v>1294</v>
      </c>
      <c r="C188" s="466" t="s">
        <v>1290</v>
      </c>
      <c r="D188" s="466">
        <v>5400</v>
      </c>
    </row>
    <row r="189" spans="1:4" hidden="1">
      <c r="A189" s="466" t="s">
        <v>1295</v>
      </c>
      <c r="B189" s="466" t="s">
        <v>1296</v>
      </c>
      <c r="C189" s="466" t="s">
        <v>1290</v>
      </c>
      <c r="D189" s="466">
        <v>4001</v>
      </c>
    </row>
    <row r="190" spans="1:4" hidden="1">
      <c r="A190" s="466" t="s">
        <v>1297</v>
      </c>
      <c r="B190" s="466" t="s">
        <v>1298</v>
      </c>
      <c r="C190" s="466" t="s">
        <v>1290</v>
      </c>
      <c r="D190" s="466">
        <v>4100</v>
      </c>
    </row>
    <row r="191" spans="1:4" hidden="1">
      <c r="A191" s="466" t="s">
        <v>1299</v>
      </c>
      <c r="B191" s="466" t="s">
        <v>1300</v>
      </c>
      <c r="C191" s="466" t="s">
        <v>1290</v>
      </c>
      <c r="D191" s="466">
        <v>4111</v>
      </c>
    </row>
    <row r="192" spans="1:4" hidden="1">
      <c r="A192" s="466" t="s">
        <v>1301</v>
      </c>
      <c r="B192" s="466" t="s">
        <v>1302</v>
      </c>
      <c r="C192" s="466" t="s">
        <v>1290</v>
      </c>
      <c r="D192" s="466">
        <v>4101</v>
      </c>
    </row>
    <row r="193" spans="1:4" hidden="1">
      <c r="A193" s="466" t="s">
        <v>1303</v>
      </c>
      <c r="B193" s="466" t="s">
        <v>1304</v>
      </c>
      <c r="C193" s="466" t="s">
        <v>1290</v>
      </c>
      <c r="D193" s="466">
        <v>5401</v>
      </c>
    </row>
    <row r="194" spans="1:4" hidden="1">
      <c r="A194" s="466" t="s">
        <v>1305</v>
      </c>
      <c r="B194" s="466" t="s">
        <v>1306</v>
      </c>
      <c r="C194" s="466" t="s">
        <v>1290</v>
      </c>
      <c r="D194" s="466">
        <v>4616</v>
      </c>
    </row>
    <row r="195" spans="1:4" hidden="1">
      <c r="A195" s="466" t="s">
        <v>1307</v>
      </c>
      <c r="B195" s="466" t="s">
        <v>1308</v>
      </c>
      <c r="C195" s="466" t="s">
        <v>1290</v>
      </c>
      <c r="D195" s="466">
        <v>5404</v>
      </c>
    </row>
    <row r="196" spans="1:4" hidden="1">
      <c r="A196" s="466" t="s">
        <v>1309</v>
      </c>
      <c r="B196" s="466" t="s">
        <v>1310</v>
      </c>
      <c r="C196" s="466" t="s">
        <v>1290</v>
      </c>
      <c r="D196" s="466">
        <v>5402</v>
      </c>
    </row>
    <row r="197" spans="1:4" hidden="1">
      <c r="A197" s="466" t="s">
        <v>1311</v>
      </c>
      <c r="B197" s="466" t="s">
        <v>1312</v>
      </c>
      <c r="C197" s="466" t="s">
        <v>1290</v>
      </c>
      <c r="D197" s="466">
        <v>4112</v>
      </c>
    </row>
    <row r="198" spans="1:4" hidden="1">
      <c r="A198" s="466" t="s">
        <v>1313</v>
      </c>
      <c r="B198" s="466" t="s">
        <v>1314</v>
      </c>
      <c r="C198" s="466" t="s">
        <v>1290</v>
      </c>
      <c r="D198" s="466">
        <v>4069</v>
      </c>
    </row>
    <row r="199" spans="1:4" hidden="1">
      <c r="A199" s="466" t="s">
        <v>1315</v>
      </c>
      <c r="B199" s="466" t="s">
        <v>1316</v>
      </c>
      <c r="C199" s="466" t="s">
        <v>1290</v>
      </c>
      <c r="D199" s="466">
        <v>4600</v>
      </c>
    </row>
    <row r="200" spans="1:4" hidden="1">
      <c r="A200" s="466" t="s">
        <v>1317</v>
      </c>
      <c r="B200" s="466" t="s">
        <v>1318</v>
      </c>
      <c r="C200" s="466" t="s">
        <v>1290</v>
      </c>
      <c r="D200" s="466">
        <v>4611</v>
      </c>
    </row>
    <row r="201" spans="1:4" hidden="1">
      <c r="A201" s="466" t="s">
        <v>1319</v>
      </c>
      <c r="B201" s="466" t="s">
        <v>1320</v>
      </c>
      <c r="C201" s="466" t="s">
        <v>1290</v>
      </c>
      <c r="D201" s="466">
        <v>4610</v>
      </c>
    </row>
    <row r="202" spans="1:4" hidden="1">
      <c r="A202" s="466" t="s">
        <v>1321</v>
      </c>
      <c r="B202" s="466" t="s">
        <v>1322</v>
      </c>
      <c r="C202" s="466" t="s">
        <v>1290</v>
      </c>
      <c r="D202" s="466">
        <v>5403</v>
      </c>
    </row>
    <row r="203" spans="1:4" hidden="1">
      <c r="A203" s="466" t="s">
        <v>1323</v>
      </c>
      <c r="B203" s="466" t="s">
        <v>1324</v>
      </c>
      <c r="C203" s="466" t="s">
        <v>1290</v>
      </c>
      <c r="D203" s="466">
        <v>4074</v>
      </c>
    </row>
    <row r="204" spans="1:4" hidden="1">
      <c r="A204" s="466" t="s">
        <v>1325</v>
      </c>
      <c r="B204" s="466" t="s">
        <v>1326</v>
      </c>
      <c r="C204" s="466" t="s">
        <v>1290</v>
      </c>
      <c r="D204" s="466">
        <v>4036</v>
      </c>
    </row>
    <row r="205" spans="1:4" hidden="1">
      <c r="A205" s="466" t="s">
        <v>1327</v>
      </c>
      <c r="B205" s="466" t="s">
        <v>1328</v>
      </c>
      <c r="C205" s="466" t="s">
        <v>1329</v>
      </c>
      <c r="D205" s="466">
        <v>7032</v>
      </c>
    </row>
    <row r="206" spans="1:4" hidden="1">
      <c r="A206" s="466" t="s">
        <v>1330</v>
      </c>
      <c r="B206" s="466" t="s">
        <v>1331</v>
      </c>
      <c r="C206" s="466" t="s">
        <v>1329</v>
      </c>
      <c r="D206" s="466">
        <v>7031</v>
      </c>
    </row>
    <row r="207" spans="1:4" hidden="1">
      <c r="A207" s="466" t="s">
        <v>1332</v>
      </c>
      <c r="B207" s="466" t="s">
        <v>1333</v>
      </c>
      <c r="C207" s="466" t="s">
        <v>1329</v>
      </c>
      <c r="D207" s="466">
        <v>7035</v>
      </c>
    </row>
    <row r="208" spans="1:4" hidden="1">
      <c r="A208" s="466" t="s">
        <v>1334</v>
      </c>
      <c r="B208" s="466" t="s">
        <v>1335</v>
      </c>
      <c r="C208" s="466" t="s">
        <v>1329</v>
      </c>
      <c r="D208" s="466">
        <v>7034</v>
      </c>
    </row>
    <row r="209" spans="1:4" hidden="1">
      <c r="A209" s="466" t="s">
        <v>1336</v>
      </c>
      <c r="B209" s="466" t="s">
        <v>1337</v>
      </c>
      <c r="C209" s="466" t="s">
        <v>1329</v>
      </c>
      <c r="D209" s="466">
        <v>7036</v>
      </c>
    </row>
    <row r="210" spans="1:4" hidden="1">
      <c r="A210" s="466" t="s">
        <v>1338</v>
      </c>
      <c r="B210" s="466" t="s">
        <v>1339</v>
      </c>
      <c r="C210" s="466" t="s">
        <v>1329</v>
      </c>
      <c r="D210" s="466">
        <v>7030</v>
      </c>
    </row>
    <row r="211" spans="1:4" hidden="1">
      <c r="A211" s="466" t="s">
        <v>1340</v>
      </c>
      <c r="B211" s="466" t="s">
        <v>1341</v>
      </c>
      <c r="C211" s="466" t="s">
        <v>1329</v>
      </c>
      <c r="D211" s="466">
        <v>7033</v>
      </c>
    </row>
    <row r="212" spans="1:4" hidden="1">
      <c r="A212" s="466" t="s">
        <v>1342</v>
      </c>
      <c r="B212" s="466" t="s">
        <v>1343</v>
      </c>
      <c r="C212" s="466" t="s">
        <v>1329</v>
      </c>
      <c r="D212" s="466" t="s">
        <v>1344</v>
      </c>
    </row>
    <row r="213" spans="1:4" hidden="1">
      <c r="A213" s="466" t="s">
        <v>1345</v>
      </c>
      <c r="B213" s="466" t="s">
        <v>1346</v>
      </c>
      <c r="C213" s="466" t="s">
        <v>1347</v>
      </c>
      <c r="D213" s="466">
        <v>1104</v>
      </c>
    </row>
    <row r="214" spans="1:4" hidden="1">
      <c r="A214" s="466" t="s">
        <v>1348</v>
      </c>
      <c r="B214" s="466" t="s">
        <v>1349</v>
      </c>
      <c r="C214" s="466" t="s">
        <v>1347</v>
      </c>
      <c r="D214" s="466">
        <v>1110</v>
      </c>
    </row>
    <row r="215" spans="1:4" hidden="1">
      <c r="A215" s="466" t="s">
        <v>1350</v>
      </c>
      <c r="B215" s="466" t="s">
        <v>1351</v>
      </c>
      <c r="C215" s="466" t="s">
        <v>1347</v>
      </c>
      <c r="D215" s="466">
        <v>1106</v>
      </c>
    </row>
    <row r="216" spans="1:4" hidden="1">
      <c r="A216" s="466" t="s">
        <v>1352</v>
      </c>
      <c r="B216" s="466" t="s">
        <v>1353</v>
      </c>
      <c r="C216" s="466" t="s">
        <v>1347</v>
      </c>
      <c r="D216" s="466">
        <v>1105</v>
      </c>
    </row>
    <row r="217" spans="1:4" hidden="1">
      <c r="A217" s="466" t="s">
        <v>1354</v>
      </c>
      <c r="B217" s="466" t="s">
        <v>1355</v>
      </c>
      <c r="C217" s="466" t="s">
        <v>1347</v>
      </c>
      <c r="D217" s="466">
        <v>1108</v>
      </c>
    </row>
    <row r="218" spans="1:4" hidden="1">
      <c r="A218" s="466" t="s">
        <v>1345</v>
      </c>
      <c r="B218" s="466" t="s">
        <v>1356</v>
      </c>
      <c r="C218" s="466" t="s">
        <v>1347</v>
      </c>
      <c r="D218" s="466">
        <v>1103</v>
      </c>
    </row>
    <row r="219" spans="1:4" hidden="1">
      <c r="A219" s="466" t="s">
        <v>1357</v>
      </c>
      <c r="B219" s="466" t="s">
        <v>1358</v>
      </c>
      <c r="C219" s="466" t="s">
        <v>1347</v>
      </c>
      <c r="D219" s="466">
        <v>1107</v>
      </c>
    </row>
    <row r="220" spans="1:4" hidden="1">
      <c r="A220" s="466" t="s">
        <v>1359</v>
      </c>
      <c r="B220" s="466"/>
      <c r="C220" s="466"/>
      <c r="D220" s="466"/>
    </row>
    <row r="221" spans="1:4" hidden="1">
      <c r="A221" s="466" t="s">
        <v>1360</v>
      </c>
      <c r="B221" s="466"/>
      <c r="C221" s="466"/>
      <c r="D221" s="466"/>
    </row>
    <row r="222" spans="1:4" hidden="1">
      <c r="A222" s="466" t="s">
        <v>1361</v>
      </c>
      <c r="B222" s="466"/>
      <c r="C222" s="466"/>
      <c r="D222" s="466"/>
    </row>
    <row r="223" spans="1:4" hidden="1">
      <c r="A223" s="466" t="s">
        <v>1362</v>
      </c>
      <c r="B223" s="466"/>
      <c r="C223" s="466"/>
      <c r="D223" s="466"/>
    </row>
    <row r="224" spans="1:4" hidden="1">
      <c r="A224" s="270"/>
    </row>
    <row r="225" spans="1:1">
      <c r="A225" s="270"/>
    </row>
    <row r="226" spans="1:1">
      <c r="A226" s="270"/>
    </row>
    <row r="227" spans="1:1">
      <c r="A227" s="270"/>
    </row>
    <row r="228" spans="1:1">
      <c r="A228" s="270"/>
    </row>
    <row r="229" spans="1:1">
      <c r="A229" s="270"/>
    </row>
    <row r="230" spans="1:1">
      <c r="A230" s="270"/>
    </row>
    <row r="231" spans="1:1">
      <c r="A231" s="270"/>
    </row>
    <row r="232" spans="1:1">
      <c r="A232" s="270"/>
    </row>
    <row r="233" spans="1:1">
      <c r="A233" s="270"/>
    </row>
    <row r="234" spans="1:1">
      <c r="A234" s="270"/>
    </row>
    <row r="235" spans="1:1">
      <c r="A235" s="270"/>
    </row>
    <row r="236" spans="1:1">
      <c r="A236" s="270"/>
    </row>
    <row r="237" spans="1:1">
      <c r="A237" s="270"/>
    </row>
    <row r="238" spans="1:1">
      <c r="A238" s="270"/>
    </row>
    <row r="239" spans="1:1">
      <c r="A239" s="270"/>
    </row>
    <row r="240" spans="1:1">
      <c r="A240" s="270"/>
    </row>
    <row r="241" spans="1:1">
      <c r="A241" s="270"/>
    </row>
    <row r="242" spans="1:1">
      <c r="A242" s="270"/>
    </row>
    <row r="243" spans="1:1">
      <c r="A243" s="270"/>
    </row>
    <row r="244" spans="1:1">
      <c r="A244" s="270"/>
    </row>
    <row r="245" spans="1:1">
      <c r="A245" s="270"/>
    </row>
    <row r="246" spans="1:1">
      <c r="A246" s="270"/>
    </row>
    <row r="247" spans="1:1">
      <c r="A247" s="270"/>
    </row>
    <row r="248" spans="1:1">
      <c r="A248" s="270"/>
    </row>
    <row r="249" spans="1:1">
      <c r="A249" s="270"/>
    </row>
    <row r="250" spans="1:1">
      <c r="A250" s="270"/>
    </row>
    <row r="251" spans="1:1">
      <c r="A251" s="270"/>
    </row>
    <row r="252" spans="1:1">
      <c r="A252" s="270"/>
    </row>
    <row r="253" spans="1:1">
      <c r="A253" s="270"/>
    </row>
    <row r="254" spans="1:1">
      <c r="A254" s="270"/>
    </row>
    <row r="255" spans="1:1">
      <c r="A255" s="270"/>
    </row>
    <row r="256" spans="1:1">
      <c r="A256" s="270"/>
    </row>
    <row r="257" spans="1:1">
      <c r="A257" s="270"/>
    </row>
    <row r="258" spans="1:1">
      <c r="A258" s="270"/>
    </row>
    <row r="259" spans="1:1">
      <c r="A259" s="270"/>
    </row>
    <row r="260" spans="1:1">
      <c r="A260" s="270"/>
    </row>
    <row r="261" spans="1:1">
      <c r="A261" s="270"/>
    </row>
    <row r="262" spans="1:1">
      <c r="A262" s="270"/>
    </row>
    <row r="263" spans="1:1">
      <c r="A263" s="270"/>
    </row>
    <row r="264" spans="1:1">
      <c r="A264" s="270"/>
    </row>
    <row r="265" spans="1:1">
      <c r="A265" s="270"/>
    </row>
    <row r="266" spans="1:1">
      <c r="A266" s="270"/>
    </row>
    <row r="267" spans="1:1">
      <c r="A267" s="270"/>
    </row>
    <row r="268" spans="1:1">
      <c r="A268" s="270"/>
    </row>
    <row r="269" spans="1:1">
      <c r="A269" s="270"/>
    </row>
    <row r="270" spans="1:1">
      <c r="A270" s="270"/>
    </row>
    <row r="271" spans="1:1">
      <c r="A271" s="270"/>
    </row>
    <row r="272" spans="1:1">
      <c r="A272" s="270"/>
    </row>
    <row r="273" spans="1:1">
      <c r="A273" s="270"/>
    </row>
    <row r="274" spans="1:1">
      <c r="A274" s="270"/>
    </row>
    <row r="275" spans="1:1">
      <c r="A275" s="270"/>
    </row>
    <row r="276" spans="1:1">
      <c r="A276" s="270"/>
    </row>
    <row r="277" spans="1:1">
      <c r="A277" s="270"/>
    </row>
    <row r="278" spans="1:1">
      <c r="A278" s="270"/>
    </row>
    <row r="279" spans="1:1">
      <c r="A279" s="270"/>
    </row>
    <row r="280" spans="1:1">
      <c r="A280" s="270"/>
    </row>
    <row r="281" spans="1:1">
      <c r="A281" s="270"/>
    </row>
    <row r="282" spans="1:1">
      <c r="A282" s="270"/>
    </row>
    <row r="283" spans="1:1">
      <c r="A283" s="270"/>
    </row>
    <row r="284" spans="1:1">
      <c r="A284" s="270"/>
    </row>
    <row r="285" spans="1:1">
      <c r="A285" s="270"/>
    </row>
    <row r="286" spans="1:1">
      <c r="A286" s="270"/>
    </row>
    <row r="287" spans="1:1">
      <c r="A287" s="270"/>
    </row>
    <row r="288" spans="1:1">
      <c r="A288" s="270"/>
    </row>
    <row r="289" spans="1:1">
      <c r="A289" s="270"/>
    </row>
    <row r="290" spans="1:1">
      <c r="A290" s="270"/>
    </row>
    <row r="291" spans="1:1">
      <c r="A291" s="270"/>
    </row>
    <row r="292" spans="1:1">
      <c r="A292" s="270"/>
    </row>
    <row r="293" spans="1:1">
      <c r="A293" s="270"/>
    </row>
    <row r="294" spans="1:1">
      <c r="A294" s="270"/>
    </row>
    <row r="295" spans="1:1">
      <c r="A295" s="270"/>
    </row>
    <row r="296" spans="1:1">
      <c r="A296" s="270"/>
    </row>
    <row r="297" spans="1:1">
      <c r="A297" s="270"/>
    </row>
    <row r="298" spans="1:1">
      <c r="A298" s="270"/>
    </row>
    <row r="299" spans="1:1">
      <c r="A299" s="270"/>
    </row>
    <row r="300" spans="1:1">
      <c r="A300" s="270"/>
    </row>
    <row r="301" spans="1:1">
      <c r="A301" s="270"/>
    </row>
    <row r="302" spans="1:1">
      <c r="A302" s="270"/>
    </row>
    <row r="303" spans="1:1">
      <c r="A303" s="270"/>
    </row>
    <row r="304" spans="1:1">
      <c r="A304" s="270"/>
    </row>
    <row r="305" spans="1:1">
      <c r="A305" s="270"/>
    </row>
    <row r="306" spans="1:1">
      <c r="A306" s="270"/>
    </row>
    <row r="307" spans="1:1">
      <c r="A307" s="270"/>
    </row>
    <row r="308" spans="1:1">
      <c r="A308" s="270"/>
    </row>
    <row r="309" spans="1:1">
      <c r="A309" s="270"/>
    </row>
    <row r="310" spans="1:1">
      <c r="A310" s="270"/>
    </row>
    <row r="311" spans="1:1">
      <c r="A311" s="270"/>
    </row>
    <row r="312" spans="1:1">
      <c r="A312" s="270"/>
    </row>
    <row r="313" spans="1:1">
      <c r="A313" s="270"/>
    </row>
    <row r="314" spans="1:1">
      <c r="A314" s="270"/>
    </row>
    <row r="315" spans="1:1">
      <c r="A315" s="270"/>
    </row>
    <row r="316" spans="1:1">
      <c r="A316" s="270"/>
    </row>
    <row r="317" spans="1:1">
      <c r="A317" s="270"/>
    </row>
    <row r="318" spans="1:1">
      <c r="A318" s="270"/>
    </row>
    <row r="319" spans="1:1">
      <c r="A319" s="270"/>
    </row>
    <row r="320" spans="1:1">
      <c r="A320" s="270"/>
    </row>
    <row r="321" spans="1:1">
      <c r="A321" s="270"/>
    </row>
    <row r="322" spans="1:1">
      <c r="A322" s="270"/>
    </row>
    <row r="323" spans="1:1">
      <c r="A323" s="270"/>
    </row>
    <row r="324" spans="1:1">
      <c r="A324" s="270"/>
    </row>
    <row r="325" spans="1:1">
      <c r="A325" s="270"/>
    </row>
    <row r="326" spans="1:1">
      <c r="A326" s="270"/>
    </row>
    <row r="327" spans="1:1">
      <c r="A327" s="270"/>
    </row>
    <row r="328" spans="1:1">
      <c r="A328" s="270"/>
    </row>
    <row r="329" spans="1:1">
      <c r="A329" s="270"/>
    </row>
    <row r="330" spans="1:1">
      <c r="A330" s="270"/>
    </row>
    <row r="331" spans="1:1">
      <c r="A331" s="270"/>
    </row>
    <row r="332" spans="1:1">
      <c r="A332" s="270"/>
    </row>
    <row r="333" spans="1:1">
      <c r="A333" s="270"/>
    </row>
    <row r="334" spans="1:1">
      <c r="A334" s="270"/>
    </row>
    <row r="335" spans="1:1">
      <c r="A335" s="270"/>
    </row>
    <row r="336" spans="1:1">
      <c r="A336" s="270"/>
    </row>
    <row r="337" spans="1:1">
      <c r="A337" s="270"/>
    </row>
    <row r="338" spans="1:1">
      <c r="A338" s="270"/>
    </row>
    <row r="339" spans="1:1">
      <c r="A339" s="270"/>
    </row>
    <row r="340" spans="1:1">
      <c r="A340" s="270"/>
    </row>
    <row r="341" spans="1:1">
      <c r="A341" s="270"/>
    </row>
    <row r="342" spans="1:1">
      <c r="A342" s="270"/>
    </row>
    <row r="343" spans="1:1">
      <c r="A343" s="270"/>
    </row>
    <row r="344" spans="1:1">
      <c r="A344" s="270"/>
    </row>
    <row r="345" spans="1:1">
      <c r="A345" s="270"/>
    </row>
    <row r="346" spans="1:1">
      <c r="A346" s="270"/>
    </row>
    <row r="347" spans="1:1">
      <c r="A347" s="270"/>
    </row>
    <row r="348" spans="1:1">
      <c r="A348" s="270"/>
    </row>
    <row r="349" spans="1:1">
      <c r="A349" s="270"/>
    </row>
  </sheetData>
  <sheetProtection algorithmName="SHA-512" hashValue="uM1Ku0Rb8lcQBW6a260kUfH/mm2nAwUmK4eRZHSoyVgw4jILDHJaeb67Xam42RqGzl+8KTZbClthCQ9NQ76THQ==" saltValue="NZRDxhbBAMCiGSMbG+0QPg==" spinCount="100000" sheet="1" objects="1" scenarios="1"/>
  <mergeCells count="2">
    <mergeCell ref="BQ1:BT1"/>
    <mergeCell ref="BU1:CF1"/>
  </mergeCells>
  <phoneticPr fontId="16"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0000"/>
  </sheetPr>
  <dimension ref="A1:CO137"/>
  <sheetViews>
    <sheetView workbookViewId="0">
      <pane xSplit="4" ySplit="4" topLeftCell="E44" activePane="bottomRight" state="frozen"/>
      <selection activeCell="E80" sqref="E80:G105"/>
      <selection pane="topRight" activeCell="E80" sqref="E80:G105"/>
      <selection pane="bottomLeft" activeCell="E80" sqref="E80:G105"/>
      <selection pane="bottomRight" activeCell="I14" sqref="I14"/>
    </sheetView>
  </sheetViews>
  <sheetFormatPr defaultRowHeight="13.2"/>
  <cols>
    <col min="3" max="3" width="68" bestFit="1" customWidth="1"/>
    <col min="4" max="4" width="13.5546875" customWidth="1"/>
    <col min="5" max="5" width="13.21875" bestFit="1" customWidth="1"/>
    <col min="6" max="6" width="9.21875" bestFit="1" customWidth="1"/>
  </cols>
  <sheetData>
    <row r="1" spans="1:93">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c r="BE1">
        <v>56</v>
      </c>
      <c r="BF1">
        <v>57</v>
      </c>
      <c r="BG1">
        <v>58</v>
      </c>
      <c r="BH1">
        <v>59</v>
      </c>
      <c r="BI1">
        <v>60</v>
      </c>
      <c r="BJ1">
        <v>61</v>
      </c>
      <c r="BK1">
        <v>62</v>
      </c>
      <c r="BL1">
        <v>63</v>
      </c>
      <c r="BM1">
        <v>64</v>
      </c>
      <c r="BN1">
        <v>65</v>
      </c>
      <c r="BO1">
        <v>66</v>
      </c>
      <c r="BP1">
        <v>67</v>
      </c>
      <c r="BQ1">
        <v>68</v>
      </c>
      <c r="BR1">
        <v>69</v>
      </c>
      <c r="BS1">
        <v>70</v>
      </c>
      <c r="BT1">
        <v>71</v>
      </c>
      <c r="BU1">
        <v>72</v>
      </c>
      <c r="BV1">
        <v>73</v>
      </c>
      <c r="BW1">
        <v>74</v>
      </c>
      <c r="BX1">
        <v>75</v>
      </c>
      <c r="BY1">
        <v>76</v>
      </c>
      <c r="BZ1">
        <v>77</v>
      </c>
      <c r="CA1">
        <v>78</v>
      </c>
      <c r="CB1">
        <v>79</v>
      </c>
      <c r="CC1">
        <v>80</v>
      </c>
      <c r="CD1">
        <v>81</v>
      </c>
      <c r="CE1">
        <v>82</v>
      </c>
      <c r="CF1">
        <v>83</v>
      </c>
      <c r="CG1">
        <v>84</v>
      </c>
      <c r="CH1">
        <v>85</v>
      </c>
      <c r="CI1">
        <v>86</v>
      </c>
      <c r="CJ1">
        <v>87</v>
      </c>
    </row>
    <row r="2" spans="1:93">
      <c r="A2" s="214" t="s">
        <v>1523</v>
      </c>
      <c r="B2" s="298">
        <v>1</v>
      </c>
      <c r="C2" s="237"/>
      <c r="D2" s="298">
        <v>3</v>
      </c>
      <c r="E2" s="298">
        <v>1</v>
      </c>
      <c r="F2" s="298">
        <v>26</v>
      </c>
      <c r="G2" s="298">
        <v>27</v>
      </c>
      <c r="H2" s="298">
        <v>28</v>
      </c>
      <c r="I2" s="298">
        <v>29</v>
      </c>
      <c r="J2" s="298">
        <v>30</v>
      </c>
      <c r="K2" s="298">
        <v>31</v>
      </c>
      <c r="L2" s="298">
        <v>32</v>
      </c>
      <c r="M2" s="298">
        <v>33</v>
      </c>
      <c r="N2" s="298">
        <v>34</v>
      </c>
      <c r="O2" s="298">
        <v>35</v>
      </c>
      <c r="P2" s="298">
        <v>36</v>
      </c>
      <c r="Q2" s="298">
        <v>37</v>
      </c>
      <c r="R2" s="298">
        <v>38</v>
      </c>
      <c r="S2" s="298">
        <v>39</v>
      </c>
      <c r="T2" s="298">
        <v>40</v>
      </c>
      <c r="U2" s="298">
        <v>43</v>
      </c>
      <c r="V2" s="298">
        <v>44</v>
      </c>
      <c r="W2" s="298">
        <v>45</v>
      </c>
      <c r="X2" s="298">
        <v>46</v>
      </c>
      <c r="Y2" s="298" t="e">
        <v>#N/A</v>
      </c>
      <c r="Z2" s="298">
        <v>47</v>
      </c>
      <c r="AA2" s="298">
        <v>48</v>
      </c>
      <c r="AB2" s="298">
        <v>49</v>
      </c>
      <c r="AC2" s="298">
        <v>50</v>
      </c>
      <c r="AD2" s="298">
        <v>51</v>
      </c>
      <c r="AE2" s="298">
        <v>52</v>
      </c>
      <c r="AF2" s="298">
        <v>53</v>
      </c>
      <c r="AG2" s="298">
        <v>54</v>
      </c>
      <c r="AH2" s="298">
        <v>55</v>
      </c>
      <c r="AI2" s="298">
        <v>56</v>
      </c>
      <c r="AJ2" s="298">
        <v>57</v>
      </c>
      <c r="AK2" s="298">
        <v>58</v>
      </c>
      <c r="AL2" s="298">
        <v>59</v>
      </c>
      <c r="AM2" s="298">
        <v>60</v>
      </c>
      <c r="AN2" s="298">
        <v>61</v>
      </c>
      <c r="AO2" s="298">
        <v>62</v>
      </c>
      <c r="AP2" s="298">
        <v>63</v>
      </c>
      <c r="AQ2" s="298">
        <v>64</v>
      </c>
      <c r="AR2" s="298">
        <v>65</v>
      </c>
      <c r="AS2" s="298">
        <v>66</v>
      </c>
      <c r="AT2" s="298">
        <v>73</v>
      </c>
      <c r="AU2" s="298">
        <v>74</v>
      </c>
      <c r="AV2" s="298">
        <v>75</v>
      </c>
      <c r="AW2" s="298">
        <v>76</v>
      </c>
      <c r="AX2" s="298">
        <v>77</v>
      </c>
      <c r="AY2" s="298">
        <v>78</v>
      </c>
      <c r="AZ2" s="298">
        <v>79</v>
      </c>
      <c r="BA2" s="298">
        <v>80</v>
      </c>
      <c r="BB2" s="298">
        <v>81</v>
      </c>
      <c r="BC2" s="298">
        <v>82</v>
      </c>
      <c r="BD2" s="298">
        <v>83</v>
      </c>
      <c r="BE2" s="298" t="e">
        <v>#N/A</v>
      </c>
      <c r="BF2" s="298" t="e">
        <v>#N/A</v>
      </c>
      <c r="BG2" s="298">
        <v>23</v>
      </c>
      <c r="BH2" s="298" t="e">
        <v>#N/A</v>
      </c>
      <c r="BI2" s="298">
        <v>41</v>
      </c>
      <c r="BJ2" s="298">
        <v>42</v>
      </c>
      <c r="BK2" s="298" t="e">
        <v>#N/A</v>
      </c>
      <c r="BL2" s="298">
        <v>84</v>
      </c>
      <c r="BM2" s="298">
        <v>85</v>
      </c>
      <c r="BN2" s="298" t="e">
        <v>#N/A</v>
      </c>
      <c r="BO2" s="298" t="e">
        <v>#N/A</v>
      </c>
      <c r="BP2" s="298">
        <v>24</v>
      </c>
      <c r="BQ2" s="298" t="e">
        <v>#N/A</v>
      </c>
      <c r="BR2" s="298">
        <v>100</v>
      </c>
      <c r="BS2" s="298">
        <v>101</v>
      </c>
      <c r="BT2" s="298">
        <v>104</v>
      </c>
      <c r="BU2" s="298" t="e">
        <v>#N/A</v>
      </c>
      <c r="BV2" s="298">
        <v>86</v>
      </c>
      <c r="BW2" s="298">
        <v>87</v>
      </c>
      <c r="BX2" s="298">
        <v>88</v>
      </c>
      <c r="BY2" s="298" t="e">
        <v>#N/A</v>
      </c>
      <c r="BZ2" s="298">
        <v>90</v>
      </c>
      <c r="CA2" s="298">
        <v>91</v>
      </c>
      <c r="CB2" s="298">
        <v>92</v>
      </c>
      <c r="CC2" s="298">
        <v>87</v>
      </c>
      <c r="CD2" s="298" t="e">
        <v>#N/A</v>
      </c>
      <c r="CE2" s="298" t="e">
        <v>#N/A</v>
      </c>
      <c r="CF2" s="298">
        <v>25</v>
      </c>
      <c r="CG2" s="298" t="e">
        <v>#N/A</v>
      </c>
      <c r="CH2" s="298">
        <v>102</v>
      </c>
      <c r="CI2" s="298">
        <v>103</v>
      </c>
      <c r="CJ2" s="298" t="e">
        <v>#N/A</v>
      </c>
      <c r="CK2">
        <v>89</v>
      </c>
      <c r="CL2">
        <v>90</v>
      </c>
      <c r="CM2">
        <v>91</v>
      </c>
      <c r="CN2">
        <v>92</v>
      </c>
      <c r="CO2">
        <v>93</v>
      </c>
    </row>
    <row r="3" spans="1:93" ht="39.6">
      <c r="A3" s="216" t="s">
        <v>1365</v>
      </c>
      <c r="B3" s="217" t="s">
        <v>878</v>
      </c>
      <c r="C3" s="264" t="s">
        <v>877</v>
      </c>
      <c r="D3" s="218" t="s">
        <v>873</v>
      </c>
      <c r="E3" s="217" t="s">
        <v>1366</v>
      </c>
      <c r="F3" s="219" t="s">
        <v>491</v>
      </c>
      <c r="G3" s="219" t="s">
        <v>494</v>
      </c>
      <c r="H3" s="219" t="s">
        <v>497</v>
      </c>
      <c r="I3" s="219" t="s">
        <v>500</v>
      </c>
      <c r="J3" s="219" t="s">
        <v>503</v>
      </c>
      <c r="K3" s="219" t="s">
        <v>506</v>
      </c>
      <c r="L3" s="219" t="s">
        <v>509</v>
      </c>
      <c r="M3" s="219" t="s">
        <v>512</v>
      </c>
      <c r="N3" s="219" t="s">
        <v>515</v>
      </c>
      <c r="O3" s="219" t="s">
        <v>518</v>
      </c>
      <c r="P3" s="219" t="s">
        <v>521</v>
      </c>
      <c r="Q3" s="219" t="s">
        <v>524</v>
      </c>
      <c r="R3" s="219" t="s">
        <v>527</v>
      </c>
      <c r="S3" s="219" t="s">
        <v>530</v>
      </c>
      <c r="T3" s="219" t="s">
        <v>533</v>
      </c>
      <c r="U3" s="219" t="s">
        <v>535</v>
      </c>
      <c r="V3" s="219" t="s">
        <v>538</v>
      </c>
      <c r="W3" s="219" t="s">
        <v>540</v>
      </c>
      <c r="X3" s="219" t="s">
        <v>542</v>
      </c>
      <c r="Y3" s="219" t="s">
        <v>430</v>
      </c>
      <c r="Z3" s="219" t="s">
        <v>548</v>
      </c>
      <c r="AA3" s="219" t="s">
        <v>551</v>
      </c>
      <c r="AB3" s="219" t="s">
        <v>554</v>
      </c>
      <c r="AC3" s="219" t="s">
        <v>557</v>
      </c>
      <c r="AD3" s="219" t="s">
        <v>560</v>
      </c>
      <c r="AE3" s="219" t="s">
        <v>563</v>
      </c>
      <c r="AF3" s="219" t="s">
        <v>566</v>
      </c>
      <c r="AG3" s="219" t="s">
        <v>569</v>
      </c>
      <c r="AH3" s="219" t="s">
        <v>572</v>
      </c>
      <c r="AI3" s="219" t="s">
        <v>575</v>
      </c>
      <c r="AJ3" s="219" t="s">
        <v>578</v>
      </c>
      <c r="AK3" s="219" t="s">
        <v>581</v>
      </c>
      <c r="AL3" s="219" t="s">
        <v>584</v>
      </c>
      <c r="AM3" s="219" t="s">
        <v>587</v>
      </c>
      <c r="AN3" s="219" t="s">
        <v>590</v>
      </c>
      <c r="AO3" s="219" t="s">
        <v>593</v>
      </c>
      <c r="AP3" s="219" t="s">
        <v>596</v>
      </c>
      <c r="AQ3" s="219" t="s">
        <v>599</v>
      </c>
      <c r="AR3" s="219" t="s">
        <v>602</v>
      </c>
      <c r="AS3" s="219" t="s">
        <v>605</v>
      </c>
      <c r="AT3" s="219" t="s">
        <v>607</v>
      </c>
      <c r="AU3" s="219" t="s">
        <v>610</v>
      </c>
      <c r="AV3" s="219" t="s">
        <v>613</v>
      </c>
      <c r="AW3" s="219" t="s">
        <v>616</v>
      </c>
      <c r="AX3" s="219" t="s">
        <v>619</v>
      </c>
      <c r="AY3" s="219" t="s">
        <v>622</v>
      </c>
      <c r="AZ3" s="219" t="s">
        <v>625</v>
      </c>
      <c r="BA3" s="219" t="s">
        <v>628</v>
      </c>
      <c r="BB3" s="219" t="s">
        <v>631</v>
      </c>
      <c r="BC3" s="219" t="s">
        <v>634</v>
      </c>
      <c r="BD3" s="219" t="s">
        <v>637</v>
      </c>
      <c r="BE3" s="219" t="s">
        <v>879</v>
      </c>
      <c r="BF3" s="219" t="s">
        <v>880</v>
      </c>
      <c r="BG3" s="219" t="s">
        <v>1367</v>
      </c>
      <c r="BH3" s="219" t="s">
        <v>882</v>
      </c>
      <c r="BI3" s="219" t="s">
        <v>649</v>
      </c>
      <c r="BJ3" s="219" t="s">
        <v>652</v>
      </c>
      <c r="BK3" s="219" t="s">
        <v>488</v>
      </c>
      <c r="BL3" s="219" t="s">
        <v>657</v>
      </c>
      <c r="BM3" s="219" t="s">
        <v>660</v>
      </c>
      <c r="BN3" s="219" t="s">
        <v>883</v>
      </c>
      <c r="BO3" s="219" t="s">
        <v>884</v>
      </c>
      <c r="BP3" s="219" t="s">
        <v>1368</v>
      </c>
      <c r="BQ3" s="219" t="s">
        <v>886</v>
      </c>
      <c r="BR3" s="219" t="s">
        <v>668</v>
      </c>
      <c r="BS3" s="219" t="s">
        <v>670</v>
      </c>
      <c r="BT3" s="219" t="s">
        <v>672</v>
      </c>
      <c r="BU3" s="219" t="s">
        <v>890</v>
      </c>
      <c r="BV3" s="219" t="s">
        <v>678</v>
      </c>
      <c r="BW3" s="219" t="s">
        <v>681</v>
      </c>
      <c r="BX3" s="219" t="s">
        <v>684</v>
      </c>
      <c r="BY3" s="219" t="s">
        <v>891</v>
      </c>
      <c r="BZ3" s="219" t="s">
        <v>688</v>
      </c>
      <c r="CA3" s="219" t="s">
        <v>691</v>
      </c>
      <c r="CB3" s="219" t="s">
        <v>694</v>
      </c>
      <c r="CC3" s="219" t="s">
        <v>697</v>
      </c>
      <c r="CD3" s="219" t="s">
        <v>892</v>
      </c>
      <c r="CE3" s="219" t="s">
        <v>893</v>
      </c>
      <c r="CF3" s="219" t="s">
        <v>1369</v>
      </c>
      <c r="CG3" s="219" t="s">
        <v>895</v>
      </c>
      <c r="CH3" s="219" t="s">
        <v>1370</v>
      </c>
      <c r="CI3" s="219" t="s">
        <v>1371</v>
      </c>
      <c r="CJ3" s="219" t="s">
        <v>886</v>
      </c>
    </row>
    <row r="4" spans="1:93" ht="13.8">
      <c r="A4" s="252" t="s">
        <v>1377</v>
      </c>
      <c r="B4" s="288">
        <v>3373</v>
      </c>
      <c r="C4" s="288" t="s">
        <v>703</v>
      </c>
      <c r="D4" s="248" t="s">
        <v>704</v>
      </c>
      <c r="E4" s="380" t="str">
        <f t="shared" ref="E4:E35" si="0">_xlfn.CONCAT("30",IF(D4="Primary","EP",IF(D4="Nursery","EN","ES")),B4)</f>
        <v>30EP3373</v>
      </c>
      <c r="F4" s="299">
        <v>626018.52</v>
      </c>
      <c r="G4" s="299">
        <v>0</v>
      </c>
      <c r="H4" s="299">
        <v>-403.84</v>
      </c>
      <c r="I4" s="299">
        <v>0</v>
      </c>
      <c r="J4" s="299">
        <v>16615</v>
      </c>
      <c r="K4" s="299">
        <v>37510</v>
      </c>
      <c r="L4" s="299">
        <v>0</v>
      </c>
      <c r="M4" s="299">
        <v>0</v>
      </c>
      <c r="N4" s="299">
        <v>18505.23</v>
      </c>
      <c r="O4" s="299">
        <v>19779.55</v>
      </c>
      <c r="P4" s="299">
        <v>0</v>
      </c>
      <c r="Q4" s="299">
        <v>0</v>
      </c>
      <c r="R4" s="299">
        <v>8890.4599999999991</v>
      </c>
      <c r="S4" s="299">
        <v>0</v>
      </c>
      <c r="T4" s="299">
        <v>0</v>
      </c>
      <c r="U4" s="299">
        <v>0</v>
      </c>
      <c r="V4" s="299">
        <v>0</v>
      </c>
      <c r="W4" s="299">
        <v>0</v>
      </c>
      <c r="X4" s="299">
        <v>0</v>
      </c>
      <c r="Y4" s="299">
        <f>SUBTOTAL(9,F4:X4)</f>
        <v>726914.92</v>
      </c>
      <c r="Z4" s="299">
        <v>404074.53</v>
      </c>
      <c r="AA4" s="299">
        <v>0</v>
      </c>
      <c r="AB4" s="299">
        <v>129505.95</v>
      </c>
      <c r="AC4" s="299">
        <v>3925.97</v>
      </c>
      <c r="AD4" s="299">
        <v>31789.42</v>
      </c>
      <c r="AE4" s="299">
        <v>26713.29</v>
      </c>
      <c r="AF4" s="299">
        <v>0</v>
      </c>
      <c r="AG4" s="299">
        <v>850.9</v>
      </c>
      <c r="AH4" s="299">
        <v>666.7</v>
      </c>
      <c r="AI4" s="299">
        <v>1328</v>
      </c>
      <c r="AJ4" s="299">
        <v>0</v>
      </c>
      <c r="AK4" s="299">
        <v>7048.33</v>
      </c>
      <c r="AL4" s="299">
        <v>2790</v>
      </c>
      <c r="AM4" s="299">
        <v>18662.509999999998</v>
      </c>
      <c r="AN4" s="299">
        <v>1228.44</v>
      </c>
      <c r="AO4" s="299">
        <v>14036.07</v>
      </c>
      <c r="AP4" s="299">
        <v>2694.6</v>
      </c>
      <c r="AQ4" s="299">
        <v>4760.0600000000004</v>
      </c>
      <c r="AR4" s="299">
        <v>19003.53</v>
      </c>
      <c r="AS4" s="299">
        <v>30204.489999999998</v>
      </c>
      <c r="AT4" s="299">
        <v>0</v>
      </c>
      <c r="AU4" s="299">
        <v>6213.96</v>
      </c>
      <c r="AV4" s="299">
        <v>3078.36</v>
      </c>
      <c r="AW4" s="299">
        <v>7244.4</v>
      </c>
      <c r="AX4" s="299">
        <v>18910.259999999998</v>
      </c>
      <c r="AY4" s="299">
        <v>0</v>
      </c>
      <c r="AZ4" s="299">
        <v>8401</v>
      </c>
      <c r="BA4" s="299">
        <v>10625.33</v>
      </c>
      <c r="BB4" s="299">
        <v>0</v>
      </c>
      <c r="BC4" s="299">
        <v>0</v>
      </c>
      <c r="BD4" s="299">
        <v>0</v>
      </c>
      <c r="BE4" s="299">
        <f>SUBTOTAL(9,Z4:BD4)</f>
        <v>753756.09999999986</v>
      </c>
      <c r="BF4" s="299">
        <f>Y4-BE4</f>
        <v>-26841.179999999818</v>
      </c>
      <c r="BG4" s="299">
        <v>39157.279999999897</v>
      </c>
      <c r="BH4" s="299">
        <f>BG4+BF4</f>
        <v>12316.100000000079</v>
      </c>
      <c r="BI4" s="299">
        <v>0</v>
      </c>
      <c r="BJ4" s="299">
        <v>0</v>
      </c>
      <c r="BK4" s="299">
        <f>SUBTOTAL(9,BI4:BJ4)</f>
        <v>0</v>
      </c>
      <c r="BL4" s="299">
        <v>0</v>
      </c>
      <c r="BM4" s="299">
        <v>0</v>
      </c>
      <c r="BN4" s="299">
        <f>SUBTOTAL(9,BL4:BM4)</f>
        <v>0</v>
      </c>
      <c r="BO4" s="299">
        <f>BK4-BN4</f>
        <v>0</v>
      </c>
      <c r="BP4" s="299">
        <v>0</v>
      </c>
      <c r="BQ4" s="299">
        <f>SUBTOTAL(9,BO4:BP4)</f>
        <v>0</v>
      </c>
      <c r="BR4" s="299">
        <v>6000</v>
      </c>
      <c r="BS4" s="299">
        <v>6316.1000000000786</v>
      </c>
      <c r="BT4" s="299">
        <v>0</v>
      </c>
      <c r="BU4" s="299">
        <f>BQ4+BH4</f>
        <v>12316.100000000079</v>
      </c>
      <c r="BV4" s="299">
        <v>0</v>
      </c>
      <c r="BW4" s="299">
        <v>0</v>
      </c>
      <c r="BX4" s="299">
        <v>0</v>
      </c>
      <c r="BY4" s="299">
        <f>SUBTOTAL(9,BV4:BX4)</f>
        <v>0</v>
      </c>
      <c r="BZ4" s="299">
        <v>0</v>
      </c>
      <c r="CA4" s="299">
        <v>0</v>
      </c>
      <c r="CB4" s="299">
        <v>0</v>
      </c>
      <c r="CC4" s="299">
        <v>0</v>
      </c>
      <c r="CD4" s="299">
        <f>SUBTOTAL(9,BZ4:CC4)</f>
        <v>0</v>
      </c>
      <c r="CE4" s="299">
        <f>BY4-CD4</f>
        <v>0</v>
      </c>
      <c r="CF4" s="299">
        <v>0</v>
      </c>
      <c r="CG4" s="299">
        <f>CF4+CE4</f>
        <v>0</v>
      </c>
      <c r="CH4" s="299">
        <v>0</v>
      </c>
      <c r="CI4" s="299">
        <v>0</v>
      </c>
      <c r="CJ4" s="299">
        <f>SUM(CH4:CI4)</f>
        <v>0</v>
      </c>
      <c r="CK4" s="299"/>
    </row>
    <row r="5" spans="1:93" ht="13.8">
      <c r="A5" s="252" t="s">
        <v>1377</v>
      </c>
      <c r="B5" s="288">
        <v>3061</v>
      </c>
      <c r="C5" s="288" t="s">
        <v>705</v>
      </c>
      <c r="D5" s="248" t="s">
        <v>704</v>
      </c>
      <c r="E5" s="380" t="str">
        <f t="shared" si="0"/>
        <v>30EP3061</v>
      </c>
      <c r="F5" s="299">
        <v>1132733.58</v>
      </c>
      <c r="G5" s="299">
        <v>0</v>
      </c>
      <c r="H5" s="299">
        <v>103246.7</v>
      </c>
      <c r="I5" s="299">
        <v>0</v>
      </c>
      <c r="J5" s="299">
        <v>49145</v>
      </c>
      <c r="K5" s="299">
        <v>56371.86</v>
      </c>
      <c r="L5" s="299">
        <v>0</v>
      </c>
      <c r="M5" s="299">
        <v>0</v>
      </c>
      <c r="N5" s="299">
        <v>83203.3</v>
      </c>
      <c r="O5" s="299">
        <v>21142.880000000001</v>
      </c>
      <c r="P5" s="299">
        <v>5750</v>
      </c>
      <c r="Q5" s="299">
        <v>1050.92</v>
      </c>
      <c r="R5" s="299">
        <v>13175.5</v>
      </c>
      <c r="S5" s="299">
        <v>39789.94</v>
      </c>
      <c r="T5" s="299">
        <v>0</v>
      </c>
      <c r="U5" s="299">
        <v>0</v>
      </c>
      <c r="V5" s="299">
        <v>0</v>
      </c>
      <c r="W5" s="299">
        <v>0</v>
      </c>
      <c r="X5" s="299">
        <v>0</v>
      </c>
      <c r="Y5" s="299">
        <f t="shared" ref="Y5:Y68" si="1">SUBTOTAL(9,F5:X5)</f>
        <v>1505609.68</v>
      </c>
      <c r="Z5" s="299">
        <v>641943.05000000005</v>
      </c>
      <c r="AA5" s="299">
        <v>594.94000000000005</v>
      </c>
      <c r="AB5" s="299">
        <v>381437.58</v>
      </c>
      <c r="AC5" s="299">
        <v>38479.33</v>
      </c>
      <c r="AD5" s="299">
        <v>72437.22</v>
      </c>
      <c r="AE5" s="299">
        <v>0</v>
      </c>
      <c r="AF5" s="299">
        <v>62289.87</v>
      </c>
      <c r="AG5" s="299">
        <v>7553.87</v>
      </c>
      <c r="AH5" s="299">
        <v>3253.29</v>
      </c>
      <c r="AI5" s="299">
        <v>5225</v>
      </c>
      <c r="AJ5" s="299">
        <v>1720</v>
      </c>
      <c r="AK5" s="299">
        <v>14916.34</v>
      </c>
      <c r="AL5" s="299">
        <v>2477.88</v>
      </c>
      <c r="AM5" s="299">
        <v>3576.09</v>
      </c>
      <c r="AN5" s="299">
        <v>3023.93</v>
      </c>
      <c r="AO5" s="299">
        <v>18498.97</v>
      </c>
      <c r="AP5" s="299">
        <v>28860</v>
      </c>
      <c r="AQ5" s="299">
        <v>6616.38</v>
      </c>
      <c r="AR5" s="299">
        <v>67273.5</v>
      </c>
      <c r="AS5" s="299">
        <v>27679.64</v>
      </c>
      <c r="AT5" s="299">
        <v>0</v>
      </c>
      <c r="AU5" s="299">
        <v>8151.76</v>
      </c>
      <c r="AV5" s="299">
        <v>5835.97</v>
      </c>
      <c r="AW5" s="299">
        <v>13415.4</v>
      </c>
      <c r="AX5" s="299">
        <v>54191.61</v>
      </c>
      <c r="AY5" s="299">
        <v>13705</v>
      </c>
      <c r="AZ5" s="299">
        <v>1136.19</v>
      </c>
      <c r="BA5" s="299">
        <v>9827.08</v>
      </c>
      <c r="BB5" s="299">
        <v>0</v>
      </c>
      <c r="BC5" s="299">
        <v>0</v>
      </c>
      <c r="BD5" s="299">
        <v>0</v>
      </c>
      <c r="BE5" s="299">
        <f t="shared" ref="BE5:BE68" si="2">SUBTOTAL(9,Z5:BD5)</f>
        <v>1494119.8900000001</v>
      </c>
      <c r="BF5" s="299">
        <f t="shared" ref="BF5:BF68" si="3">Y5-BE5</f>
        <v>11489.789999999804</v>
      </c>
      <c r="BG5" s="299">
        <v>61084.52000000004</v>
      </c>
      <c r="BH5" s="299">
        <f t="shared" ref="BH5:BH68" si="4">BG5+BF5</f>
        <v>72574.309999999852</v>
      </c>
      <c r="BI5" s="299">
        <v>0</v>
      </c>
      <c r="BJ5" s="299">
        <v>0</v>
      </c>
      <c r="BK5" s="299">
        <f t="shared" ref="BK5:BK68" si="5">SUBTOTAL(9,BI5:BJ5)</f>
        <v>0</v>
      </c>
      <c r="BL5" s="299">
        <v>0</v>
      </c>
      <c r="BM5" s="299">
        <v>0</v>
      </c>
      <c r="BN5" s="299">
        <f t="shared" ref="BN5:BN68" si="6">SUBTOTAL(9,BL5:BM5)</f>
        <v>0</v>
      </c>
      <c r="BO5" s="299">
        <f t="shared" ref="BO5:BO68" si="7">BK5-BN5</f>
        <v>0</v>
      </c>
      <c r="BP5" s="299">
        <v>0</v>
      </c>
      <c r="BQ5" s="299">
        <f t="shared" ref="BQ5:BQ68" si="8">SUBTOTAL(9,BO5:BP5)</f>
        <v>0</v>
      </c>
      <c r="BR5" s="299">
        <v>5591.62</v>
      </c>
      <c r="BS5" s="299">
        <v>66982.689999999624</v>
      </c>
      <c r="BT5" s="299">
        <v>0</v>
      </c>
      <c r="BU5" s="299">
        <f t="shared" ref="BU5:BU68" si="9">BQ5+BH5</f>
        <v>72574.309999999852</v>
      </c>
      <c r="BV5" s="299">
        <v>6238.75</v>
      </c>
      <c r="BW5" s="299">
        <v>0</v>
      </c>
      <c r="BX5" s="299">
        <v>0</v>
      </c>
      <c r="BY5" s="299">
        <f t="shared" ref="BY5:BY68" si="10">SUBTOTAL(9,BV5:BX5)</f>
        <v>6238.75</v>
      </c>
      <c r="BZ5" s="299">
        <v>0</v>
      </c>
      <c r="CA5" s="299">
        <v>0</v>
      </c>
      <c r="CB5" s="299">
        <v>0</v>
      </c>
      <c r="CC5" s="299">
        <v>7378.15</v>
      </c>
      <c r="CD5" s="299">
        <f t="shared" ref="CD5:CD68" si="11">SUBTOTAL(9,BZ5:CC5)</f>
        <v>7378.15</v>
      </c>
      <c r="CE5" s="299">
        <f t="shared" ref="CE5:CE68" si="12">BY5-CD5</f>
        <v>-1139.3999999999996</v>
      </c>
      <c r="CF5" s="299">
        <v>1840.4700000000012</v>
      </c>
      <c r="CG5" s="299">
        <f t="shared" ref="CG5:CG68" si="13">CF5+CE5</f>
        <v>701.07000000000153</v>
      </c>
      <c r="CH5" s="299">
        <v>701.07000000000153</v>
      </c>
      <c r="CI5" s="299">
        <v>0</v>
      </c>
      <c r="CJ5" s="299">
        <f t="shared" ref="CJ5:CJ68" si="14">SUM(CH5:CI5)</f>
        <v>701.07000000000153</v>
      </c>
    </row>
    <row r="6" spans="1:93" ht="13.8">
      <c r="A6" s="252" t="s">
        <v>1377</v>
      </c>
      <c r="B6" s="288">
        <v>2083</v>
      </c>
      <c r="C6" s="288" t="s">
        <v>706</v>
      </c>
      <c r="D6" s="248" t="s">
        <v>704</v>
      </c>
      <c r="E6" s="380" t="str">
        <f t="shared" si="0"/>
        <v>30EP2083</v>
      </c>
      <c r="F6" s="299">
        <v>752772.26</v>
      </c>
      <c r="G6" s="299">
        <v>0</v>
      </c>
      <c r="H6" s="299">
        <v>87381.62</v>
      </c>
      <c r="I6" s="299">
        <v>0</v>
      </c>
      <c r="J6" s="299">
        <v>50453</v>
      </c>
      <c r="K6" s="299">
        <v>61432</v>
      </c>
      <c r="L6" s="299">
        <v>4985</v>
      </c>
      <c r="M6" s="299">
        <v>0</v>
      </c>
      <c r="N6" s="299">
        <v>3672.14</v>
      </c>
      <c r="O6" s="299">
        <v>3140.6</v>
      </c>
      <c r="P6" s="299">
        <v>3450</v>
      </c>
      <c r="Q6" s="299">
        <v>778.96</v>
      </c>
      <c r="R6" s="299">
        <v>7778.22</v>
      </c>
      <c r="S6" s="299">
        <v>848.3</v>
      </c>
      <c r="T6" s="299">
        <v>0</v>
      </c>
      <c r="U6" s="299">
        <v>0</v>
      </c>
      <c r="V6" s="299">
        <v>0</v>
      </c>
      <c r="W6" s="299">
        <v>0</v>
      </c>
      <c r="X6" s="299">
        <v>0</v>
      </c>
      <c r="Y6" s="299">
        <f t="shared" si="1"/>
        <v>976692.1</v>
      </c>
      <c r="Z6" s="299">
        <v>383148.82</v>
      </c>
      <c r="AA6" s="299">
        <v>10486.01</v>
      </c>
      <c r="AB6" s="299">
        <v>274763.46000000002</v>
      </c>
      <c r="AC6" s="299">
        <v>31204.27</v>
      </c>
      <c r="AD6" s="299">
        <v>46617.49</v>
      </c>
      <c r="AE6" s="299">
        <v>24203.77</v>
      </c>
      <c r="AF6" s="299">
        <v>2413.64</v>
      </c>
      <c r="AG6" s="299">
        <v>2784.9</v>
      </c>
      <c r="AH6" s="299">
        <v>4383.13</v>
      </c>
      <c r="AI6" s="299">
        <v>2725</v>
      </c>
      <c r="AJ6" s="299">
        <v>1338.75</v>
      </c>
      <c r="AK6" s="299">
        <v>5216.42</v>
      </c>
      <c r="AL6" s="299">
        <v>837.5</v>
      </c>
      <c r="AM6" s="299">
        <v>3901.25</v>
      </c>
      <c r="AN6" s="299">
        <v>5094.41</v>
      </c>
      <c r="AO6" s="299">
        <v>17751.63</v>
      </c>
      <c r="AP6" s="299">
        <v>13597.75</v>
      </c>
      <c r="AQ6" s="299">
        <v>3531.35</v>
      </c>
      <c r="AR6" s="299">
        <v>48847.48</v>
      </c>
      <c r="AS6" s="299">
        <v>22794.05</v>
      </c>
      <c r="AT6" s="299">
        <v>0</v>
      </c>
      <c r="AU6" s="299">
        <v>8376.27</v>
      </c>
      <c r="AV6" s="299">
        <v>3230.77</v>
      </c>
      <c r="AW6" s="299">
        <v>0</v>
      </c>
      <c r="AX6" s="299">
        <v>12331.06</v>
      </c>
      <c r="AY6" s="299">
        <v>0</v>
      </c>
      <c r="AZ6" s="299">
        <v>3194</v>
      </c>
      <c r="BA6" s="299">
        <v>12305.82</v>
      </c>
      <c r="BB6" s="299">
        <v>0</v>
      </c>
      <c r="BC6" s="299">
        <v>0</v>
      </c>
      <c r="BD6" s="299">
        <v>0</v>
      </c>
      <c r="BE6" s="299">
        <f t="shared" si="2"/>
        <v>945079.00000000023</v>
      </c>
      <c r="BF6" s="299">
        <f t="shared" si="3"/>
        <v>31613.099999999744</v>
      </c>
      <c r="BG6" s="299">
        <v>120628.11000000013</v>
      </c>
      <c r="BH6" s="299">
        <f t="shared" si="4"/>
        <v>152241.20999999988</v>
      </c>
      <c r="BI6" s="299">
        <v>0</v>
      </c>
      <c r="BJ6" s="299">
        <v>0</v>
      </c>
      <c r="BK6" s="299">
        <f t="shared" si="5"/>
        <v>0</v>
      </c>
      <c r="BL6" s="299">
        <v>0</v>
      </c>
      <c r="BM6" s="299">
        <v>0</v>
      </c>
      <c r="BN6" s="299">
        <f t="shared" si="6"/>
        <v>0</v>
      </c>
      <c r="BO6" s="299">
        <f t="shared" si="7"/>
        <v>0</v>
      </c>
      <c r="BP6" s="299">
        <v>0</v>
      </c>
      <c r="BQ6" s="299">
        <f t="shared" si="8"/>
        <v>0</v>
      </c>
      <c r="BR6" s="299">
        <v>34936.239999999998</v>
      </c>
      <c r="BS6" s="299">
        <v>117304.96999999997</v>
      </c>
      <c r="BT6" s="299">
        <v>0</v>
      </c>
      <c r="BU6" s="299">
        <f t="shared" si="9"/>
        <v>152241.20999999988</v>
      </c>
      <c r="BV6" s="299">
        <v>5215</v>
      </c>
      <c r="BW6" s="299">
        <v>0</v>
      </c>
      <c r="BX6" s="299">
        <v>0</v>
      </c>
      <c r="BY6" s="299">
        <f t="shared" si="10"/>
        <v>5215</v>
      </c>
      <c r="BZ6" s="299">
        <v>0</v>
      </c>
      <c r="CA6" s="299">
        <v>5610.59</v>
      </c>
      <c r="CB6" s="299">
        <v>0</v>
      </c>
      <c r="CC6" s="299">
        <v>3430.6</v>
      </c>
      <c r="CD6" s="299">
        <f t="shared" si="11"/>
        <v>9041.19</v>
      </c>
      <c r="CE6" s="299">
        <f t="shared" si="12"/>
        <v>-3826.1900000000005</v>
      </c>
      <c r="CF6" s="299">
        <v>13497.98</v>
      </c>
      <c r="CG6" s="299">
        <f t="shared" si="13"/>
        <v>9671.7899999999991</v>
      </c>
      <c r="CH6" s="299">
        <v>9671.7899999999991</v>
      </c>
      <c r="CI6" s="299">
        <v>0</v>
      </c>
      <c r="CJ6" s="299">
        <f t="shared" si="14"/>
        <v>9671.7899999999991</v>
      </c>
    </row>
    <row r="7" spans="1:93" ht="13.8">
      <c r="A7" s="252" t="s">
        <v>1377</v>
      </c>
      <c r="B7" s="288">
        <v>2118</v>
      </c>
      <c r="C7" s="288" t="s">
        <v>707</v>
      </c>
      <c r="D7" s="248" t="s">
        <v>704</v>
      </c>
      <c r="E7" s="380" t="str">
        <f t="shared" si="0"/>
        <v>30EP2118</v>
      </c>
      <c r="F7" s="299">
        <v>2201078.96</v>
      </c>
      <c r="G7" s="299">
        <v>0</v>
      </c>
      <c r="H7" s="299">
        <v>60067.1</v>
      </c>
      <c r="I7" s="299">
        <v>0</v>
      </c>
      <c r="J7" s="299">
        <v>249350</v>
      </c>
      <c r="K7" s="299">
        <v>53165.93</v>
      </c>
      <c r="L7" s="299">
        <v>0</v>
      </c>
      <c r="M7" s="299">
        <v>0</v>
      </c>
      <c r="N7" s="299">
        <v>92989.119999999995</v>
      </c>
      <c r="O7" s="299">
        <v>38778.75</v>
      </c>
      <c r="P7" s="299">
        <v>2250</v>
      </c>
      <c r="Q7" s="299">
        <v>3499.08</v>
      </c>
      <c r="R7" s="299">
        <v>11314.11</v>
      </c>
      <c r="S7" s="299">
        <v>21497</v>
      </c>
      <c r="T7" s="299">
        <v>0</v>
      </c>
      <c r="U7" s="299">
        <v>0</v>
      </c>
      <c r="V7" s="299">
        <v>0</v>
      </c>
      <c r="W7" s="299">
        <v>0</v>
      </c>
      <c r="X7" s="299">
        <v>0</v>
      </c>
      <c r="Y7" s="299">
        <f t="shared" si="1"/>
        <v>2733990.0500000003</v>
      </c>
      <c r="Z7" s="299">
        <v>1373655.79</v>
      </c>
      <c r="AA7" s="299">
        <v>0</v>
      </c>
      <c r="AB7" s="299">
        <v>428092.3</v>
      </c>
      <c r="AC7" s="299">
        <v>0</v>
      </c>
      <c r="AD7" s="299">
        <v>100278.65</v>
      </c>
      <c r="AE7" s="299">
        <v>0</v>
      </c>
      <c r="AF7" s="299">
        <v>51823.53</v>
      </c>
      <c r="AG7" s="299">
        <v>9363.9500000000007</v>
      </c>
      <c r="AH7" s="299">
        <v>2369</v>
      </c>
      <c r="AI7" s="299">
        <v>9375</v>
      </c>
      <c r="AJ7" s="299">
        <v>1783.75</v>
      </c>
      <c r="AK7" s="299">
        <v>39759.78</v>
      </c>
      <c r="AL7" s="299">
        <v>6942.57</v>
      </c>
      <c r="AM7" s="299">
        <v>49907.44</v>
      </c>
      <c r="AN7" s="299">
        <v>7158.82</v>
      </c>
      <c r="AO7" s="299">
        <v>26486.52</v>
      </c>
      <c r="AP7" s="299">
        <v>43290</v>
      </c>
      <c r="AQ7" s="299">
        <v>12384.66</v>
      </c>
      <c r="AR7" s="299">
        <v>60885.89</v>
      </c>
      <c r="AS7" s="299">
        <v>46684.15</v>
      </c>
      <c r="AT7" s="299">
        <v>0</v>
      </c>
      <c r="AU7" s="299">
        <v>9375.0400000000009</v>
      </c>
      <c r="AV7" s="299">
        <v>10015.629999999999</v>
      </c>
      <c r="AW7" s="299">
        <v>3825.35</v>
      </c>
      <c r="AX7" s="299">
        <v>142876.07</v>
      </c>
      <c r="AY7" s="299">
        <v>52693.98</v>
      </c>
      <c r="AZ7" s="299">
        <v>74324.53</v>
      </c>
      <c r="BA7" s="299">
        <v>17322.150000000001</v>
      </c>
      <c r="BB7" s="299">
        <v>0</v>
      </c>
      <c r="BC7" s="299">
        <v>0</v>
      </c>
      <c r="BD7" s="299">
        <v>53710.6</v>
      </c>
      <c r="BE7" s="299">
        <f t="shared" si="2"/>
        <v>2634385.15</v>
      </c>
      <c r="BF7" s="299">
        <f t="shared" si="3"/>
        <v>99604.900000000373</v>
      </c>
      <c r="BG7" s="299">
        <v>299812.85000000091</v>
      </c>
      <c r="BH7" s="299">
        <f t="shared" si="4"/>
        <v>399417.75000000128</v>
      </c>
      <c r="BI7" s="299">
        <v>0</v>
      </c>
      <c r="BJ7" s="299">
        <v>0</v>
      </c>
      <c r="BK7" s="299">
        <f t="shared" si="5"/>
        <v>0</v>
      </c>
      <c r="BL7" s="299">
        <v>0</v>
      </c>
      <c r="BM7" s="299">
        <v>0</v>
      </c>
      <c r="BN7" s="299">
        <f t="shared" si="6"/>
        <v>0</v>
      </c>
      <c r="BO7" s="299">
        <f t="shared" si="7"/>
        <v>0</v>
      </c>
      <c r="BP7" s="299">
        <v>0</v>
      </c>
      <c r="BQ7" s="299">
        <f t="shared" si="8"/>
        <v>0</v>
      </c>
      <c r="BR7" s="299">
        <v>67888</v>
      </c>
      <c r="BS7" s="299">
        <v>331529.75000000081</v>
      </c>
      <c r="BT7" s="299">
        <v>0</v>
      </c>
      <c r="BU7" s="299">
        <f t="shared" si="9"/>
        <v>399417.75000000128</v>
      </c>
      <c r="BV7" s="299">
        <v>8320</v>
      </c>
      <c r="BW7" s="299">
        <v>0</v>
      </c>
      <c r="BX7" s="299">
        <v>53710.6</v>
      </c>
      <c r="BY7" s="299">
        <f t="shared" si="10"/>
        <v>62030.6</v>
      </c>
      <c r="BZ7" s="299">
        <v>0</v>
      </c>
      <c r="CA7" s="299">
        <v>0</v>
      </c>
      <c r="CB7" s="299">
        <v>0</v>
      </c>
      <c r="CC7" s="299">
        <v>62113.729999999996</v>
      </c>
      <c r="CD7" s="299">
        <f t="shared" si="11"/>
        <v>62113.729999999996</v>
      </c>
      <c r="CE7" s="299">
        <f t="shared" si="12"/>
        <v>-83.129999999997381</v>
      </c>
      <c r="CF7" s="299">
        <v>83.1299999999992</v>
      </c>
      <c r="CG7" s="299">
        <f t="shared" si="13"/>
        <v>1.8189894035458565E-12</v>
      </c>
      <c r="CH7" s="299">
        <v>0</v>
      </c>
      <c r="CI7" s="299">
        <v>-7.2759576141834259E-12</v>
      </c>
      <c r="CJ7" s="299">
        <f t="shared" si="14"/>
        <v>-7.2759576141834259E-12</v>
      </c>
    </row>
    <row r="8" spans="1:93" ht="13.8">
      <c r="A8" s="252" t="s">
        <v>1377</v>
      </c>
      <c r="B8" s="288">
        <v>2217</v>
      </c>
      <c r="C8" s="288" t="s">
        <v>708</v>
      </c>
      <c r="D8" s="248" t="s">
        <v>704</v>
      </c>
      <c r="E8" s="380" t="str">
        <f t="shared" si="0"/>
        <v>30EP2217</v>
      </c>
      <c r="F8" s="299">
        <v>871367.79</v>
      </c>
      <c r="G8" s="299">
        <v>0</v>
      </c>
      <c r="H8" s="299">
        <v>95145.14</v>
      </c>
      <c r="I8" s="299">
        <v>0</v>
      </c>
      <c r="J8" s="299">
        <v>61715</v>
      </c>
      <c r="K8" s="299">
        <v>35647</v>
      </c>
      <c r="L8" s="299">
        <v>0</v>
      </c>
      <c r="M8" s="299">
        <v>2465.29</v>
      </c>
      <c r="N8" s="299">
        <v>12490.81</v>
      </c>
      <c r="O8" s="299">
        <v>8291.27</v>
      </c>
      <c r="P8" s="299">
        <v>2760</v>
      </c>
      <c r="Q8" s="299">
        <v>0</v>
      </c>
      <c r="R8" s="299">
        <v>16546.09</v>
      </c>
      <c r="S8" s="299">
        <v>12785.07</v>
      </c>
      <c r="T8" s="299">
        <v>0</v>
      </c>
      <c r="U8" s="299">
        <v>0</v>
      </c>
      <c r="V8" s="299">
        <v>0</v>
      </c>
      <c r="W8" s="299">
        <v>0</v>
      </c>
      <c r="X8" s="299">
        <v>0</v>
      </c>
      <c r="Y8" s="299">
        <f t="shared" si="1"/>
        <v>1119213.4600000004</v>
      </c>
      <c r="Z8" s="299">
        <v>537669.63</v>
      </c>
      <c r="AA8" s="299">
        <v>6646</v>
      </c>
      <c r="AB8" s="299">
        <v>258960.07</v>
      </c>
      <c r="AC8" s="299">
        <v>25537.759999999998</v>
      </c>
      <c r="AD8" s="299">
        <v>67882.399999999994</v>
      </c>
      <c r="AE8" s="299">
        <v>0</v>
      </c>
      <c r="AF8" s="299">
        <v>9718.52</v>
      </c>
      <c r="AG8" s="299">
        <v>4035.4</v>
      </c>
      <c r="AH8" s="299">
        <v>5180.8</v>
      </c>
      <c r="AI8" s="299">
        <v>3475</v>
      </c>
      <c r="AJ8" s="299">
        <v>0</v>
      </c>
      <c r="AK8" s="299">
        <v>2873.4</v>
      </c>
      <c r="AL8" s="299">
        <v>2082.5</v>
      </c>
      <c r="AM8" s="299">
        <v>2886.99</v>
      </c>
      <c r="AN8" s="299">
        <v>1266</v>
      </c>
      <c r="AO8" s="299">
        <v>17483.36</v>
      </c>
      <c r="AP8" s="299">
        <v>24950</v>
      </c>
      <c r="AQ8" s="299">
        <v>3317.85</v>
      </c>
      <c r="AR8" s="299">
        <v>35638.550000000003</v>
      </c>
      <c r="AS8" s="299">
        <v>31368.559999999998</v>
      </c>
      <c r="AT8" s="299">
        <v>0</v>
      </c>
      <c r="AU8" s="299">
        <v>9397.2800000000007</v>
      </c>
      <c r="AV8" s="299">
        <v>4089.82</v>
      </c>
      <c r="AW8" s="299">
        <v>2912.5</v>
      </c>
      <c r="AX8" s="299">
        <v>42678.76</v>
      </c>
      <c r="AY8" s="299">
        <v>0</v>
      </c>
      <c r="AZ8" s="299">
        <v>5713.8</v>
      </c>
      <c r="BA8" s="299">
        <v>9421.2199999999993</v>
      </c>
      <c r="BB8" s="299">
        <v>0</v>
      </c>
      <c r="BC8" s="299">
        <v>0</v>
      </c>
      <c r="BD8" s="299">
        <v>3041.52</v>
      </c>
      <c r="BE8" s="299">
        <f t="shared" si="2"/>
        <v>1118227.6900000002</v>
      </c>
      <c r="BF8" s="299">
        <f t="shared" si="3"/>
        <v>985.77000000025146</v>
      </c>
      <c r="BG8" s="299">
        <v>-9975.4900000000271</v>
      </c>
      <c r="BH8" s="299">
        <f t="shared" si="4"/>
        <v>-8989.7199999997756</v>
      </c>
      <c r="BI8" s="299">
        <v>0</v>
      </c>
      <c r="BJ8" s="299">
        <v>200</v>
      </c>
      <c r="BK8" s="299">
        <f t="shared" si="5"/>
        <v>200</v>
      </c>
      <c r="BL8" s="299">
        <v>0</v>
      </c>
      <c r="BM8" s="299">
        <v>2365.79</v>
      </c>
      <c r="BN8" s="299">
        <f t="shared" si="6"/>
        <v>2365.79</v>
      </c>
      <c r="BO8" s="299">
        <f t="shared" si="7"/>
        <v>-2165.79</v>
      </c>
      <c r="BP8" s="299">
        <v>6330.7000000000007</v>
      </c>
      <c r="BQ8" s="299">
        <f t="shared" si="8"/>
        <v>4164.9100000000008</v>
      </c>
      <c r="BR8" s="299">
        <v>3837</v>
      </c>
      <c r="BS8" s="299">
        <v>-12826.719999999776</v>
      </c>
      <c r="BT8" s="299">
        <v>4164.9100000000008</v>
      </c>
      <c r="BU8" s="299">
        <f t="shared" si="9"/>
        <v>-4824.8099999997748</v>
      </c>
      <c r="BV8" s="299">
        <v>5541.25</v>
      </c>
      <c r="BW8" s="299">
        <v>0</v>
      </c>
      <c r="BX8" s="299">
        <v>0</v>
      </c>
      <c r="BY8" s="299">
        <f t="shared" si="10"/>
        <v>5541.25</v>
      </c>
      <c r="BZ8" s="299">
        <v>0</v>
      </c>
      <c r="CA8" s="299">
        <v>12758.52</v>
      </c>
      <c r="CB8" s="299">
        <v>0</v>
      </c>
      <c r="CC8" s="299">
        <v>5163.12</v>
      </c>
      <c r="CD8" s="299">
        <f t="shared" si="11"/>
        <v>17921.64</v>
      </c>
      <c r="CE8" s="299">
        <f t="shared" si="12"/>
        <v>-12380.39</v>
      </c>
      <c r="CF8" s="299">
        <v>16003.76</v>
      </c>
      <c r="CG8" s="299">
        <f t="shared" si="13"/>
        <v>3623.3700000000008</v>
      </c>
      <c r="CH8" s="299">
        <v>2786.42</v>
      </c>
      <c r="CI8" s="299">
        <v>836.95</v>
      </c>
      <c r="CJ8" s="299">
        <f t="shared" si="14"/>
        <v>3623.37</v>
      </c>
    </row>
    <row r="9" spans="1:93" ht="13.8">
      <c r="A9" s="252" t="s">
        <v>1377</v>
      </c>
      <c r="B9" s="288">
        <v>3067</v>
      </c>
      <c r="C9" s="288" t="s">
        <v>709</v>
      </c>
      <c r="D9" s="248" t="s">
        <v>704</v>
      </c>
      <c r="E9" s="380" t="str">
        <f t="shared" si="0"/>
        <v>30EP3067</v>
      </c>
      <c r="F9" s="299">
        <v>814689.71</v>
      </c>
      <c r="G9" s="299">
        <v>0</v>
      </c>
      <c r="H9" s="299">
        <v>12347.55</v>
      </c>
      <c r="I9" s="299">
        <v>0</v>
      </c>
      <c r="J9" s="299">
        <v>23040</v>
      </c>
      <c r="K9" s="299">
        <v>49119</v>
      </c>
      <c r="L9" s="299">
        <v>0</v>
      </c>
      <c r="M9" s="299">
        <v>2937</v>
      </c>
      <c r="N9" s="299">
        <v>13261.53</v>
      </c>
      <c r="O9" s="299">
        <v>32861.19</v>
      </c>
      <c r="P9" s="299">
        <v>0</v>
      </c>
      <c r="Q9" s="299">
        <v>0</v>
      </c>
      <c r="R9" s="299">
        <v>16384.22</v>
      </c>
      <c r="S9" s="299">
        <v>10412.209999999999</v>
      </c>
      <c r="T9" s="299">
        <v>0</v>
      </c>
      <c r="U9" s="299">
        <v>0</v>
      </c>
      <c r="V9" s="299">
        <v>0</v>
      </c>
      <c r="W9" s="299">
        <v>0</v>
      </c>
      <c r="X9" s="299">
        <v>0</v>
      </c>
      <c r="Y9" s="299">
        <f t="shared" si="1"/>
        <v>975052.40999999992</v>
      </c>
      <c r="Z9" s="299">
        <v>508704.3</v>
      </c>
      <c r="AA9" s="299">
        <v>11452.15</v>
      </c>
      <c r="AB9" s="299">
        <v>143644.91</v>
      </c>
      <c r="AC9" s="299">
        <v>9570.6</v>
      </c>
      <c r="AD9" s="299">
        <v>59974.83</v>
      </c>
      <c r="AE9" s="299">
        <v>45563.92</v>
      </c>
      <c r="AF9" s="299">
        <v>15547.67</v>
      </c>
      <c r="AG9" s="299">
        <v>3369.3</v>
      </c>
      <c r="AH9" s="299">
        <v>3316.8</v>
      </c>
      <c r="AI9" s="299">
        <v>3625</v>
      </c>
      <c r="AJ9" s="299">
        <v>932.5</v>
      </c>
      <c r="AK9" s="299">
        <v>19629.63</v>
      </c>
      <c r="AL9" s="299">
        <v>3150</v>
      </c>
      <c r="AM9" s="299">
        <v>12407.3</v>
      </c>
      <c r="AN9" s="299">
        <v>4860.8</v>
      </c>
      <c r="AO9" s="299">
        <v>15203.37</v>
      </c>
      <c r="AP9" s="299">
        <v>15718.5</v>
      </c>
      <c r="AQ9" s="299">
        <v>6012.86</v>
      </c>
      <c r="AR9" s="299">
        <v>36408.47</v>
      </c>
      <c r="AS9" s="299">
        <v>33532.22</v>
      </c>
      <c r="AT9" s="299">
        <v>0</v>
      </c>
      <c r="AU9" s="299">
        <v>4461.46</v>
      </c>
      <c r="AV9" s="299">
        <v>4346.7</v>
      </c>
      <c r="AW9" s="299">
        <v>3268.18</v>
      </c>
      <c r="AX9" s="299">
        <v>32296.05</v>
      </c>
      <c r="AY9" s="299">
        <v>0</v>
      </c>
      <c r="AZ9" s="299">
        <v>0</v>
      </c>
      <c r="BA9" s="299">
        <v>12150.56</v>
      </c>
      <c r="BB9" s="299">
        <v>0</v>
      </c>
      <c r="BC9" s="299">
        <v>0</v>
      </c>
      <c r="BD9" s="299">
        <v>0</v>
      </c>
      <c r="BE9" s="299">
        <f t="shared" si="2"/>
        <v>1009148.0800000002</v>
      </c>
      <c r="BF9" s="299">
        <f t="shared" si="3"/>
        <v>-34095.670000000275</v>
      </c>
      <c r="BG9" s="299">
        <v>125131.43000000008</v>
      </c>
      <c r="BH9" s="299">
        <f t="shared" si="4"/>
        <v>91035.759999999806</v>
      </c>
      <c r="BI9" s="299">
        <v>0</v>
      </c>
      <c r="BJ9" s="299">
        <v>0</v>
      </c>
      <c r="BK9" s="299">
        <f t="shared" si="5"/>
        <v>0</v>
      </c>
      <c r="BL9" s="299">
        <v>0</v>
      </c>
      <c r="BM9" s="299">
        <v>0</v>
      </c>
      <c r="BN9" s="299">
        <f t="shared" si="6"/>
        <v>0</v>
      </c>
      <c r="BO9" s="299">
        <f t="shared" si="7"/>
        <v>0</v>
      </c>
      <c r="BP9" s="299">
        <v>0</v>
      </c>
      <c r="BQ9" s="299">
        <f t="shared" si="8"/>
        <v>0</v>
      </c>
      <c r="BR9" s="299">
        <v>15500</v>
      </c>
      <c r="BS9" s="299">
        <v>75535.759999999806</v>
      </c>
      <c r="BT9" s="299">
        <v>0</v>
      </c>
      <c r="BU9" s="299">
        <f t="shared" si="9"/>
        <v>91035.759999999806</v>
      </c>
      <c r="BV9" s="299">
        <v>5597.5</v>
      </c>
      <c r="BW9" s="299">
        <v>7199.8</v>
      </c>
      <c r="BX9" s="299">
        <v>0</v>
      </c>
      <c r="BY9" s="299">
        <f t="shared" si="10"/>
        <v>12797.3</v>
      </c>
      <c r="BZ9" s="299">
        <v>0</v>
      </c>
      <c r="CA9" s="299">
        <v>5900</v>
      </c>
      <c r="CB9" s="299">
        <v>0</v>
      </c>
      <c r="CC9" s="299">
        <v>3199.8</v>
      </c>
      <c r="CD9" s="299">
        <f t="shared" si="11"/>
        <v>9099.7999999999993</v>
      </c>
      <c r="CE9" s="299">
        <f t="shared" si="12"/>
        <v>3697.5</v>
      </c>
      <c r="CF9" s="299">
        <v>51.670000000000528</v>
      </c>
      <c r="CG9" s="299">
        <f t="shared" si="13"/>
        <v>3749.1700000000005</v>
      </c>
      <c r="CH9" s="299">
        <v>3749.1700000000005</v>
      </c>
      <c r="CI9" s="299">
        <v>0</v>
      </c>
      <c r="CJ9" s="299">
        <f t="shared" si="14"/>
        <v>3749.1700000000005</v>
      </c>
    </row>
    <row r="10" spans="1:93" ht="13.8">
      <c r="A10" s="252" t="s">
        <v>1377</v>
      </c>
      <c r="B10" s="289">
        <v>3001</v>
      </c>
      <c r="C10" s="289" t="s">
        <v>710</v>
      </c>
      <c r="D10" s="248" t="s">
        <v>704</v>
      </c>
      <c r="E10" s="380" t="str">
        <f t="shared" si="0"/>
        <v>30EP3001</v>
      </c>
      <c r="F10" s="299">
        <v>953338.65</v>
      </c>
      <c r="G10" s="299">
        <v>0</v>
      </c>
      <c r="H10" s="299">
        <v>92438.29</v>
      </c>
      <c r="I10" s="299">
        <v>0</v>
      </c>
      <c r="J10" s="299">
        <v>33330</v>
      </c>
      <c r="K10" s="299">
        <v>45357</v>
      </c>
      <c r="L10" s="299">
        <v>0</v>
      </c>
      <c r="M10" s="299">
        <v>415</v>
      </c>
      <c r="N10" s="299">
        <v>48948.26</v>
      </c>
      <c r="O10" s="299">
        <v>23653.15</v>
      </c>
      <c r="P10" s="299">
        <v>10120</v>
      </c>
      <c r="Q10" s="299">
        <v>0</v>
      </c>
      <c r="R10" s="299">
        <v>14202.5</v>
      </c>
      <c r="S10" s="299">
        <v>11314.17</v>
      </c>
      <c r="T10" s="299">
        <v>0</v>
      </c>
      <c r="U10" s="299">
        <v>0</v>
      </c>
      <c r="V10" s="299">
        <v>0</v>
      </c>
      <c r="W10" s="299">
        <v>0</v>
      </c>
      <c r="X10" s="299">
        <v>0</v>
      </c>
      <c r="Y10" s="299">
        <f t="shared" si="1"/>
        <v>1233117.0199999998</v>
      </c>
      <c r="Z10" s="299">
        <v>612263.11</v>
      </c>
      <c r="AA10" s="299">
        <v>7121.28</v>
      </c>
      <c r="AB10" s="299">
        <v>263691.61</v>
      </c>
      <c r="AC10" s="299">
        <v>26815.16</v>
      </c>
      <c r="AD10" s="299">
        <v>45668</v>
      </c>
      <c r="AE10" s="299">
        <v>0</v>
      </c>
      <c r="AF10" s="299">
        <v>74531.25</v>
      </c>
      <c r="AG10" s="299">
        <v>4872.76</v>
      </c>
      <c r="AH10" s="299">
        <v>8325.66</v>
      </c>
      <c r="AI10" s="299">
        <v>4025</v>
      </c>
      <c r="AJ10" s="299">
        <v>0</v>
      </c>
      <c r="AK10" s="299">
        <v>17578.97</v>
      </c>
      <c r="AL10" s="299">
        <v>2100</v>
      </c>
      <c r="AM10" s="299">
        <v>2917.96</v>
      </c>
      <c r="AN10" s="299">
        <v>2536.31</v>
      </c>
      <c r="AO10" s="299">
        <v>17263.21</v>
      </c>
      <c r="AP10" s="299">
        <v>21082.75</v>
      </c>
      <c r="AQ10" s="299">
        <v>1708.98</v>
      </c>
      <c r="AR10" s="299">
        <v>59454.26</v>
      </c>
      <c r="AS10" s="299">
        <v>28383.089999999997</v>
      </c>
      <c r="AT10" s="299">
        <v>0</v>
      </c>
      <c r="AU10" s="299">
        <v>6217.54</v>
      </c>
      <c r="AV10" s="299">
        <v>4940.88</v>
      </c>
      <c r="AW10" s="299">
        <v>1204.47</v>
      </c>
      <c r="AX10" s="299">
        <v>59344.15</v>
      </c>
      <c r="AY10" s="299">
        <v>10675</v>
      </c>
      <c r="AZ10" s="299">
        <v>0</v>
      </c>
      <c r="BA10" s="299">
        <v>18291.84</v>
      </c>
      <c r="BB10" s="299">
        <v>0</v>
      </c>
      <c r="BC10" s="299">
        <v>0</v>
      </c>
      <c r="BD10" s="299">
        <v>0</v>
      </c>
      <c r="BE10" s="299">
        <f t="shared" si="2"/>
        <v>1301013.24</v>
      </c>
      <c r="BF10" s="299">
        <f t="shared" si="3"/>
        <v>-67896.220000000205</v>
      </c>
      <c r="BG10" s="299">
        <v>-16095.159999999363</v>
      </c>
      <c r="BH10" s="299">
        <f t="shared" si="4"/>
        <v>-83991.379999999568</v>
      </c>
      <c r="BI10" s="299">
        <v>0</v>
      </c>
      <c r="BJ10" s="299">
        <v>0</v>
      </c>
      <c r="BK10" s="299">
        <f t="shared" si="5"/>
        <v>0</v>
      </c>
      <c r="BL10" s="299">
        <v>0</v>
      </c>
      <c r="BM10" s="299">
        <v>0</v>
      </c>
      <c r="BN10" s="299">
        <f t="shared" si="6"/>
        <v>0</v>
      </c>
      <c r="BO10" s="299">
        <f t="shared" si="7"/>
        <v>0</v>
      </c>
      <c r="BP10" s="299">
        <v>0</v>
      </c>
      <c r="BQ10" s="299">
        <f t="shared" si="8"/>
        <v>0</v>
      </c>
      <c r="BR10" s="299">
        <v>258</v>
      </c>
      <c r="BS10" s="299">
        <v>-84249.379999999335</v>
      </c>
      <c r="BT10" s="299">
        <v>0</v>
      </c>
      <c r="BU10" s="299">
        <f t="shared" si="9"/>
        <v>-83991.379999999568</v>
      </c>
      <c r="BV10" s="299">
        <v>5766.25</v>
      </c>
      <c r="BW10" s="299">
        <v>0</v>
      </c>
      <c r="BX10" s="299">
        <v>0</v>
      </c>
      <c r="BY10" s="299">
        <f t="shared" si="10"/>
        <v>5766.25</v>
      </c>
      <c r="BZ10" s="299">
        <v>0</v>
      </c>
      <c r="CA10" s="299">
        <v>5833.5</v>
      </c>
      <c r="CB10" s="299">
        <v>0</v>
      </c>
      <c r="CC10" s="299">
        <v>3796.04</v>
      </c>
      <c r="CD10" s="299">
        <f t="shared" si="11"/>
        <v>9629.5400000000009</v>
      </c>
      <c r="CE10" s="299">
        <f t="shared" si="12"/>
        <v>-3863.2900000000009</v>
      </c>
      <c r="CF10" s="299">
        <v>8760.2200000000012</v>
      </c>
      <c r="CG10" s="299">
        <f t="shared" si="13"/>
        <v>4896.93</v>
      </c>
      <c r="CH10" s="299">
        <v>4896.93</v>
      </c>
      <c r="CI10" s="299">
        <v>0</v>
      </c>
      <c r="CJ10" s="299">
        <f t="shared" si="14"/>
        <v>4896.93</v>
      </c>
    </row>
    <row r="11" spans="1:93" ht="13.8">
      <c r="A11" s="252" t="s">
        <v>1377</v>
      </c>
      <c r="B11" s="288">
        <v>3301</v>
      </c>
      <c r="C11" s="288" t="s">
        <v>711</v>
      </c>
      <c r="D11" s="248" t="s">
        <v>704</v>
      </c>
      <c r="E11" s="380" t="str">
        <f t="shared" si="0"/>
        <v>30EP3301</v>
      </c>
      <c r="F11" s="299">
        <v>700430.73</v>
      </c>
      <c r="G11" s="299">
        <v>0</v>
      </c>
      <c r="H11" s="299">
        <v>20509.52</v>
      </c>
      <c r="I11" s="299">
        <v>0</v>
      </c>
      <c r="J11" s="299">
        <v>12120</v>
      </c>
      <c r="K11" s="299">
        <v>39752.400000000001</v>
      </c>
      <c r="L11" s="299">
        <v>480</v>
      </c>
      <c r="M11" s="299">
        <v>1298.5</v>
      </c>
      <c r="N11" s="299">
        <v>10968.81</v>
      </c>
      <c r="O11" s="299">
        <v>17618.55</v>
      </c>
      <c r="P11" s="299">
        <v>0</v>
      </c>
      <c r="Q11" s="299">
        <v>1941.98</v>
      </c>
      <c r="R11" s="299">
        <v>29517.18</v>
      </c>
      <c r="S11" s="299">
        <v>63807.05</v>
      </c>
      <c r="T11" s="299">
        <v>0</v>
      </c>
      <c r="U11" s="299">
        <v>0</v>
      </c>
      <c r="V11" s="299">
        <v>0</v>
      </c>
      <c r="W11" s="299">
        <v>0</v>
      </c>
      <c r="X11" s="299">
        <v>0</v>
      </c>
      <c r="Y11" s="299">
        <f t="shared" si="1"/>
        <v>898444.7200000002</v>
      </c>
      <c r="Z11" s="299">
        <v>429580.25</v>
      </c>
      <c r="AA11" s="299">
        <v>7978.99</v>
      </c>
      <c r="AB11" s="299">
        <v>132624.51</v>
      </c>
      <c r="AC11" s="299">
        <v>22638.45</v>
      </c>
      <c r="AD11" s="299">
        <v>63142.879999999997</v>
      </c>
      <c r="AE11" s="299">
        <v>25330.89</v>
      </c>
      <c r="AF11" s="299">
        <v>1788.52</v>
      </c>
      <c r="AG11" s="299">
        <v>238.5</v>
      </c>
      <c r="AH11" s="299">
        <v>12622.98</v>
      </c>
      <c r="AI11" s="299">
        <v>3025</v>
      </c>
      <c r="AJ11" s="299">
        <v>231.25</v>
      </c>
      <c r="AK11" s="299">
        <v>11955.84</v>
      </c>
      <c r="AL11" s="299">
        <v>2832</v>
      </c>
      <c r="AM11" s="299">
        <v>1587.95</v>
      </c>
      <c r="AN11" s="299">
        <v>2129.5</v>
      </c>
      <c r="AO11" s="299">
        <v>10541.39</v>
      </c>
      <c r="AP11" s="299">
        <v>2719.55</v>
      </c>
      <c r="AQ11" s="299">
        <v>4527.42</v>
      </c>
      <c r="AR11" s="299">
        <v>35848.81</v>
      </c>
      <c r="AS11" s="299">
        <v>25632.93</v>
      </c>
      <c r="AT11" s="299">
        <v>0</v>
      </c>
      <c r="AU11" s="299">
        <v>4274.9799999999996</v>
      </c>
      <c r="AV11" s="299">
        <v>3737.06</v>
      </c>
      <c r="AW11" s="299">
        <v>856.9</v>
      </c>
      <c r="AX11" s="299">
        <v>18495.89</v>
      </c>
      <c r="AY11" s="299">
        <v>2117.8000000000002</v>
      </c>
      <c r="AZ11" s="299">
        <v>12335.91</v>
      </c>
      <c r="BA11" s="299">
        <v>9596.5400000000009</v>
      </c>
      <c r="BB11" s="299">
        <v>0</v>
      </c>
      <c r="BC11" s="299">
        <v>0</v>
      </c>
      <c r="BD11" s="299">
        <v>10469.44</v>
      </c>
      <c r="BE11" s="299">
        <f t="shared" si="2"/>
        <v>858862.13000000012</v>
      </c>
      <c r="BF11" s="299">
        <f t="shared" si="3"/>
        <v>39582.590000000084</v>
      </c>
      <c r="BG11" s="299">
        <v>62089.769999999706</v>
      </c>
      <c r="BH11" s="299">
        <f t="shared" si="4"/>
        <v>101672.35999999978</v>
      </c>
      <c r="BI11" s="299">
        <v>0</v>
      </c>
      <c r="BJ11" s="299">
        <v>0</v>
      </c>
      <c r="BK11" s="299">
        <f t="shared" si="5"/>
        <v>0</v>
      </c>
      <c r="BL11" s="299">
        <v>0</v>
      </c>
      <c r="BM11" s="299">
        <v>0</v>
      </c>
      <c r="BN11" s="299">
        <f t="shared" si="6"/>
        <v>0</v>
      </c>
      <c r="BO11" s="299">
        <f t="shared" si="7"/>
        <v>0</v>
      </c>
      <c r="BP11" s="299">
        <v>0</v>
      </c>
      <c r="BQ11" s="299">
        <f t="shared" si="8"/>
        <v>0</v>
      </c>
      <c r="BR11" s="299">
        <v>0</v>
      </c>
      <c r="BS11" s="299">
        <v>101672.35999999978</v>
      </c>
      <c r="BT11" s="299">
        <v>0</v>
      </c>
      <c r="BU11" s="299">
        <f t="shared" si="9"/>
        <v>101672.35999999978</v>
      </c>
      <c r="BV11" s="299">
        <v>0</v>
      </c>
      <c r="BW11" s="299">
        <v>0</v>
      </c>
      <c r="BX11" s="299">
        <v>0</v>
      </c>
      <c r="BY11" s="299">
        <f t="shared" si="10"/>
        <v>0</v>
      </c>
      <c r="BZ11" s="299">
        <v>0</v>
      </c>
      <c r="CA11" s="299">
        <v>0</v>
      </c>
      <c r="CB11" s="299">
        <v>0</v>
      </c>
      <c r="CC11" s="299">
        <v>0</v>
      </c>
      <c r="CD11" s="299">
        <f t="shared" si="11"/>
        <v>0</v>
      </c>
      <c r="CE11" s="299">
        <f t="shared" si="12"/>
        <v>0</v>
      </c>
      <c r="CF11" s="299">
        <v>0</v>
      </c>
      <c r="CG11" s="299">
        <f t="shared" si="13"/>
        <v>0</v>
      </c>
      <c r="CH11" s="299">
        <v>0</v>
      </c>
      <c r="CI11" s="299">
        <v>0</v>
      </c>
      <c r="CJ11" s="299">
        <f t="shared" si="14"/>
        <v>0</v>
      </c>
    </row>
    <row r="12" spans="1:93" ht="13.8">
      <c r="A12" s="252" t="s">
        <v>1377</v>
      </c>
      <c r="B12" s="288">
        <v>2002</v>
      </c>
      <c r="C12" s="288" t="s">
        <v>712</v>
      </c>
      <c r="D12" s="248" t="s">
        <v>704</v>
      </c>
      <c r="E12" s="380" t="str">
        <f t="shared" si="0"/>
        <v>30EP2002</v>
      </c>
      <c r="F12" s="299">
        <v>1871351.8</v>
      </c>
      <c r="G12" s="299">
        <v>0</v>
      </c>
      <c r="H12" s="299">
        <v>112077.3</v>
      </c>
      <c r="I12" s="299">
        <v>0</v>
      </c>
      <c r="J12" s="299">
        <v>133388</v>
      </c>
      <c r="K12" s="299">
        <v>111020.33</v>
      </c>
      <c r="L12" s="299">
        <v>0</v>
      </c>
      <c r="M12" s="299">
        <v>17956.75</v>
      </c>
      <c r="N12" s="299">
        <v>8205.39</v>
      </c>
      <c r="O12" s="299">
        <v>34384.89</v>
      </c>
      <c r="P12" s="299">
        <v>10810</v>
      </c>
      <c r="Q12" s="299">
        <v>224.64</v>
      </c>
      <c r="R12" s="299">
        <v>37434.129999999997</v>
      </c>
      <c r="S12" s="299">
        <v>0</v>
      </c>
      <c r="T12" s="299">
        <v>0</v>
      </c>
      <c r="U12" s="299">
        <v>0</v>
      </c>
      <c r="V12" s="299">
        <v>0</v>
      </c>
      <c r="W12" s="299">
        <v>0</v>
      </c>
      <c r="X12" s="299">
        <v>0</v>
      </c>
      <c r="Y12" s="299">
        <f t="shared" si="1"/>
        <v>2336853.2300000004</v>
      </c>
      <c r="Z12" s="299">
        <v>1094656.52</v>
      </c>
      <c r="AA12" s="299">
        <v>3067.2</v>
      </c>
      <c r="AB12" s="299">
        <v>462002.67</v>
      </c>
      <c r="AC12" s="299">
        <v>82101.42</v>
      </c>
      <c r="AD12" s="299">
        <v>100695.16</v>
      </c>
      <c r="AE12" s="299">
        <v>0</v>
      </c>
      <c r="AF12" s="299">
        <v>25741.62</v>
      </c>
      <c r="AG12" s="299">
        <v>10318.61</v>
      </c>
      <c r="AH12" s="299">
        <v>17446.68</v>
      </c>
      <c r="AI12" s="299">
        <v>9000</v>
      </c>
      <c r="AJ12" s="299">
        <v>682.5</v>
      </c>
      <c r="AK12" s="299">
        <v>17043.259999999998</v>
      </c>
      <c r="AL12" s="299">
        <v>3500.04</v>
      </c>
      <c r="AM12" s="299">
        <v>4057.48</v>
      </c>
      <c r="AN12" s="299">
        <v>4038.99</v>
      </c>
      <c r="AO12" s="299">
        <v>30947.37</v>
      </c>
      <c r="AP12" s="299">
        <v>41070</v>
      </c>
      <c r="AQ12" s="299">
        <v>10831.62</v>
      </c>
      <c r="AR12" s="299">
        <v>90007.87</v>
      </c>
      <c r="AS12" s="299">
        <v>56086.75</v>
      </c>
      <c r="AT12" s="299">
        <v>0</v>
      </c>
      <c r="AU12" s="299">
        <v>15719.96</v>
      </c>
      <c r="AV12" s="299">
        <v>10171.26</v>
      </c>
      <c r="AW12" s="299">
        <v>1825.2</v>
      </c>
      <c r="AX12" s="299">
        <v>104709.75</v>
      </c>
      <c r="AY12" s="299">
        <v>28652.98</v>
      </c>
      <c r="AZ12" s="299">
        <v>24775.43</v>
      </c>
      <c r="BA12" s="299">
        <v>35121.85</v>
      </c>
      <c r="BB12" s="299">
        <v>0</v>
      </c>
      <c r="BC12" s="299">
        <v>0</v>
      </c>
      <c r="BD12" s="299">
        <v>0</v>
      </c>
      <c r="BE12" s="299">
        <f t="shared" si="2"/>
        <v>2284272.1900000004</v>
      </c>
      <c r="BF12" s="299">
        <f t="shared" si="3"/>
        <v>52581.040000000037</v>
      </c>
      <c r="BG12" s="299">
        <v>80153.06</v>
      </c>
      <c r="BH12" s="299">
        <f t="shared" si="4"/>
        <v>132734.10000000003</v>
      </c>
      <c r="BI12" s="299">
        <v>0</v>
      </c>
      <c r="BJ12" s="299">
        <v>0</v>
      </c>
      <c r="BK12" s="299">
        <f t="shared" si="5"/>
        <v>0</v>
      </c>
      <c r="BL12" s="299">
        <v>0</v>
      </c>
      <c r="BM12" s="299">
        <v>0</v>
      </c>
      <c r="BN12" s="299">
        <f t="shared" si="6"/>
        <v>0</v>
      </c>
      <c r="BO12" s="299">
        <f t="shared" si="7"/>
        <v>0</v>
      </c>
      <c r="BP12" s="299">
        <v>0</v>
      </c>
      <c r="BQ12" s="299">
        <f t="shared" si="8"/>
        <v>0</v>
      </c>
      <c r="BR12" s="299">
        <v>41.99</v>
      </c>
      <c r="BS12" s="299">
        <v>132692.11000000004</v>
      </c>
      <c r="BT12" s="299">
        <v>0</v>
      </c>
      <c r="BU12" s="299">
        <f t="shared" si="9"/>
        <v>132734.10000000003</v>
      </c>
      <c r="BV12" s="299">
        <v>8196.25</v>
      </c>
      <c r="BW12" s="299">
        <v>0</v>
      </c>
      <c r="BX12" s="299">
        <v>0</v>
      </c>
      <c r="BY12" s="299">
        <f t="shared" si="10"/>
        <v>8196.25</v>
      </c>
      <c r="BZ12" s="299">
        <v>0</v>
      </c>
      <c r="CA12" s="299">
        <v>6795</v>
      </c>
      <c r="CB12" s="299">
        <v>0</v>
      </c>
      <c r="CC12" s="299">
        <v>0</v>
      </c>
      <c r="CD12" s="299">
        <f t="shared" si="11"/>
        <v>6795</v>
      </c>
      <c r="CE12" s="299">
        <f t="shared" si="12"/>
        <v>1401.25</v>
      </c>
      <c r="CF12" s="299">
        <v>5272.41</v>
      </c>
      <c r="CG12" s="299">
        <f t="shared" si="13"/>
        <v>6673.66</v>
      </c>
      <c r="CH12" s="299">
        <v>6673.66</v>
      </c>
      <c r="CI12" s="299">
        <v>0</v>
      </c>
      <c r="CJ12" s="299">
        <f t="shared" si="14"/>
        <v>6673.66</v>
      </c>
    </row>
    <row r="13" spans="1:93" ht="13.8">
      <c r="A13" s="252" t="s">
        <v>1377</v>
      </c>
      <c r="B13" s="288">
        <v>2082</v>
      </c>
      <c r="C13" s="288" t="s">
        <v>713</v>
      </c>
      <c r="D13" s="248" t="s">
        <v>704</v>
      </c>
      <c r="E13" s="380" t="str">
        <f t="shared" si="0"/>
        <v>30EP2082</v>
      </c>
      <c r="F13" s="299">
        <v>948965.7</v>
      </c>
      <c r="G13" s="299">
        <v>0</v>
      </c>
      <c r="H13" s="299">
        <v>46169.09</v>
      </c>
      <c r="I13" s="299">
        <v>0</v>
      </c>
      <c r="J13" s="299">
        <v>92793</v>
      </c>
      <c r="K13" s="299">
        <v>30034</v>
      </c>
      <c r="L13" s="299">
        <v>0</v>
      </c>
      <c r="M13" s="299">
        <v>5363.6</v>
      </c>
      <c r="N13" s="299">
        <v>3100.48</v>
      </c>
      <c r="O13" s="299">
        <v>0</v>
      </c>
      <c r="P13" s="299">
        <v>1150</v>
      </c>
      <c r="Q13" s="299">
        <v>0</v>
      </c>
      <c r="R13" s="299">
        <v>6103.64</v>
      </c>
      <c r="S13" s="299">
        <v>158.19</v>
      </c>
      <c r="T13" s="299">
        <v>0</v>
      </c>
      <c r="U13" s="299">
        <v>0</v>
      </c>
      <c r="V13" s="299">
        <v>0</v>
      </c>
      <c r="W13" s="299">
        <v>0</v>
      </c>
      <c r="X13" s="299">
        <v>0</v>
      </c>
      <c r="Y13" s="299">
        <f t="shared" si="1"/>
        <v>1133837.7</v>
      </c>
      <c r="Z13" s="299">
        <v>512718.94</v>
      </c>
      <c r="AA13" s="299">
        <v>65502.16</v>
      </c>
      <c r="AB13" s="299">
        <v>165074.95000000001</v>
      </c>
      <c r="AC13" s="299">
        <v>45819.839999999997</v>
      </c>
      <c r="AD13" s="299">
        <v>74888.78</v>
      </c>
      <c r="AE13" s="299">
        <v>0</v>
      </c>
      <c r="AF13" s="299">
        <v>34584.839999999997</v>
      </c>
      <c r="AG13" s="299">
        <v>3610.94</v>
      </c>
      <c r="AH13" s="299">
        <v>4816.8999999999996</v>
      </c>
      <c r="AI13" s="299">
        <v>3875</v>
      </c>
      <c r="AJ13" s="299">
        <v>527.5</v>
      </c>
      <c r="AK13" s="299">
        <v>5261.06</v>
      </c>
      <c r="AL13" s="299">
        <v>3491.85</v>
      </c>
      <c r="AM13" s="299">
        <v>2573.4699999999998</v>
      </c>
      <c r="AN13" s="299">
        <v>3090</v>
      </c>
      <c r="AO13" s="299">
        <v>20090.21</v>
      </c>
      <c r="AP13" s="299">
        <v>18463</v>
      </c>
      <c r="AQ13" s="299">
        <v>6197.68</v>
      </c>
      <c r="AR13" s="299">
        <v>39504.94</v>
      </c>
      <c r="AS13" s="299">
        <v>28101.24</v>
      </c>
      <c r="AT13" s="299">
        <v>0</v>
      </c>
      <c r="AU13" s="299">
        <v>12458.41</v>
      </c>
      <c r="AV13" s="299">
        <v>4405.7299999999996</v>
      </c>
      <c r="AW13" s="299">
        <v>622.19000000000005</v>
      </c>
      <c r="AX13" s="299">
        <v>50460.82</v>
      </c>
      <c r="AY13" s="299">
        <v>3300.96</v>
      </c>
      <c r="AZ13" s="299">
        <v>7245</v>
      </c>
      <c r="BA13" s="299">
        <v>17699.88</v>
      </c>
      <c r="BB13" s="299">
        <v>0</v>
      </c>
      <c r="BC13" s="299">
        <v>0</v>
      </c>
      <c r="BD13" s="299">
        <v>0</v>
      </c>
      <c r="BE13" s="299">
        <f t="shared" si="2"/>
        <v>1134386.2899999998</v>
      </c>
      <c r="BF13" s="299">
        <f t="shared" si="3"/>
        <v>-548.58999999985099</v>
      </c>
      <c r="BG13" s="299">
        <v>178136.83999999956</v>
      </c>
      <c r="BH13" s="299">
        <f t="shared" si="4"/>
        <v>177588.24999999971</v>
      </c>
      <c r="BI13" s="299">
        <v>0</v>
      </c>
      <c r="BJ13" s="299">
        <v>0</v>
      </c>
      <c r="BK13" s="299">
        <f t="shared" si="5"/>
        <v>0</v>
      </c>
      <c r="BL13" s="299">
        <v>0</v>
      </c>
      <c r="BM13" s="299">
        <v>0</v>
      </c>
      <c r="BN13" s="299">
        <f t="shared" si="6"/>
        <v>0</v>
      </c>
      <c r="BO13" s="299">
        <f t="shared" si="7"/>
        <v>0</v>
      </c>
      <c r="BP13" s="299">
        <v>0</v>
      </c>
      <c r="BQ13" s="299">
        <f t="shared" si="8"/>
        <v>0</v>
      </c>
      <c r="BR13" s="299">
        <v>0</v>
      </c>
      <c r="BS13" s="299">
        <v>177588.24999999971</v>
      </c>
      <c r="BT13" s="299">
        <v>0</v>
      </c>
      <c r="BU13" s="299">
        <f t="shared" si="9"/>
        <v>177588.24999999971</v>
      </c>
      <c r="BV13" s="299">
        <v>5946.25</v>
      </c>
      <c r="BW13" s="299">
        <v>0</v>
      </c>
      <c r="BX13" s="299">
        <v>0</v>
      </c>
      <c r="BY13" s="299">
        <f t="shared" si="10"/>
        <v>5946.25</v>
      </c>
      <c r="BZ13" s="299">
        <v>0</v>
      </c>
      <c r="CA13" s="299">
        <v>10306.870000000001</v>
      </c>
      <c r="CB13" s="299">
        <v>0</v>
      </c>
      <c r="CC13" s="299">
        <v>3103.7</v>
      </c>
      <c r="CD13" s="299">
        <f t="shared" si="11"/>
        <v>13410.57</v>
      </c>
      <c r="CE13" s="299">
        <f t="shared" si="12"/>
        <v>-7464.32</v>
      </c>
      <c r="CF13" s="299">
        <v>13813.83</v>
      </c>
      <c r="CG13" s="299">
        <f t="shared" si="13"/>
        <v>6349.51</v>
      </c>
      <c r="CH13" s="299">
        <v>6349.51</v>
      </c>
      <c r="CI13" s="299">
        <v>0</v>
      </c>
      <c r="CJ13" s="299">
        <f t="shared" si="14"/>
        <v>6349.51</v>
      </c>
    </row>
    <row r="14" spans="1:93" ht="13.8">
      <c r="A14" s="252" t="s">
        <v>1377</v>
      </c>
      <c r="B14" s="288">
        <v>3943</v>
      </c>
      <c r="C14" s="288" t="s">
        <v>714</v>
      </c>
      <c r="D14" s="248" t="s">
        <v>704</v>
      </c>
      <c r="E14" s="380" t="str">
        <f t="shared" si="0"/>
        <v>30EP3943</v>
      </c>
      <c r="F14" s="299">
        <v>2159320.1</v>
      </c>
      <c r="G14" s="299">
        <v>0</v>
      </c>
      <c r="H14" s="299">
        <v>108368.2</v>
      </c>
      <c r="I14" s="299">
        <v>0</v>
      </c>
      <c r="J14" s="299">
        <v>101390</v>
      </c>
      <c r="K14" s="299">
        <v>82945.86</v>
      </c>
      <c r="L14" s="299">
        <v>0</v>
      </c>
      <c r="M14" s="299">
        <v>25440.14</v>
      </c>
      <c r="N14" s="299">
        <v>27944.53</v>
      </c>
      <c r="O14" s="299">
        <v>37377.300000000003</v>
      </c>
      <c r="P14" s="299">
        <v>230</v>
      </c>
      <c r="Q14" s="299">
        <v>3605.94</v>
      </c>
      <c r="R14" s="299">
        <v>30135.69</v>
      </c>
      <c r="S14" s="299">
        <v>29897.95</v>
      </c>
      <c r="T14" s="299">
        <v>0</v>
      </c>
      <c r="U14" s="299">
        <v>0</v>
      </c>
      <c r="V14" s="299">
        <v>0</v>
      </c>
      <c r="W14" s="299">
        <v>0</v>
      </c>
      <c r="X14" s="299">
        <v>0</v>
      </c>
      <c r="Y14" s="299">
        <f t="shared" si="1"/>
        <v>2606655.71</v>
      </c>
      <c r="Z14" s="299">
        <v>1277639.02</v>
      </c>
      <c r="AA14" s="299">
        <v>12278.56</v>
      </c>
      <c r="AB14" s="299">
        <v>630327.42000000004</v>
      </c>
      <c r="AC14" s="299">
        <v>62137.53</v>
      </c>
      <c r="AD14" s="299">
        <v>95948.24</v>
      </c>
      <c r="AE14" s="299">
        <v>0</v>
      </c>
      <c r="AF14" s="299">
        <v>58669.98</v>
      </c>
      <c r="AG14" s="299">
        <v>37302.58</v>
      </c>
      <c r="AH14" s="299">
        <v>8945.2000000000007</v>
      </c>
      <c r="AI14" s="299">
        <v>10250</v>
      </c>
      <c r="AJ14" s="299">
        <v>2330</v>
      </c>
      <c r="AK14" s="299">
        <v>32944.04</v>
      </c>
      <c r="AL14" s="299">
        <v>5421.3</v>
      </c>
      <c r="AM14" s="299">
        <v>10556.79</v>
      </c>
      <c r="AN14" s="299">
        <v>6103.52</v>
      </c>
      <c r="AO14" s="299">
        <v>45089.58</v>
      </c>
      <c r="AP14" s="299">
        <v>76590</v>
      </c>
      <c r="AQ14" s="299">
        <v>2860.4</v>
      </c>
      <c r="AR14" s="299">
        <v>103392.97</v>
      </c>
      <c r="AS14" s="299">
        <v>61032.91</v>
      </c>
      <c r="AT14" s="299">
        <v>0</v>
      </c>
      <c r="AU14" s="299">
        <v>17387.39</v>
      </c>
      <c r="AV14" s="299">
        <v>10876.66</v>
      </c>
      <c r="AW14" s="299">
        <v>5.5</v>
      </c>
      <c r="AX14" s="299">
        <v>132605.44</v>
      </c>
      <c r="AY14" s="299">
        <v>10272.540000000001</v>
      </c>
      <c r="AZ14" s="299">
        <v>7882.74</v>
      </c>
      <c r="BA14" s="299">
        <v>28030.97</v>
      </c>
      <c r="BB14" s="299">
        <v>0</v>
      </c>
      <c r="BC14" s="299">
        <v>0</v>
      </c>
      <c r="BD14" s="299">
        <v>12553.61</v>
      </c>
      <c r="BE14" s="299">
        <f t="shared" si="2"/>
        <v>2759434.8900000011</v>
      </c>
      <c r="BF14" s="299">
        <f t="shared" si="3"/>
        <v>-152779.1800000011</v>
      </c>
      <c r="BG14" s="299">
        <v>248088.50999999983</v>
      </c>
      <c r="BH14" s="299">
        <f t="shared" si="4"/>
        <v>95309.329999998736</v>
      </c>
      <c r="BI14" s="299">
        <v>0</v>
      </c>
      <c r="BJ14" s="299">
        <v>0</v>
      </c>
      <c r="BK14" s="299">
        <f t="shared" si="5"/>
        <v>0</v>
      </c>
      <c r="BL14" s="299">
        <v>0</v>
      </c>
      <c r="BM14" s="299">
        <v>0</v>
      </c>
      <c r="BN14" s="299">
        <f t="shared" si="6"/>
        <v>0</v>
      </c>
      <c r="BO14" s="299">
        <f t="shared" si="7"/>
        <v>0</v>
      </c>
      <c r="BP14" s="299">
        <v>0</v>
      </c>
      <c r="BQ14" s="299">
        <f t="shared" si="8"/>
        <v>0</v>
      </c>
      <c r="BR14" s="299">
        <v>12369.67</v>
      </c>
      <c r="BS14" s="299">
        <v>82939.659999998737</v>
      </c>
      <c r="BT14" s="299">
        <v>0</v>
      </c>
      <c r="BU14" s="299">
        <f t="shared" si="9"/>
        <v>95309.329999998736</v>
      </c>
      <c r="BV14" s="299">
        <v>8668.75</v>
      </c>
      <c r="BW14" s="299">
        <v>0</v>
      </c>
      <c r="BX14" s="299">
        <v>12553.61</v>
      </c>
      <c r="BY14" s="299">
        <f t="shared" si="10"/>
        <v>21222.36</v>
      </c>
      <c r="BZ14" s="299">
        <v>0</v>
      </c>
      <c r="CA14" s="299">
        <v>21887</v>
      </c>
      <c r="CB14" s="299">
        <v>0</v>
      </c>
      <c r="CC14" s="299">
        <v>0</v>
      </c>
      <c r="CD14" s="299">
        <f t="shared" si="11"/>
        <v>21887</v>
      </c>
      <c r="CE14" s="299">
        <f t="shared" si="12"/>
        <v>-664.63999999999942</v>
      </c>
      <c r="CF14" s="299">
        <v>664.63999999999965</v>
      </c>
      <c r="CG14" s="299">
        <f t="shared" si="13"/>
        <v>0</v>
      </c>
      <c r="CH14" s="299">
        <v>0</v>
      </c>
      <c r="CI14" s="299">
        <v>0</v>
      </c>
      <c r="CJ14" s="299">
        <f t="shared" si="14"/>
        <v>0</v>
      </c>
    </row>
    <row r="15" spans="1:93" ht="13.8">
      <c r="A15" s="252" t="s">
        <v>1377</v>
      </c>
      <c r="B15" s="288">
        <v>2060</v>
      </c>
      <c r="C15" s="288" t="s">
        <v>715</v>
      </c>
      <c r="D15" s="248" t="s">
        <v>704</v>
      </c>
      <c r="E15" s="380" t="str">
        <f t="shared" si="0"/>
        <v>30EP2060</v>
      </c>
      <c r="F15" s="299">
        <v>704575.48</v>
      </c>
      <c r="G15" s="299">
        <v>0</v>
      </c>
      <c r="H15" s="299">
        <v>53739.25</v>
      </c>
      <c r="I15" s="299">
        <v>0</v>
      </c>
      <c r="J15" s="299">
        <v>51613</v>
      </c>
      <c r="K15" s="299">
        <v>35214</v>
      </c>
      <c r="L15" s="299">
        <v>250</v>
      </c>
      <c r="M15" s="299">
        <v>0</v>
      </c>
      <c r="N15" s="299">
        <v>4767.67</v>
      </c>
      <c r="O15" s="299">
        <v>0</v>
      </c>
      <c r="P15" s="299">
        <v>0</v>
      </c>
      <c r="Q15" s="299">
        <v>469.04</v>
      </c>
      <c r="R15" s="299">
        <v>6982.5</v>
      </c>
      <c r="S15" s="299">
        <v>4712.38</v>
      </c>
      <c r="T15" s="299">
        <v>0</v>
      </c>
      <c r="U15" s="299">
        <v>0</v>
      </c>
      <c r="V15" s="299">
        <v>0</v>
      </c>
      <c r="W15" s="299">
        <v>0</v>
      </c>
      <c r="X15" s="299">
        <v>0</v>
      </c>
      <c r="Y15" s="299">
        <f t="shared" si="1"/>
        <v>862323.32000000007</v>
      </c>
      <c r="Z15" s="299">
        <v>419034.67</v>
      </c>
      <c r="AA15" s="299">
        <v>0</v>
      </c>
      <c r="AB15" s="299">
        <v>171056.14</v>
      </c>
      <c r="AC15" s="299">
        <v>20524.73</v>
      </c>
      <c r="AD15" s="299">
        <v>60977.32</v>
      </c>
      <c r="AE15" s="299">
        <v>0</v>
      </c>
      <c r="AF15" s="299">
        <v>12202.44</v>
      </c>
      <c r="AG15" s="299">
        <v>2666.4</v>
      </c>
      <c r="AH15" s="299">
        <v>3372.29</v>
      </c>
      <c r="AI15" s="299">
        <v>2525</v>
      </c>
      <c r="AJ15" s="299">
        <v>737.5</v>
      </c>
      <c r="AK15" s="299">
        <v>3522.39</v>
      </c>
      <c r="AL15" s="299">
        <v>4017</v>
      </c>
      <c r="AM15" s="299">
        <v>1783.05</v>
      </c>
      <c r="AN15" s="299">
        <v>1341.94</v>
      </c>
      <c r="AO15" s="299">
        <v>14946.62</v>
      </c>
      <c r="AP15" s="299">
        <v>12724.5</v>
      </c>
      <c r="AQ15" s="299">
        <v>11307.93</v>
      </c>
      <c r="AR15" s="299">
        <v>11529.77</v>
      </c>
      <c r="AS15" s="299">
        <v>28271.279999999995</v>
      </c>
      <c r="AT15" s="299">
        <v>0</v>
      </c>
      <c r="AU15" s="299">
        <v>4262.72</v>
      </c>
      <c r="AV15" s="299">
        <v>3229.03</v>
      </c>
      <c r="AW15" s="299">
        <v>9013.18</v>
      </c>
      <c r="AX15" s="299">
        <v>42134.28</v>
      </c>
      <c r="AY15" s="299">
        <v>1200</v>
      </c>
      <c r="AZ15" s="299">
        <v>16682.5</v>
      </c>
      <c r="BA15" s="299">
        <v>7970.85</v>
      </c>
      <c r="BB15" s="299">
        <v>0</v>
      </c>
      <c r="BC15" s="299">
        <v>640.37</v>
      </c>
      <c r="BD15" s="299">
        <v>3518.88</v>
      </c>
      <c r="BE15" s="299">
        <f t="shared" si="2"/>
        <v>871192.78000000014</v>
      </c>
      <c r="BF15" s="299">
        <f t="shared" si="3"/>
        <v>-8869.4600000000792</v>
      </c>
      <c r="BG15" s="299">
        <v>68298.750000000233</v>
      </c>
      <c r="BH15" s="299">
        <f t="shared" si="4"/>
        <v>59429.290000000154</v>
      </c>
      <c r="BI15" s="299">
        <v>0</v>
      </c>
      <c r="BJ15" s="299">
        <v>0</v>
      </c>
      <c r="BK15" s="299">
        <f t="shared" si="5"/>
        <v>0</v>
      </c>
      <c r="BL15" s="299">
        <v>0</v>
      </c>
      <c r="BM15" s="299">
        <v>0</v>
      </c>
      <c r="BN15" s="299">
        <f t="shared" si="6"/>
        <v>0</v>
      </c>
      <c r="BO15" s="299">
        <f t="shared" si="7"/>
        <v>0</v>
      </c>
      <c r="BP15" s="299">
        <v>0</v>
      </c>
      <c r="BQ15" s="299">
        <f t="shared" si="8"/>
        <v>0</v>
      </c>
      <c r="BR15" s="299">
        <v>0</v>
      </c>
      <c r="BS15" s="299">
        <v>59429.290000000154</v>
      </c>
      <c r="BT15" s="299">
        <v>0</v>
      </c>
      <c r="BU15" s="299">
        <f t="shared" si="9"/>
        <v>59429.290000000154</v>
      </c>
      <c r="BV15" s="299">
        <v>5102.5</v>
      </c>
      <c r="BW15" s="299">
        <v>0</v>
      </c>
      <c r="BX15" s="299">
        <v>0</v>
      </c>
      <c r="BY15" s="299">
        <f t="shared" si="10"/>
        <v>5102.5</v>
      </c>
      <c r="BZ15" s="299">
        <v>0</v>
      </c>
      <c r="CA15" s="299">
        <v>12169.89</v>
      </c>
      <c r="CB15" s="299">
        <v>0</v>
      </c>
      <c r="CC15" s="299">
        <v>0</v>
      </c>
      <c r="CD15" s="299">
        <f t="shared" si="11"/>
        <v>12169.89</v>
      </c>
      <c r="CE15" s="299">
        <f t="shared" si="12"/>
        <v>-7067.3899999999994</v>
      </c>
      <c r="CF15" s="299">
        <v>37153.5</v>
      </c>
      <c r="CG15" s="299">
        <f t="shared" si="13"/>
        <v>30086.11</v>
      </c>
      <c r="CH15" s="299">
        <v>10059.48</v>
      </c>
      <c r="CI15" s="299">
        <v>20026.63</v>
      </c>
      <c r="CJ15" s="299">
        <f t="shared" si="14"/>
        <v>30086.11</v>
      </c>
    </row>
    <row r="16" spans="1:93" ht="13.8">
      <c r="A16" s="252" t="s">
        <v>1377</v>
      </c>
      <c r="B16" s="288">
        <v>2312</v>
      </c>
      <c r="C16" s="288" t="s">
        <v>716</v>
      </c>
      <c r="D16" s="248" t="s">
        <v>704</v>
      </c>
      <c r="E16" s="380" t="str">
        <f t="shared" si="0"/>
        <v>30EP2312</v>
      </c>
      <c r="F16" s="299">
        <v>1094558.31</v>
      </c>
      <c r="G16" s="299">
        <v>0</v>
      </c>
      <c r="H16" s="299">
        <v>84776</v>
      </c>
      <c r="I16" s="299">
        <v>0</v>
      </c>
      <c r="J16" s="299">
        <v>46750</v>
      </c>
      <c r="K16" s="299">
        <v>50132.15</v>
      </c>
      <c r="L16" s="299">
        <v>0</v>
      </c>
      <c r="M16" s="299">
        <v>38155.74</v>
      </c>
      <c r="N16" s="299">
        <v>50812.24</v>
      </c>
      <c r="O16" s="299">
        <v>0</v>
      </c>
      <c r="P16" s="299">
        <v>0</v>
      </c>
      <c r="Q16" s="299">
        <v>0</v>
      </c>
      <c r="R16" s="299">
        <v>22625.51</v>
      </c>
      <c r="S16" s="299">
        <v>1518.36</v>
      </c>
      <c r="T16" s="299">
        <v>0</v>
      </c>
      <c r="U16" s="299">
        <v>0</v>
      </c>
      <c r="V16" s="299">
        <v>0</v>
      </c>
      <c r="W16" s="299">
        <v>0</v>
      </c>
      <c r="X16" s="299">
        <v>0</v>
      </c>
      <c r="Y16" s="299">
        <f t="shared" si="1"/>
        <v>1389328.31</v>
      </c>
      <c r="Z16" s="299">
        <v>519128.12</v>
      </c>
      <c r="AA16" s="299">
        <v>0</v>
      </c>
      <c r="AB16" s="299">
        <v>323266.59999999998</v>
      </c>
      <c r="AC16" s="299">
        <v>0</v>
      </c>
      <c r="AD16" s="299">
        <v>80802.87</v>
      </c>
      <c r="AE16" s="299">
        <v>0</v>
      </c>
      <c r="AF16" s="299">
        <v>21655.32</v>
      </c>
      <c r="AG16" s="299">
        <v>1325.32</v>
      </c>
      <c r="AH16" s="299">
        <v>4591.5</v>
      </c>
      <c r="AI16" s="299">
        <v>0</v>
      </c>
      <c r="AJ16" s="299">
        <v>0</v>
      </c>
      <c r="AK16" s="299">
        <v>-142.22</v>
      </c>
      <c r="AL16" s="299">
        <v>3468</v>
      </c>
      <c r="AM16" s="299">
        <v>85576.44</v>
      </c>
      <c r="AN16" s="299">
        <v>1949.46</v>
      </c>
      <c r="AO16" s="299">
        <v>61468.87</v>
      </c>
      <c r="AP16" s="299">
        <v>44122.5</v>
      </c>
      <c r="AQ16" s="299">
        <v>10320.15</v>
      </c>
      <c r="AR16" s="299">
        <v>61460.73</v>
      </c>
      <c r="AS16" s="299">
        <v>31506.600000000002</v>
      </c>
      <c r="AT16" s="299">
        <v>0</v>
      </c>
      <c r="AU16" s="299">
        <v>13314.71</v>
      </c>
      <c r="AV16" s="299">
        <v>6198.12</v>
      </c>
      <c r="AW16" s="299">
        <v>500</v>
      </c>
      <c r="AX16" s="299">
        <v>55947.37</v>
      </c>
      <c r="AY16" s="299">
        <v>0</v>
      </c>
      <c r="AZ16" s="299">
        <v>12827.12</v>
      </c>
      <c r="BA16" s="299">
        <v>14222.59</v>
      </c>
      <c r="BB16" s="299">
        <v>0</v>
      </c>
      <c r="BC16" s="299">
        <v>0</v>
      </c>
      <c r="BD16" s="299">
        <v>0</v>
      </c>
      <c r="BE16" s="299">
        <f t="shared" si="2"/>
        <v>1353510.1700000004</v>
      </c>
      <c r="BF16" s="299">
        <f t="shared" si="3"/>
        <v>35818.139999999665</v>
      </c>
      <c r="BG16" s="299">
        <v>43793.780000000603</v>
      </c>
      <c r="BH16" s="299">
        <f t="shared" si="4"/>
        <v>79611.920000000275</v>
      </c>
      <c r="BI16" s="299">
        <v>113485.2</v>
      </c>
      <c r="BJ16" s="299">
        <v>18995</v>
      </c>
      <c r="BK16" s="299">
        <f t="shared" si="5"/>
        <v>132480.20000000001</v>
      </c>
      <c r="BL16" s="299">
        <v>127204.89</v>
      </c>
      <c r="BM16" s="299">
        <v>18607.66</v>
      </c>
      <c r="BN16" s="299">
        <f t="shared" si="6"/>
        <v>145812.54999999999</v>
      </c>
      <c r="BO16" s="299">
        <f t="shared" si="7"/>
        <v>-13332.349999999977</v>
      </c>
      <c r="BP16" s="299">
        <v>69547.53</v>
      </c>
      <c r="BQ16" s="299">
        <f t="shared" si="8"/>
        <v>56215.180000000022</v>
      </c>
      <c r="BR16" s="299">
        <v>0</v>
      </c>
      <c r="BS16" s="299">
        <v>72875.960000000254</v>
      </c>
      <c r="BT16" s="299">
        <v>62951.14</v>
      </c>
      <c r="BU16" s="299">
        <f t="shared" si="9"/>
        <v>135827.1000000003</v>
      </c>
      <c r="BV16" s="299">
        <v>6409.75</v>
      </c>
      <c r="BW16" s="299">
        <v>0</v>
      </c>
      <c r="BX16" s="299">
        <v>0</v>
      </c>
      <c r="BY16" s="299">
        <f t="shared" si="10"/>
        <v>6409.75</v>
      </c>
      <c r="BZ16" s="299">
        <v>0</v>
      </c>
      <c r="CA16" s="299">
        <v>16914.72</v>
      </c>
      <c r="CB16" s="299">
        <v>0</v>
      </c>
      <c r="CC16" s="299">
        <v>6410</v>
      </c>
      <c r="CD16" s="299">
        <f t="shared" si="11"/>
        <v>23324.720000000001</v>
      </c>
      <c r="CE16" s="299">
        <f t="shared" si="12"/>
        <v>-16914.97</v>
      </c>
      <c r="CF16" s="299">
        <v>32743.46</v>
      </c>
      <c r="CG16" s="299">
        <f t="shared" si="13"/>
        <v>15828.489999999998</v>
      </c>
      <c r="CH16" s="299">
        <v>15828.489999999998</v>
      </c>
      <c r="CI16" s="299">
        <v>0</v>
      </c>
      <c r="CJ16" s="299">
        <f t="shared" si="14"/>
        <v>15828.489999999998</v>
      </c>
    </row>
    <row r="17" spans="1:88" ht="13.8">
      <c r="A17" s="252" t="s">
        <v>1377</v>
      </c>
      <c r="B17" s="288">
        <v>3942</v>
      </c>
      <c r="C17" s="288" t="s">
        <v>717</v>
      </c>
      <c r="D17" s="248" t="s">
        <v>704</v>
      </c>
      <c r="E17" s="380" t="str">
        <f t="shared" si="0"/>
        <v>30EP3942</v>
      </c>
      <c r="F17" s="299">
        <v>3184156.75</v>
      </c>
      <c r="G17" s="299">
        <v>0</v>
      </c>
      <c r="H17" s="299">
        <v>137628.69</v>
      </c>
      <c r="I17" s="299">
        <v>0</v>
      </c>
      <c r="J17" s="299">
        <v>223870</v>
      </c>
      <c r="K17" s="299">
        <v>121646.57</v>
      </c>
      <c r="L17" s="299">
        <v>0</v>
      </c>
      <c r="M17" s="299">
        <v>6372</v>
      </c>
      <c r="N17" s="299">
        <v>32812.61</v>
      </c>
      <c r="O17" s="299">
        <v>42311.79</v>
      </c>
      <c r="P17" s="299">
        <v>6458.4</v>
      </c>
      <c r="Q17" s="299">
        <v>17732.060000000001</v>
      </c>
      <c r="R17" s="299">
        <v>60550.75</v>
      </c>
      <c r="S17" s="299">
        <v>15323.26</v>
      </c>
      <c r="T17" s="299">
        <v>0</v>
      </c>
      <c r="U17" s="299">
        <v>0</v>
      </c>
      <c r="V17" s="299">
        <v>0</v>
      </c>
      <c r="W17" s="299">
        <v>0</v>
      </c>
      <c r="X17" s="299">
        <v>0</v>
      </c>
      <c r="Y17" s="299">
        <f t="shared" si="1"/>
        <v>3848862.8799999994</v>
      </c>
      <c r="Z17" s="299">
        <v>1758178.23</v>
      </c>
      <c r="AA17" s="299">
        <v>14728.16</v>
      </c>
      <c r="AB17" s="299">
        <v>712659.76</v>
      </c>
      <c r="AC17" s="299">
        <v>40426.620000000003</v>
      </c>
      <c r="AD17" s="299">
        <v>173854.13</v>
      </c>
      <c r="AE17" s="299">
        <v>0</v>
      </c>
      <c r="AF17" s="299">
        <v>126596.61</v>
      </c>
      <c r="AG17" s="299">
        <v>12041.72</v>
      </c>
      <c r="AH17" s="299">
        <v>24099.81</v>
      </c>
      <c r="AI17" s="299">
        <v>15325</v>
      </c>
      <c r="AJ17" s="299">
        <v>1334.67</v>
      </c>
      <c r="AK17" s="299">
        <v>89882.63</v>
      </c>
      <c r="AL17" s="299">
        <v>9370.15</v>
      </c>
      <c r="AM17" s="299">
        <v>68605.63</v>
      </c>
      <c r="AN17" s="299">
        <v>7837.82</v>
      </c>
      <c r="AO17" s="299">
        <v>53260.02</v>
      </c>
      <c r="AP17" s="299">
        <v>67710</v>
      </c>
      <c r="AQ17" s="299">
        <v>9318.48</v>
      </c>
      <c r="AR17" s="299">
        <v>139238.32</v>
      </c>
      <c r="AS17" s="299">
        <v>63310.239999999998</v>
      </c>
      <c r="AT17" s="299">
        <v>0</v>
      </c>
      <c r="AU17" s="299">
        <v>31796.6</v>
      </c>
      <c r="AV17" s="299">
        <v>16590.07</v>
      </c>
      <c r="AW17" s="299">
        <v>456.04</v>
      </c>
      <c r="AX17" s="299">
        <v>173320.76</v>
      </c>
      <c r="AY17" s="299">
        <v>125010.16</v>
      </c>
      <c r="AZ17" s="299">
        <v>105977.74</v>
      </c>
      <c r="BA17" s="299">
        <v>34542.33</v>
      </c>
      <c r="BB17" s="299">
        <v>0</v>
      </c>
      <c r="BC17" s="299">
        <v>0</v>
      </c>
      <c r="BD17" s="299">
        <v>46611.1</v>
      </c>
      <c r="BE17" s="299">
        <f t="shared" si="2"/>
        <v>3922082.8000000003</v>
      </c>
      <c r="BF17" s="299">
        <f t="shared" si="3"/>
        <v>-73219.920000000857</v>
      </c>
      <c r="BG17" s="299">
        <v>615591.63</v>
      </c>
      <c r="BH17" s="299">
        <f t="shared" si="4"/>
        <v>542371.70999999915</v>
      </c>
      <c r="BI17" s="299">
        <v>178401.18</v>
      </c>
      <c r="BJ17" s="299">
        <v>23551.07</v>
      </c>
      <c r="BK17" s="299">
        <f t="shared" si="5"/>
        <v>201952.25</v>
      </c>
      <c r="BL17" s="299">
        <v>159951.67000000001</v>
      </c>
      <c r="BM17" s="299">
        <v>23589.32</v>
      </c>
      <c r="BN17" s="299">
        <f t="shared" si="6"/>
        <v>183540.99000000002</v>
      </c>
      <c r="BO17" s="299">
        <f t="shared" si="7"/>
        <v>18411.25999999998</v>
      </c>
      <c r="BP17" s="299">
        <v>107256.59000000001</v>
      </c>
      <c r="BQ17" s="299">
        <f t="shared" si="8"/>
        <v>125667.84999999999</v>
      </c>
      <c r="BR17" s="299">
        <v>93872</v>
      </c>
      <c r="BS17" s="299">
        <v>433231.78000000038</v>
      </c>
      <c r="BT17" s="299">
        <v>140935.77999999997</v>
      </c>
      <c r="BU17" s="299">
        <f t="shared" si="9"/>
        <v>668039.55999999912</v>
      </c>
      <c r="BV17" s="299">
        <v>10772.5</v>
      </c>
      <c r="BW17" s="299">
        <v>0</v>
      </c>
      <c r="BX17" s="299">
        <v>46611.1</v>
      </c>
      <c r="BY17" s="299">
        <f t="shared" si="10"/>
        <v>57383.6</v>
      </c>
      <c r="BZ17" s="299">
        <v>0</v>
      </c>
      <c r="CA17" s="299">
        <v>29618.53</v>
      </c>
      <c r="CB17" s="299">
        <v>0</v>
      </c>
      <c r="CC17" s="299">
        <v>27765.4</v>
      </c>
      <c r="CD17" s="299">
        <f t="shared" si="11"/>
        <v>57383.93</v>
      </c>
      <c r="CE17" s="299">
        <f t="shared" si="12"/>
        <v>-0.33000000000174623</v>
      </c>
      <c r="CF17" s="299">
        <v>0.33000000000174623</v>
      </c>
      <c r="CG17" s="299">
        <f t="shared" si="13"/>
        <v>0</v>
      </c>
      <c r="CH17" s="299">
        <v>1.8189894035458565E-12</v>
      </c>
      <c r="CI17" s="299">
        <v>-7.2759576141834259E-12</v>
      </c>
      <c r="CJ17" s="299">
        <f t="shared" si="14"/>
        <v>-5.4569682106375694E-12</v>
      </c>
    </row>
    <row r="18" spans="1:88" ht="13.8">
      <c r="A18" s="252" t="s">
        <v>1377</v>
      </c>
      <c r="B18" s="288">
        <v>3081</v>
      </c>
      <c r="C18" s="288" t="s">
        <v>718</v>
      </c>
      <c r="D18" s="248" t="s">
        <v>704</v>
      </c>
      <c r="E18" s="380" t="str">
        <f t="shared" si="0"/>
        <v>30EP3081</v>
      </c>
      <c r="F18" s="299">
        <v>605047.54</v>
      </c>
      <c r="G18" s="299">
        <v>0</v>
      </c>
      <c r="H18" s="299">
        <v>37087.96</v>
      </c>
      <c r="I18" s="299">
        <v>0</v>
      </c>
      <c r="J18" s="299">
        <v>25275</v>
      </c>
      <c r="K18" s="299">
        <v>59620.93</v>
      </c>
      <c r="L18" s="299">
        <v>0</v>
      </c>
      <c r="M18" s="299">
        <v>500</v>
      </c>
      <c r="N18" s="299">
        <v>26990.38</v>
      </c>
      <c r="O18" s="299">
        <v>25349.65</v>
      </c>
      <c r="P18" s="299">
        <v>2760</v>
      </c>
      <c r="Q18" s="299">
        <v>10996.61</v>
      </c>
      <c r="R18" s="299">
        <v>7848.87</v>
      </c>
      <c r="S18" s="299">
        <v>6017.62</v>
      </c>
      <c r="T18" s="299">
        <v>0</v>
      </c>
      <c r="U18" s="299">
        <v>0</v>
      </c>
      <c r="V18" s="299">
        <v>0</v>
      </c>
      <c r="W18" s="299">
        <v>0</v>
      </c>
      <c r="X18" s="299">
        <v>0</v>
      </c>
      <c r="Y18" s="299">
        <f t="shared" si="1"/>
        <v>807494.56</v>
      </c>
      <c r="Z18" s="299">
        <v>356180.46</v>
      </c>
      <c r="AA18" s="299">
        <v>9036.52</v>
      </c>
      <c r="AB18" s="299">
        <v>127490.1</v>
      </c>
      <c r="AC18" s="299">
        <v>21882.09</v>
      </c>
      <c r="AD18" s="299">
        <v>53094.85</v>
      </c>
      <c r="AE18" s="299">
        <v>35757.199999999997</v>
      </c>
      <c r="AF18" s="299">
        <v>27086.66</v>
      </c>
      <c r="AG18" s="299">
        <v>3388.24</v>
      </c>
      <c r="AH18" s="299">
        <v>8058.12</v>
      </c>
      <c r="AI18" s="299">
        <v>1939</v>
      </c>
      <c r="AJ18" s="299">
        <v>0</v>
      </c>
      <c r="AK18" s="299">
        <v>13259.66</v>
      </c>
      <c r="AL18" s="299">
        <v>313.95999999999998</v>
      </c>
      <c r="AM18" s="299">
        <v>2196.11</v>
      </c>
      <c r="AN18" s="299">
        <v>2314</v>
      </c>
      <c r="AO18" s="299">
        <v>12620.25</v>
      </c>
      <c r="AP18" s="299">
        <v>12100.75</v>
      </c>
      <c r="AQ18" s="299">
        <v>2966.26</v>
      </c>
      <c r="AR18" s="299">
        <v>21985.87</v>
      </c>
      <c r="AS18" s="299">
        <v>25582.720000000001</v>
      </c>
      <c r="AT18" s="299">
        <v>0</v>
      </c>
      <c r="AU18" s="299">
        <v>5638.09</v>
      </c>
      <c r="AV18" s="299">
        <v>2801.58</v>
      </c>
      <c r="AW18" s="299">
        <v>8592.56</v>
      </c>
      <c r="AX18" s="299">
        <v>20605.240000000002</v>
      </c>
      <c r="AY18" s="299">
        <v>0</v>
      </c>
      <c r="AZ18" s="299">
        <v>3741.66</v>
      </c>
      <c r="BA18" s="299">
        <v>10034.08</v>
      </c>
      <c r="BB18" s="299">
        <v>0</v>
      </c>
      <c r="BC18" s="299">
        <v>0</v>
      </c>
      <c r="BD18" s="299">
        <v>0</v>
      </c>
      <c r="BE18" s="299">
        <f t="shared" si="2"/>
        <v>788666.03</v>
      </c>
      <c r="BF18" s="299">
        <f t="shared" si="3"/>
        <v>18828.530000000028</v>
      </c>
      <c r="BG18" s="299">
        <v>92502.149999999907</v>
      </c>
      <c r="BH18" s="299">
        <f t="shared" si="4"/>
        <v>111330.67999999993</v>
      </c>
      <c r="BI18" s="299">
        <v>0</v>
      </c>
      <c r="BJ18" s="299">
        <v>0</v>
      </c>
      <c r="BK18" s="299">
        <f t="shared" si="5"/>
        <v>0</v>
      </c>
      <c r="BL18" s="299">
        <v>0</v>
      </c>
      <c r="BM18" s="299">
        <v>0</v>
      </c>
      <c r="BN18" s="299">
        <f t="shared" si="6"/>
        <v>0</v>
      </c>
      <c r="BO18" s="299">
        <f t="shared" si="7"/>
        <v>0</v>
      </c>
      <c r="BP18" s="299">
        <v>0</v>
      </c>
      <c r="BQ18" s="299">
        <f t="shared" si="8"/>
        <v>0</v>
      </c>
      <c r="BR18" s="299">
        <v>12772.82</v>
      </c>
      <c r="BS18" s="299">
        <v>98557.859999999695</v>
      </c>
      <c r="BT18" s="299">
        <v>0</v>
      </c>
      <c r="BU18" s="299">
        <f t="shared" si="9"/>
        <v>111330.67999999993</v>
      </c>
      <c r="BV18" s="299">
        <v>5102.5</v>
      </c>
      <c r="BW18" s="299">
        <v>0</v>
      </c>
      <c r="BX18" s="299">
        <v>0</v>
      </c>
      <c r="BY18" s="299">
        <f t="shared" si="10"/>
        <v>5102.5</v>
      </c>
      <c r="BZ18" s="299">
        <v>0</v>
      </c>
      <c r="CA18" s="299">
        <v>12352.66</v>
      </c>
      <c r="CB18" s="299">
        <v>0</v>
      </c>
      <c r="CC18" s="299">
        <v>0</v>
      </c>
      <c r="CD18" s="299">
        <f t="shared" si="11"/>
        <v>12352.66</v>
      </c>
      <c r="CE18" s="299">
        <f t="shared" si="12"/>
        <v>-7250.16</v>
      </c>
      <c r="CF18" s="299">
        <v>16870.53</v>
      </c>
      <c r="CG18" s="299">
        <f t="shared" si="13"/>
        <v>9620.369999999999</v>
      </c>
      <c r="CH18" s="299">
        <v>9620.369999999999</v>
      </c>
      <c r="CI18" s="299">
        <v>0</v>
      </c>
      <c r="CJ18" s="299">
        <f t="shared" si="14"/>
        <v>9620.369999999999</v>
      </c>
    </row>
    <row r="19" spans="1:88" ht="13.8">
      <c r="A19" s="252" t="s">
        <v>1377</v>
      </c>
      <c r="B19" s="288">
        <v>1005</v>
      </c>
      <c r="C19" s="288" t="s">
        <v>719</v>
      </c>
      <c r="D19" s="248" t="s">
        <v>720</v>
      </c>
      <c r="E19" s="380" t="str">
        <f t="shared" si="0"/>
        <v>30EN1005</v>
      </c>
      <c r="F19" s="299">
        <v>567975.52</v>
      </c>
      <c r="G19" s="299">
        <v>0</v>
      </c>
      <c r="H19" s="299">
        <v>15007.59</v>
      </c>
      <c r="I19" s="299">
        <v>0</v>
      </c>
      <c r="J19" s="299">
        <v>380</v>
      </c>
      <c r="K19" s="299">
        <v>639.4</v>
      </c>
      <c r="L19" s="299">
        <v>0</v>
      </c>
      <c r="M19" s="299">
        <v>0</v>
      </c>
      <c r="N19" s="299">
        <v>5637.7</v>
      </c>
      <c r="O19" s="299">
        <v>0</v>
      </c>
      <c r="P19" s="299">
        <v>0</v>
      </c>
      <c r="Q19" s="299">
        <v>0</v>
      </c>
      <c r="R19" s="299">
        <v>0</v>
      </c>
      <c r="S19" s="299">
        <v>5032.3100000000004</v>
      </c>
      <c r="T19" s="299">
        <v>0</v>
      </c>
      <c r="U19" s="299">
        <v>0</v>
      </c>
      <c r="V19" s="299">
        <v>0</v>
      </c>
      <c r="W19" s="299">
        <v>0</v>
      </c>
      <c r="X19" s="299">
        <v>0</v>
      </c>
      <c r="Y19" s="299">
        <f t="shared" si="1"/>
        <v>594672.52</v>
      </c>
      <c r="Z19" s="299">
        <v>202776.77</v>
      </c>
      <c r="AA19" s="299">
        <v>0</v>
      </c>
      <c r="AB19" s="299">
        <v>194022.12</v>
      </c>
      <c r="AC19" s="299">
        <v>0</v>
      </c>
      <c r="AD19" s="299">
        <v>69653.710000000006</v>
      </c>
      <c r="AE19" s="299">
        <v>0</v>
      </c>
      <c r="AF19" s="299">
        <v>6790.73</v>
      </c>
      <c r="AG19" s="299">
        <v>2359.4299999999998</v>
      </c>
      <c r="AH19" s="299">
        <v>6821.1</v>
      </c>
      <c r="AI19" s="299">
        <v>2100</v>
      </c>
      <c r="AJ19" s="299">
        <v>1095</v>
      </c>
      <c r="AK19" s="299">
        <v>8654.7199999999993</v>
      </c>
      <c r="AL19" s="299">
        <v>99</v>
      </c>
      <c r="AM19" s="299">
        <v>18379.3</v>
      </c>
      <c r="AN19" s="299">
        <v>3243.68</v>
      </c>
      <c r="AO19" s="299">
        <v>5045.74</v>
      </c>
      <c r="AP19" s="299">
        <v>8982</v>
      </c>
      <c r="AQ19" s="299">
        <v>1868.61</v>
      </c>
      <c r="AR19" s="299">
        <v>7334.76</v>
      </c>
      <c r="AS19" s="299">
        <v>15826.44</v>
      </c>
      <c r="AT19" s="299">
        <v>0</v>
      </c>
      <c r="AU19" s="299">
        <v>4018.67</v>
      </c>
      <c r="AV19" s="299">
        <v>2417.92</v>
      </c>
      <c r="AW19" s="299">
        <v>0</v>
      </c>
      <c r="AX19" s="299">
        <v>281.74</v>
      </c>
      <c r="AY19" s="299">
        <v>0</v>
      </c>
      <c r="AZ19" s="299">
        <v>0</v>
      </c>
      <c r="BA19" s="299">
        <v>10584.16</v>
      </c>
      <c r="BB19" s="299">
        <v>0</v>
      </c>
      <c r="BC19" s="299">
        <v>0</v>
      </c>
      <c r="BD19" s="299">
        <v>0</v>
      </c>
      <c r="BE19" s="299">
        <f t="shared" si="2"/>
        <v>572355.6</v>
      </c>
      <c r="BF19" s="299">
        <f t="shared" si="3"/>
        <v>22316.920000000042</v>
      </c>
      <c r="BG19" s="299">
        <v>-67373.260000000286</v>
      </c>
      <c r="BH19" s="299">
        <f t="shared" si="4"/>
        <v>-45056.340000000244</v>
      </c>
      <c r="BI19" s="299">
        <v>0</v>
      </c>
      <c r="BJ19" s="299">
        <v>164396.89000000001</v>
      </c>
      <c r="BK19" s="299">
        <f t="shared" si="5"/>
        <v>164396.89000000001</v>
      </c>
      <c r="BL19" s="299">
        <v>130693.58</v>
      </c>
      <c r="BM19" s="299">
        <v>25184.36</v>
      </c>
      <c r="BN19" s="299">
        <f t="shared" si="6"/>
        <v>155877.94</v>
      </c>
      <c r="BO19" s="299">
        <f t="shared" si="7"/>
        <v>8518.9500000000116</v>
      </c>
      <c r="BP19" s="299">
        <v>305004.52</v>
      </c>
      <c r="BQ19" s="299">
        <f t="shared" si="8"/>
        <v>313523.47000000003</v>
      </c>
      <c r="BR19" s="299">
        <v>40143.5</v>
      </c>
      <c r="BS19" s="299">
        <v>-85199.84000000036</v>
      </c>
      <c r="BT19" s="299">
        <v>313523.47000000003</v>
      </c>
      <c r="BU19" s="299">
        <f t="shared" si="9"/>
        <v>268467.12999999977</v>
      </c>
      <c r="BV19" s="299">
        <v>4492.3</v>
      </c>
      <c r="BW19" s="299">
        <v>0</v>
      </c>
      <c r="BX19" s="299">
        <v>0</v>
      </c>
      <c r="BY19" s="299">
        <f t="shared" si="10"/>
        <v>4492.3</v>
      </c>
      <c r="BZ19" s="299">
        <v>0</v>
      </c>
      <c r="CA19" s="299">
        <v>5381</v>
      </c>
      <c r="CB19" s="299">
        <v>0</v>
      </c>
      <c r="CC19" s="299">
        <v>0</v>
      </c>
      <c r="CD19" s="299">
        <f t="shared" si="11"/>
        <v>5381</v>
      </c>
      <c r="CE19" s="299">
        <f t="shared" si="12"/>
        <v>-888.69999999999982</v>
      </c>
      <c r="CF19" s="299">
        <v>5601.5</v>
      </c>
      <c r="CG19" s="299">
        <f t="shared" si="13"/>
        <v>4712.8</v>
      </c>
      <c r="CH19" s="299">
        <v>4712.8</v>
      </c>
      <c r="CI19" s="299">
        <v>0</v>
      </c>
      <c r="CJ19" s="299">
        <f t="shared" si="14"/>
        <v>4712.8</v>
      </c>
    </row>
    <row r="20" spans="1:88" ht="13.8">
      <c r="A20" s="252" t="s">
        <v>1377</v>
      </c>
      <c r="B20" s="288">
        <v>2327</v>
      </c>
      <c r="C20" s="288" t="s">
        <v>721</v>
      </c>
      <c r="D20" s="248" t="s">
        <v>704</v>
      </c>
      <c r="E20" s="380" t="str">
        <f t="shared" si="0"/>
        <v>30EP2327</v>
      </c>
      <c r="F20" s="299">
        <v>2012480.87</v>
      </c>
      <c r="G20" s="299">
        <v>0</v>
      </c>
      <c r="H20" s="299">
        <v>36110.370000000003</v>
      </c>
      <c r="I20" s="299">
        <v>0</v>
      </c>
      <c r="J20" s="299">
        <v>129755</v>
      </c>
      <c r="K20" s="299">
        <v>74094.42</v>
      </c>
      <c r="L20" s="299">
        <v>0</v>
      </c>
      <c r="M20" s="299">
        <v>8672.7800000000007</v>
      </c>
      <c r="N20" s="299">
        <v>3863.96</v>
      </c>
      <c r="O20" s="299">
        <v>35944.699999999997</v>
      </c>
      <c r="P20" s="299">
        <v>0</v>
      </c>
      <c r="Q20" s="299">
        <v>0</v>
      </c>
      <c r="R20" s="299">
        <v>34201.9</v>
      </c>
      <c r="S20" s="299">
        <v>21802.37</v>
      </c>
      <c r="T20" s="299">
        <v>0</v>
      </c>
      <c r="U20" s="299">
        <v>0</v>
      </c>
      <c r="V20" s="299">
        <v>0</v>
      </c>
      <c r="W20" s="299">
        <v>0</v>
      </c>
      <c r="X20" s="299">
        <v>0</v>
      </c>
      <c r="Y20" s="299">
        <f t="shared" si="1"/>
        <v>2356926.37</v>
      </c>
      <c r="Z20" s="299">
        <v>1192113.22</v>
      </c>
      <c r="AA20" s="299">
        <v>77239.72</v>
      </c>
      <c r="AB20" s="299">
        <v>291700.17</v>
      </c>
      <c r="AC20" s="299">
        <v>36422.81</v>
      </c>
      <c r="AD20" s="299">
        <v>137892.37</v>
      </c>
      <c r="AE20" s="299">
        <v>0</v>
      </c>
      <c r="AF20" s="299">
        <v>27342.35</v>
      </c>
      <c r="AG20" s="299">
        <v>6901</v>
      </c>
      <c r="AH20" s="299">
        <v>4769.38</v>
      </c>
      <c r="AI20" s="299">
        <v>0</v>
      </c>
      <c r="AJ20" s="299">
        <v>4843.3999999999996</v>
      </c>
      <c r="AK20" s="299">
        <v>7318.88</v>
      </c>
      <c r="AL20" s="299">
        <v>6210</v>
      </c>
      <c r="AM20" s="299">
        <v>51498.400000000001</v>
      </c>
      <c r="AN20" s="299">
        <v>7517.74</v>
      </c>
      <c r="AO20" s="299">
        <v>62327.39</v>
      </c>
      <c r="AP20" s="299">
        <v>70485</v>
      </c>
      <c r="AQ20" s="299">
        <v>11112.34</v>
      </c>
      <c r="AR20" s="299">
        <v>70965.009999999995</v>
      </c>
      <c r="AS20" s="299">
        <v>42574.39</v>
      </c>
      <c r="AT20" s="299">
        <v>0</v>
      </c>
      <c r="AU20" s="299">
        <v>15020.42</v>
      </c>
      <c r="AV20" s="299">
        <v>10892.55</v>
      </c>
      <c r="AW20" s="299">
        <v>2422.0500000000002</v>
      </c>
      <c r="AX20" s="299">
        <v>122816.63</v>
      </c>
      <c r="AY20" s="299">
        <v>34974.15</v>
      </c>
      <c r="AZ20" s="299">
        <v>8588.3700000000008</v>
      </c>
      <c r="BA20" s="299">
        <v>19964.43</v>
      </c>
      <c r="BB20" s="299">
        <v>0</v>
      </c>
      <c r="BC20" s="299">
        <v>0</v>
      </c>
      <c r="BD20" s="299">
        <v>0</v>
      </c>
      <c r="BE20" s="299">
        <f t="shared" si="2"/>
        <v>2323912.1699999995</v>
      </c>
      <c r="BF20" s="299">
        <f t="shared" si="3"/>
        <v>33014.200000000652</v>
      </c>
      <c r="BG20" s="299">
        <v>190734.40000000078</v>
      </c>
      <c r="BH20" s="299">
        <f t="shared" si="4"/>
        <v>223748.60000000143</v>
      </c>
      <c r="BI20" s="299">
        <v>0</v>
      </c>
      <c r="BJ20" s="299">
        <v>0</v>
      </c>
      <c r="BK20" s="299">
        <f t="shared" si="5"/>
        <v>0</v>
      </c>
      <c r="BL20" s="299">
        <v>0</v>
      </c>
      <c r="BM20" s="299">
        <v>0</v>
      </c>
      <c r="BN20" s="299">
        <f t="shared" si="6"/>
        <v>0</v>
      </c>
      <c r="BO20" s="299">
        <f t="shared" si="7"/>
        <v>0</v>
      </c>
      <c r="BP20" s="299">
        <v>0</v>
      </c>
      <c r="BQ20" s="299">
        <f t="shared" si="8"/>
        <v>0</v>
      </c>
      <c r="BR20" s="299">
        <v>9864</v>
      </c>
      <c r="BS20" s="299">
        <v>213884.60000000143</v>
      </c>
      <c r="BT20" s="299">
        <v>0</v>
      </c>
      <c r="BU20" s="299">
        <f t="shared" si="9"/>
        <v>223748.60000000143</v>
      </c>
      <c r="BV20" s="299">
        <v>8263.75</v>
      </c>
      <c r="BW20" s="299">
        <v>6000</v>
      </c>
      <c r="BX20" s="299">
        <v>0</v>
      </c>
      <c r="BY20" s="299">
        <f t="shared" si="10"/>
        <v>14263.75</v>
      </c>
      <c r="BZ20" s="299">
        <v>0</v>
      </c>
      <c r="CA20" s="299">
        <v>16189.52</v>
      </c>
      <c r="CB20" s="299">
        <v>0</v>
      </c>
      <c r="CC20" s="299">
        <v>10521.9</v>
      </c>
      <c r="CD20" s="299">
        <f t="shared" si="11"/>
        <v>26711.42</v>
      </c>
      <c r="CE20" s="299">
        <f t="shared" si="12"/>
        <v>-12447.669999999998</v>
      </c>
      <c r="CF20" s="299">
        <v>37309.910000000003</v>
      </c>
      <c r="CG20" s="299">
        <f t="shared" si="13"/>
        <v>24862.240000000005</v>
      </c>
      <c r="CH20" s="299">
        <v>24862.240000000005</v>
      </c>
      <c r="CI20" s="299">
        <v>0</v>
      </c>
      <c r="CJ20" s="299">
        <f t="shared" si="14"/>
        <v>24862.240000000005</v>
      </c>
    </row>
    <row r="21" spans="1:88" ht="13.8">
      <c r="A21" s="252" t="s">
        <v>1377</v>
      </c>
      <c r="B21" s="288">
        <v>2452</v>
      </c>
      <c r="C21" s="288" t="s">
        <v>722</v>
      </c>
      <c r="D21" s="248" t="s">
        <v>704</v>
      </c>
      <c r="E21" s="380" t="str">
        <f t="shared" si="0"/>
        <v>30EP2452</v>
      </c>
      <c r="F21" s="299">
        <v>2083917.64</v>
      </c>
      <c r="G21" s="299">
        <v>0</v>
      </c>
      <c r="H21" s="299">
        <v>64748.75</v>
      </c>
      <c r="I21" s="299">
        <v>0</v>
      </c>
      <c r="J21" s="299">
        <v>151750</v>
      </c>
      <c r="K21" s="299">
        <v>80774</v>
      </c>
      <c r="L21" s="299">
        <v>0</v>
      </c>
      <c r="M21" s="299">
        <v>21174.26</v>
      </c>
      <c r="N21" s="299">
        <v>78632.59</v>
      </c>
      <c r="O21" s="299">
        <v>43729.42</v>
      </c>
      <c r="P21" s="299">
        <v>0</v>
      </c>
      <c r="Q21" s="299">
        <v>1672.15</v>
      </c>
      <c r="R21" s="299">
        <v>43070</v>
      </c>
      <c r="S21" s="299">
        <v>2850</v>
      </c>
      <c r="T21" s="299">
        <v>0</v>
      </c>
      <c r="U21" s="299">
        <v>0</v>
      </c>
      <c r="V21" s="299">
        <v>0</v>
      </c>
      <c r="W21" s="299">
        <v>0</v>
      </c>
      <c r="X21" s="299">
        <v>0</v>
      </c>
      <c r="Y21" s="299">
        <f t="shared" si="1"/>
        <v>2572318.8099999991</v>
      </c>
      <c r="Z21" s="299">
        <v>1302885.8400000001</v>
      </c>
      <c r="AA21" s="299">
        <v>6078.97</v>
      </c>
      <c r="AB21" s="299">
        <v>547681.07999999996</v>
      </c>
      <c r="AC21" s="299">
        <v>77046.52</v>
      </c>
      <c r="AD21" s="299">
        <v>122134.13</v>
      </c>
      <c r="AE21" s="299">
        <v>55015.51</v>
      </c>
      <c r="AF21" s="299">
        <v>79470.850000000006</v>
      </c>
      <c r="AG21" s="299">
        <v>56653.85</v>
      </c>
      <c r="AH21" s="299">
        <v>5704.32</v>
      </c>
      <c r="AI21" s="299">
        <v>9500</v>
      </c>
      <c r="AJ21" s="299">
        <v>466.2</v>
      </c>
      <c r="AK21" s="299">
        <v>18415.080000000002</v>
      </c>
      <c r="AL21" s="299">
        <v>3134.87</v>
      </c>
      <c r="AM21" s="299">
        <v>4391.92</v>
      </c>
      <c r="AN21" s="299">
        <v>6470</v>
      </c>
      <c r="AO21" s="299">
        <v>37823.14</v>
      </c>
      <c r="AP21" s="299">
        <v>48840</v>
      </c>
      <c r="AQ21" s="299">
        <v>17976.68</v>
      </c>
      <c r="AR21" s="299">
        <v>69904.31</v>
      </c>
      <c r="AS21" s="299">
        <v>38264.509999999995</v>
      </c>
      <c r="AT21" s="299">
        <v>0</v>
      </c>
      <c r="AU21" s="299">
        <v>18069.91</v>
      </c>
      <c r="AV21" s="299">
        <v>11409.22</v>
      </c>
      <c r="AW21" s="299">
        <v>2444.0300000000002</v>
      </c>
      <c r="AX21" s="299">
        <v>45708.79</v>
      </c>
      <c r="AY21" s="299">
        <v>18733.57</v>
      </c>
      <c r="AZ21" s="299">
        <v>6452.81</v>
      </c>
      <c r="BA21" s="299">
        <v>23085.18</v>
      </c>
      <c r="BB21" s="299">
        <v>0</v>
      </c>
      <c r="BC21" s="299">
        <v>0</v>
      </c>
      <c r="BD21" s="299">
        <v>6204</v>
      </c>
      <c r="BE21" s="299">
        <f t="shared" si="2"/>
        <v>2639965.2900000005</v>
      </c>
      <c r="BF21" s="299">
        <f t="shared" si="3"/>
        <v>-67646.480000001378</v>
      </c>
      <c r="BG21" s="299">
        <v>-6519.7300000001269</v>
      </c>
      <c r="BH21" s="299">
        <f t="shared" si="4"/>
        <v>-74166.210000001505</v>
      </c>
      <c r="BI21" s="299">
        <v>0</v>
      </c>
      <c r="BJ21" s="299">
        <v>0</v>
      </c>
      <c r="BK21" s="299">
        <f t="shared" si="5"/>
        <v>0</v>
      </c>
      <c r="BL21" s="299">
        <v>0</v>
      </c>
      <c r="BM21" s="299">
        <v>0</v>
      </c>
      <c r="BN21" s="299">
        <f t="shared" si="6"/>
        <v>0</v>
      </c>
      <c r="BO21" s="299">
        <f t="shared" si="7"/>
        <v>0</v>
      </c>
      <c r="BP21" s="299">
        <v>0</v>
      </c>
      <c r="BQ21" s="299">
        <f t="shared" si="8"/>
        <v>0</v>
      </c>
      <c r="BR21" s="299">
        <v>0</v>
      </c>
      <c r="BS21" s="299">
        <v>-74166.210000001505</v>
      </c>
      <c r="BT21" s="299">
        <v>0</v>
      </c>
      <c r="BU21" s="299">
        <f t="shared" si="9"/>
        <v>-74166.210000001505</v>
      </c>
      <c r="BV21" s="299">
        <v>8252.5</v>
      </c>
      <c r="BW21" s="299">
        <v>0</v>
      </c>
      <c r="BX21" s="299">
        <v>0</v>
      </c>
      <c r="BY21" s="299">
        <f t="shared" si="10"/>
        <v>8252.5</v>
      </c>
      <c r="BZ21" s="299">
        <v>0</v>
      </c>
      <c r="CA21" s="299">
        <v>0</v>
      </c>
      <c r="CB21" s="299">
        <v>1040</v>
      </c>
      <c r="CC21" s="299">
        <v>2364</v>
      </c>
      <c r="CD21" s="299">
        <f t="shared" si="11"/>
        <v>3404</v>
      </c>
      <c r="CE21" s="299">
        <f t="shared" si="12"/>
        <v>4848.5</v>
      </c>
      <c r="CF21" s="299">
        <v>1597.6999999999964</v>
      </c>
      <c r="CG21" s="299">
        <f t="shared" si="13"/>
        <v>6446.1999999999962</v>
      </c>
      <c r="CH21" s="299">
        <v>4848.5</v>
      </c>
      <c r="CI21" s="299">
        <v>1597.6999999999964</v>
      </c>
      <c r="CJ21" s="299">
        <f t="shared" si="14"/>
        <v>6446.1999999999962</v>
      </c>
    </row>
    <row r="22" spans="1:88" ht="13.8">
      <c r="A22" s="252" t="s">
        <v>1377</v>
      </c>
      <c r="B22" s="288">
        <v>2004</v>
      </c>
      <c r="C22" s="288" t="s">
        <v>723</v>
      </c>
      <c r="D22" s="248" t="s">
        <v>704</v>
      </c>
      <c r="E22" s="380" t="str">
        <f t="shared" si="0"/>
        <v>30EP2004</v>
      </c>
      <c r="F22" s="299">
        <v>1081985.1599999999</v>
      </c>
      <c r="G22" s="299">
        <v>0</v>
      </c>
      <c r="H22" s="299">
        <v>10528.19</v>
      </c>
      <c r="I22" s="299">
        <v>0</v>
      </c>
      <c r="J22" s="299">
        <v>48080</v>
      </c>
      <c r="K22" s="299">
        <v>46671.93</v>
      </c>
      <c r="L22" s="299">
        <v>0</v>
      </c>
      <c r="M22" s="299">
        <v>0</v>
      </c>
      <c r="N22" s="299">
        <v>104825.21</v>
      </c>
      <c r="O22" s="299">
        <v>28278</v>
      </c>
      <c r="P22" s="299">
        <v>2250</v>
      </c>
      <c r="Q22" s="299">
        <v>0</v>
      </c>
      <c r="R22" s="299">
        <v>19902.21</v>
      </c>
      <c r="S22" s="299">
        <v>6338.38</v>
      </c>
      <c r="T22" s="299">
        <v>0</v>
      </c>
      <c r="U22" s="299">
        <v>0</v>
      </c>
      <c r="V22" s="299">
        <v>0</v>
      </c>
      <c r="W22" s="299">
        <v>0</v>
      </c>
      <c r="X22" s="299">
        <v>0</v>
      </c>
      <c r="Y22" s="299">
        <f t="shared" si="1"/>
        <v>1348859.0799999996</v>
      </c>
      <c r="Z22" s="299">
        <v>673049.35</v>
      </c>
      <c r="AA22" s="299">
        <v>223.42</v>
      </c>
      <c r="AB22" s="299">
        <v>171833.03</v>
      </c>
      <c r="AC22" s="299">
        <v>25601.49</v>
      </c>
      <c r="AD22" s="299">
        <v>67746.320000000007</v>
      </c>
      <c r="AE22" s="299">
        <v>0</v>
      </c>
      <c r="AF22" s="299">
        <v>77315.77</v>
      </c>
      <c r="AG22" s="299">
        <v>4558.95</v>
      </c>
      <c r="AH22" s="299">
        <v>1980.3</v>
      </c>
      <c r="AI22" s="299">
        <v>4900</v>
      </c>
      <c r="AJ22" s="299">
        <v>125</v>
      </c>
      <c r="AK22" s="299">
        <v>19169.490000000002</v>
      </c>
      <c r="AL22" s="299">
        <v>2520</v>
      </c>
      <c r="AM22" s="299">
        <v>20511.400000000001</v>
      </c>
      <c r="AN22" s="299">
        <v>0</v>
      </c>
      <c r="AO22" s="299">
        <v>16449.419999999998</v>
      </c>
      <c r="AP22" s="299">
        <v>23827.25</v>
      </c>
      <c r="AQ22" s="299">
        <v>2103.79</v>
      </c>
      <c r="AR22" s="299">
        <v>33633.300000000003</v>
      </c>
      <c r="AS22" s="299">
        <v>46211.61</v>
      </c>
      <c r="AT22" s="299">
        <v>0</v>
      </c>
      <c r="AU22" s="299">
        <v>7449.14</v>
      </c>
      <c r="AV22" s="299">
        <v>5556.59</v>
      </c>
      <c r="AW22" s="299">
        <v>2611.2600000000002</v>
      </c>
      <c r="AX22" s="299">
        <v>77464.960000000006</v>
      </c>
      <c r="AY22" s="299">
        <v>4700</v>
      </c>
      <c r="AZ22" s="299">
        <v>18535.77</v>
      </c>
      <c r="BA22" s="299">
        <v>19771.73</v>
      </c>
      <c r="BB22" s="299">
        <v>0</v>
      </c>
      <c r="BC22" s="299">
        <v>0</v>
      </c>
      <c r="BD22" s="299">
        <v>0</v>
      </c>
      <c r="BE22" s="299">
        <f t="shared" si="2"/>
        <v>1327849.3400000001</v>
      </c>
      <c r="BF22" s="299">
        <f t="shared" si="3"/>
        <v>21009.739999999525</v>
      </c>
      <c r="BG22" s="299">
        <v>34206.039999999964</v>
      </c>
      <c r="BH22" s="299">
        <f t="shared" si="4"/>
        <v>55215.77999999949</v>
      </c>
      <c r="BI22" s="299">
        <v>0</v>
      </c>
      <c r="BJ22" s="299">
        <v>0</v>
      </c>
      <c r="BK22" s="299">
        <f t="shared" si="5"/>
        <v>0</v>
      </c>
      <c r="BL22" s="299">
        <v>0</v>
      </c>
      <c r="BM22" s="299">
        <v>0</v>
      </c>
      <c r="BN22" s="299">
        <f t="shared" si="6"/>
        <v>0</v>
      </c>
      <c r="BO22" s="299">
        <f t="shared" si="7"/>
        <v>0</v>
      </c>
      <c r="BP22" s="299">
        <v>0</v>
      </c>
      <c r="BQ22" s="299">
        <f t="shared" si="8"/>
        <v>0</v>
      </c>
      <c r="BR22" s="299">
        <v>0</v>
      </c>
      <c r="BS22" s="299">
        <v>55215.779999999955</v>
      </c>
      <c r="BT22" s="299">
        <v>0</v>
      </c>
      <c r="BU22" s="299">
        <f t="shared" si="9"/>
        <v>55215.77999999949</v>
      </c>
      <c r="BV22" s="299">
        <v>6283.75</v>
      </c>
      <c r="BW22" s="299">
        <v>0</v>
      </c>
      <c r="BX22" s="299">
        <v>0</v>
      </c>
      <c r="BY22" s="299">
        <f t="shared" si="10"/>
        <v>6283.75</v>
      </c>
      <c r="BZ22" s="299">
        <v>0</v>
      </c>
      <c r="CA22" s="299">
        <v>0</v>
      </c>
      <c r="CB22" s="299">
        <v>0</v>
      </c>
      <c r="CC22" s="299">
        <v>0</v>
      </c>
      <c r="CD22" s="299">
        <f t="shared" si="11"/>
        <v>0</v>
      </c>
      <c r="CE22" s="299">
        <f t="shared" si="12"/>
        <v>6283.75</v>
      </c>
      <c r="CF22" s="299">
        <v>1989.8500000000008</v>
      </c>
      <c r="CG22" s="299">
        <f t="shared" si="13"/>
        <v>8273.6</v>
      </c>
      <c r="CH22" s="299">
        <v>8273.6</v>
      </c>
      <c r="CI22" s="299">
        <v>0</v>
      </c>
      <c r="CJ22" s="299">
        <f t="shared" si="14"/>
        <v>8273.6</v>
      </c>
    </row>
    <row r="23" spans="1:88" ht="13.8">
      <c r="A23" s="252" t="s">
        <v>1377</v>
      </c>
      <c r="B23" s="288">
        <v>3008</v>
      </c>
      <c r="C23" s="288" t="s">
        <v>724</v>
      </c>
      <c r="D23" s="248" t="s">
        <v>704</v>
      </c>
      <c r="E23" s="380" t="str">
        <f t="shared" si="0"/>
        <v>30EP3008</v>
      </c>
      <c r="F23" s="299">
        <v>794598.12</v>
      </c>
      <c r="G23" s="299">
        <v>0</v>
      </c>
      <c r="H23" s="299">
        <v>13649.11</v>
      </c>
      <c r="I23" s="299">
        <v>0</v>
      </c>
      <c r="J23" s="299">
        <v>45000</v>
      </c>
      <c r="K23" s="299">
        <v>28450</v>
      </c>
      <c r="L23" s="299">
        <v>0</v>
      </c>
      <c r="M23" s="299">
        <v>0</v>
      </c>
      <c r="N23" s="299">
        <v>9088.1299999999992</v>
      </c>
      <c r="O23" s="299">
        <v>10194.540000000001</v>
      </c>
      <c r="P23" s="299">
        <v>1440</v>
      </c>
      <c r="Q23" s="299">
        <v>0</v>
      </c>
      <c r="R23" s="299">
        <v>13561.36</v>
      </c>
      <c r="S23" s="299">
        <v>860.54</v>
      </c>
      <c r="T23" s="299">
        <v>0</v>
      </c>
      <c r="U23" s="299">
        <v>0</v>
      </c>
      <c r="V23" s="299">
        <v>0</v>
      </c>
      <c r="W23" s="299">
        <v>0</v>
      </c>
      <c r="X23" s="299">
        <v>0</v>
      </c>
      <c r="Y23" s="299">
        <f t="shared" si="1"/>
        <v>916841.8</v>
      </c>
      <c r="Z23" s="299">
        <v>481413.98</v>
      </c>
      <c r="AA23" s="299">
        <v>16615.2</v>
      </c>
      <c r="AB23" s="299">
        <v>130200.11</v>
      </c>
      <c r="AC23" s="299">
        <v>32987.360000000001</v>
      </c>
      <c r="AD23" s="299">
        <v>45173.35</v>
      </c>
      <c r="AE23" s="299">
        <v>0</v>
      </c>
      <c r="AF23" s="299">
        <v>21095.03</v>
      </c>
      <c r="AG23" s="299">
        <v>3282.3</v>
      </c>
      <c r="AH23" s="299">
        <v>1313.9</v>
      </c>
      <c r="AI23" s="299">
        <v>1846.01</v>
      </c>
      <c r="AJ23" s="299">
        <v>0</v>
      </c>
      <c r="AK23" s="299">
        <v>9346.5</v>
      </c>
      <c r="AL23" s="299">
        <v>1962.5</v>
      </c>
      <c r="AM23" s="299">
        <v>2218.46</v>
      </c>
      <c r="AN23" s="299">
        <v>4114.63</v>
      </c>
      <c r="AO23" s="299">
        <v>14628.51</v>
      </c>
      <c r="AP23" s="299">
        <v>18587.75</v>
      </c>
      <c r="AQ23" s="299">
        <v>5924.31</v>
      </c>
      <c r="AR23" s="299">
        <v>41300.22</v>
      </c>
      <c r="AS23" s="299">
        <v>26133.5</v>
      </c>
      <c r="AT23" s="299">
        <v>0</v>
      </c>
      <c r="AU23" s="299">
        <v>7007.1</v>
      </c>
      <c r="AV23" s="299">
        <v>3822.45</v>
      </c>
      <c r="AW23" s="299">
        <v>0</v>
      </c>
      <c r="AX23" s="299">
        <v>40570.910000000003</v>
      </c>
      <c r="AY23" s="299">
        <v>11640.14</v>
      </c>
      <c r="AZ23" s="299">
        <v>0</v>
      </c>
      <c r="BA23" s="299">
        <v>12284.02</v>
      </c>
      <c r="BB23" s="299">
        <v>0</v>
      </c>
      <c r="BC23" s="299">
        <v>0</v>
      </c>
      <c r="BD23" s="299">
        <v>0</v>
      </c>
      <c r="BE23" s="299">
        <f t="shared" si="2"/>
        <v>933468.24000000011</v>
      </c>
      <c r="BF23" s="299">
        <f t="shared" si="3"/>
        <v>-16626.440000000061</v>
      </c>
      <c r="BG23" s="299">
        <v>-4508.4000000002234</v>
      </c>
      <c r="BH23" s="299">
        <f t="shared" si="4"/>
        <v>-21134.840000000284</v>
      </c>
      <c r="BI23" s="299">
        <v>0</v>
      </c>
      <c r="BJ23" s="299">
        <v>0</v>
      </c>
      <c r="BK23" s="299">
        <f t="shared" si="5"/>
        <v>0</v>
      </c>
      <c r="BL23" s="299">
        <v>0</v>
      </c>
      <c r="BM23" s="299">
        <v>0</v>
      </c>
      <c r="BN23" s="299">
        <f t="shared" si="6"/>
        <v>0</v>
      </c>
      <c r="BO23" s="299">
        <f t="shared" si="7"/>
        <v>0</v>
      </c>
      <c r="BP23" s="299">
        <v>0</v>
      </c>
      <c r="BQ23" s="299">
        <f t="shared" si="8"/>
        <v>0</v>
      </c>
      <c r="BR23" s="299">
        <v>0</v>
      </c>
      <c r="BS23" s="299">
        <v>-21134.8400000004</v>
      </c>
      <c r="BT23" s="299">
        <v>0</v>
      </c>
      <c r="BU23" s="299">
        <f t="shared" si="9"/>
        <v>-21134.840000000284</v>
      </c>
      <c r="BV23" s="299">
        <v>5530</v>
      </c>
      <c r="BW23" s="299">
        <v>0</v>
      </c>
      <c r="BX23" s="299">
        <v>0</v>
      </c>
      <c r="BY23" s="299">
        <f t="shared" si="10"/>
        <v>5530</v>
      </c>
      <c r="BZ23" s="299">
        <v>0</v>
      </c>
      <c r="CA23" s="299">
        <v>0</v>
      </c>
      <c r="CB23" s="299">
        <v>0</v>
      </c>
      <c r="CC23" s="299">
        <v>14766.79</v>
      </c>
      <c r="CD23" s="299">
        <f t="shared" si="11"/>
        <v>14766.79</v>
      </c>
      <c r="CE23" s="299">
        <f t="shared" si="12"/>
        <v>-9236.7900000000009</v>
      </c>
      <c r="CF23" s="299">
        <v>15687.83</v>
      </c>
      <c r="CG23" s="299">
        <f t="shared" si="13"/>
        <v>6451.0399999999991</v>
      </c>
      <c r="CH23" s="299">
        <v>6451.0399999999991</v>
      </c>
      <c r="CI23" s="299">
        <v>0</v>
      </c>
      <c r="CJ23" s="299">
        <f t="shared" si="14"/>
        <v>6451.0399999999991</v>
      </c>
    </row>
    <row r="24" spans="1:88" ht="13.8">
      <c r="A24" s="252" t="s">
        <v>1377</v>
      </c>
      <c r="B24" s="288">
        <v>7026</v>
      </c>
      <c r="C24" s="288" t="s">
        <v>725</v>
      </c>
      <c r="D24" s="248" t="s">
        <v>726</v>
      </c>
      <c r="E24" s="380" t="str">
        <f t="shared" si="0"/>
        <v>30ES7026</v>
      </c>
      <c r="F24" s="299">
        <v>2844092.39</v>
      </c>
      <c r="G24" s="299">
        <v>511464.71</v>
      </c>
      <c r="H24" s="299">
        <v>3442474.3</v>
      </c>
      <c r="I24" s="299">
        <v>0</v>
      </c>
      <c r="J24" s="299">
        <v>114379</v>
      </c>
      <c r="K24" s="299">
        <v>31207.29</v>
      </c>
      <c r="L24" s="299">
        <v>0</v>
      </c>
      <c r="M24" s="299">
        <v>0</v>
      </c>
      <c r="N24" s="299">
        <v>122731.16</v>
      </c>
      <c r="O24" s="299">
        <v>24840.54</v>
      </c>
      <c r="P24" s="299">
        <v>0</v>
      </c>
      <c r="Q24" s="299">
        <v>0</v>
      </c>
      <c r="R24" s="299">
        <v>5122</v>
      </c>
      <c r="S24" s="299">
        <v>13611.91</v>
      </c>
      <c r="T24" s="299">
        <v>0</v>
      </c>
      <c r="U24" s="299">
        <v>0</v>
      </c>
      <c r="V24" s="299">
        <v>0</v>
      </c>
      <c r="W24" s="299">
        <v>0</v>
      </c>
      <c r="X24" s="299">
        <v>0</v>
      </c>
      <c r="Y24" s="299">
        <f t="shared" si="1"/>
        <v>7109923.3000000007</v>
      </c>
      <c r="Z24" s="299">
        <v>2789365.25</v>
      </c>
      <c r="AA24" s="299">
        <v>0</v>
      </c>
      <c r="AB24" s="299">
        <v>2476100.0299999998</v>
      </c>
      <c r="AC24" s="299">
        <v>80195.91</v>
      </c>
      <c r="AD24" s="299">
        <v>158809.57999999999</v>
      </c>
      <c r="AE24" s="299">
        <v>0</v>
      </c>
      <c r="AF24" s="299">
        <v>168518.75</v>
      </c>
      <c r="AG24" s="299">
        <v>25631.21</v>
      </c>
      <c r="AH24" s="299">
        <v>17372.02</v>
      </c>
      <c r="AI24" s="299">
        <v>0</v>
      </c>
      <c r="AJ24" s="299">
        <v>0</v>
      </c>
      <c r="AK24" s="299">
        <v>58220.480000000003</v>
      </c>
      <c r="AL24" s="299">
        <v>1666.42</v>
      </c>
      <c r="AM24" s="299">
        <v>111407.95</v>
      </c>
      <c r="AN24" s="299">
        <v>18491.29</v>
      </c>
      <c r="AO24" s="299">
        <v>62604.58</v>
      </c>
      <c r="AP24" s="299">
        <v>0</v>
      </c>
      <c r="AQ24" s="299">
        <v>25109.4</v>
      </c>
      <c r="AR24" s="299">
        <v>92469.34</v>
      </c>
      <c r="AS24" s="299">
        <v>93033.040000000008</v>
      </c>
      <c r="AT24" s="299">
        <v>3033.37</v>
      </c>
      <c r="AU24" s="299">
        <v>21994.07</v>
      </c>
      <c r="AV24" s="299">
        <v>16951.04</v>
      </c>
      <c r="AW24" s="299">
        <v>54167.23</v>
      </c>
      <c r="AX24" s="299">
        <v>80767.509999999995</v>
      </c>
      <c r="AY24" s="299">
        <v>0</v>
      </c>
      <c r="AZ24" s="299">
        <v>1460794.29</v>
      </c>
      <c r="BA24" s="299">
        <v>63651.05</v>
      </c>
      <c r="BB24" s="299">
        <v>0</v>
      </c>
      <c r="BC24" s="299">
        <v>3419.41</v>
      </c>
      <c r="BD24" s="299">
        <v>8691.51</v>
      </c>
      <c r="BE24" s="299">
        <f t="shared" si="2"/>
        <v>7892464.7300000004</v>
      </c>
      <c r="BF24" s="299">
        <f t="shared" si="3"/>
        <v>-782541.4299999997</v>
      </c>
      <c r="BG24" s="299">
        <v>-921025.14999999735</v>
      </c>
      <c r="BH24" s="299">
        <f t="shared" si="4"/>
        <v>-1703566.579999997</v>
      </c>
      <c r="BI24" s="299">
        <v>0</v>
      </c>
      <c r="BJ24" s="299">
        <v>0</v>
      </c>
      <c r="BK24" s="299">
        <f t="shared" si="5"/>
        <v>0</v>
      </c>
      <c r="BL24" s="299">
        <v>0</v>
      </c>
      <c r="BM24" s="299">
        <v>0</v>
      </c>
      <c r="BN24" s="299">
        <f t="shared" si="6"/>
        <v>0</v>
      </c>
      <c r="BO24" s="299">
        <f t="shared" si="7"/>
        <v>0</v>
      </c>
      <c r="BP24" s="299">
        <v>0</v>
      </c>
      <c r="BQ24" s="299">
        <f t="shared" si="8"/>
        <v>0</v>
      </c>
      <c r="BR24" s="299">
        <v>0</v>
      </c>
      <c r="BS24" s="299">
        <v>-1703566.579999997</v>
      </c>
      <c r="BT24" s="299">
        <v>0</v>
      </c>
      <c r="BU24" s="299">
        <f t="shared" si="9"/>
        <v>-1703566.579999997</v>
      </c>
      <c r="BV24" s="299">
        <v>16048.75</v>
      </c>
      <c r="BW24" s="299">
        <v>0</v>
      </c>
      <c r="BX24" s="299">
        <v>0</v>
      </c>
      <c r="BY24" s="299">
        <f t="shared" si="10"/>
        <v>16048.75</v>
      </c>
      <c r="BZ24" s="299">
        <v>0</v>
      </c>
      <c r="CA24" s="299">
        <v>16048.75</v>
      </c>
      <c r="CB24" s="299">
        <v>0</v>
      </c>
      <c r="CC24" s="299">
        <v>0</v>
      </c>
      <c r="CD24" s="299">
        <f t="shared" si="11"/>
        <v>16048.75</v>
      </c>
      <c r="CE24" s="299">
        <f t="shared" si="12"/>
        <v>0</v>
      </c>
      <c r="CF24" s="299">
        <v>0</v>
      </c>
      <c r="CG24" s="299">
        <f t="shared" si="13"/>
        <v>0</v>
      </c>
      <c r="CH24" s="299">
        <v>0</v>
      </c>
      <c r="CI24" s="299">
        <v>0</v>
      </c>
      <c r="CJ24" s="299">
        <f t="shared" si="14"/>
        <v>0</v>
      </c>
    </row>
    <row r="25" spans="1:88" ht="13.8">
      <c r="A25" s="252" t="s">
        <v>1377</v>
      </c>
      <c r="B25" s="288">
        <v>3050</v>
      </c>
      <c r="C25" s="288" t="s">
        <v>727</v>
      </c>
      <c r="D25" s="248" t="s">
        <v>704</v>
      </c>
      <c r="E25" s="380" t="str">
        <f t="shared" si="0"/>
        <v>30EP3050</v>
      </c>
      <c r="F25" s="299">
        <v>1074968.8400000001</v>
      </c>
      <c r="G25" s="299">
        <v>0</v>
      </c>
      <c r="H25" s="299">
        <v>64594.239999999998</v>
      </c>
      <c r="I25" s="299">
        <v>0</v>
      </c>
      <c r="J25" s="299">
        <v>60200</v>
      </c>
      <c r="K25" s="299">
        <v>46019.93</v>
      </c>
      <c r="L25" s="299">
        <v>0</v>
      </c>
      <c r="M25" s="299">
        <v>8208</v>
      </c>
      <c r="N25" s="299">
        <v>6283.25</v>
      </c>
      <c r="O25" s="299">
        <v>17460.27</v>
      </c>
      <c r="P25" s="299">
        <v>0</v>
      </c>
      <c r="Q25" s="299">
        <v>621.57000000000005</v>
      </c>
      <c r="R25" s="299">
        <v>21362.720000000001</v>
      </c>
      <c r="S25" s="299">
        <v>2359.35</v>
      </c>
      <c r="T25" s="299">
        <v>0</v>
      </c>
      <c r="U25" s="299">
        <v>0</v>
      </c>
      <c r="V25" s="299">
        <v>0</v>
      </c>
      <c r="W25" s="299">
        <v>0</v>
      </c>
      <c r="X25" s="299">
        <v>0</v>
      </c>
      <c r="Y25" s="299">
        <f t="shared" si="1"/>
        <v>1302078.1700000002</v>
      </c>
      <c r="Z25" s="299">
        <v>638466.57999999996</v>
      </c>
      <c r="AA25" s="299">
        <v>4225.54</v>
      </c>
      <c r="AB25" s="299">
        <v>334739.69</v>
      </c>
      <c r="AC25" s="299">
        <v>38823.019999999997</v>
      </c>
      <c r="AD25" s="299">
        <v>93316.02</v>
      </c>
      <c r="AE25" s="299">
        <v>0</v>
      </c>
      <c r="AF25" s="299">
        <v>7217.8</v>
      </c>
      <c r="AG25" s="299">
        <v>4381.8999999999996</v>
      </c>
      <c r="AH25" s="299">
        <v>3263.2</v>
      </c>
      <c r="AI25" s="299">
        <v>4350</v>
      </c>
      <c r="AJ25" s="299">
        <v>0</v>
      </c>
      <c r="AK25" s="299">
        <v>7133.17</v>
      </c>
      <c r="AL25" s="299">
        <v>2749.95</v>
      </c>
      <c r="AM25" s="299">
        <v>2866.2</v>
      </c>
      <c r="AN25" s="299">
        <v>6186.74</v>
      </c>
      <c r="AO25" s="299">
        <v>22666.45</v>
      </c>
      <c r="AP25" s="299">
        <v>22954</v>
      </c>
      <c r="AQ25" s="299">
        <v>25560.81</v>
      </c>
      <c r="AR25" s="299">
        <v>36572.54</v>
      </c>
      <c r="AS25" s="299">
        <v>25341.93</v>
      </c>
      <c r="AT25" s="299">
        <v>0</v>
      </c>
      <c r="AU25" s="299">
        <v>10209.68</v>
      </c>
      <c r="AV25" s="299">
        <v>4881.88</v>
      </c>
      <c r="AW25" s="299">
        <v>-92.33</v>
      </c>
      <c r="AX25" s="299">
        <v>58140.69</v>
      </c>
      <c r="AY25" s="299">
        <v>3531.54</v>
      </c>
      <c r="AZ25" s="299">
        <v>8637.33</v>
      </c>
      <c r="BA25" s="299">
        <v>25080.6</v>
      </c>
      <c r="BB25" s="299">
        <v>0</v>
      </c>
      <c r="BC25" s="299">
        <v>0</v>
      </c>
      <c r="BD25" s="299">
        <v>1738.56</v>
      </c>
      <c r="BE25" s="299">
        <f t="shared" si="2"/>
        <v>1392943.4899999998</v>
      </c>
      <c r="BF25" s="299">
        <f t="shared" si="3"/>
        <v>-90865.3199999996</v>
      </c>
      <c r="BG25" s="299">
        <v>-17906.739999999907</v>
      </c>
      <c r="BH25" s="299">
        <f t="shared" si="4"/>
        <v>-108772.0599999995</v>
      </c>
      <c r="BI25" s="299">
        <v>0</v>
      </c>
      <c r="BJ25" s="299">
        <v>0</v>
      </c>
      <c r="BK25" s="299">
        <f t="shared" si="5"/>
        <v>0</v>
      </c>
      <c r="BL25" s="299">
        <v>0</v>
      </c>
      <c r="BM25" s="299">
        <v>0</v>
      </c>
      <c r="BN25" s="299">
        <f t="shared" si="6"/>
        <v>0</v>
      </c>
      <c r="BO25" s="299">
        <f t="shared" si="7"/>
        <v>0</v>
      </c>
      <c r="BP25" s="299">
        <v>0</v>
      </c>
      <c r="BQ25" s="299">
        <f t="shared" si="8"/>
        <v>0</v>
      </c>
      <c r="BR25" s="299">
        <v>4432.99</v>
      </c>
      <c r="BS25" s="299">
        <v>-113205.04999999951</v>
      </c>
      <c r="BT25" s="299">
        <v>0</v>
      </c>
      <c r="BU25" s="299">
        <f t="shared" si="9"/>
        <v>-108772.0599999995</v>
      </c>
      <c r="BV25" s="299">
        <v>6020.5</v>
      </c>
      <c r="BW25" s="299">
        <v>0</v>
      </c>
      <c r="BX25" s="299">
        <v>0</v>
      </c>
      <c r="BY25" s="299">
        <f t="shared" si="10"/>
        <v>6020.5</v>
      </c>
      <c r="BZ25" s="299">
        <v>0</v>
      </c>
      <c r="CA25" s="299">
        <v>11692.21</v>
      </c>
      <c r="CB25" s="299">
        <v>0</v>
      </c>
      <c r="CC25" s="299">
        <v>704.94</v>
      </c>
      <c r="CD25" s="299">
        <f t="shared" si="11"/>
        <v>12397.15</v>
      </c>
      <c r="CE25" s="299">
        <f t="shared" si="12"/>
        <v>-6376.65</v>
      </c>
      <c r="CF25" s="299">
        <v>15428.84</v>
      </c>
      <c r="CG25" s="299">
        <f t="shared" si="13"/>
        <v>9052.19</v>
      </c>
      <c r="CH25" s="299">
        <v>7519.85</v>
      </c>
      <c r="CI25" s="299">
        <v>1532.34</v>
      </c>
      <c r="CJ25" s="299">
        <f t="shared" si="14"/>
        <v>9052.19</v>
      </c>
    </row>
    <row r="26" spans="1:88" ht="13.8">
      <c r="A26" s="252" t="s">
        <v>1377</v>
      </c>
      <c r="B26" s="288">
        <v>3009</v>
      </c>
      <c r="C26" s="288" t="s">
        <v>728</v>
      </c>
      <c r="D26" s="248" t="s">
        <v>704</v>
      </c>
      <c r="E26" s="380" t="str">
        <f t="shared" si="0"/>
        <v>30EP3009</v>
      </c>
      <c r="F26" s="299">
        <v>844123.98</v>
      </c>
      <c r="G26" s="299">
        <v>0</v>
      </c>
      <c r="H26" s="299">
        <v>23435.16</v>
      </c>
      <c r="I26" s="299">
        <v>0</v>
      </c>
      <c r="J26" s="299">
        <v>43820</v>
      </c>
      <c r="K26" s="299">
        <v>46465.13</v>
      </c>
      <c r="L26" s="299">
        <v>0</v>
      </c>
      <c r="M26" s="299">
        <v>0</v>
      </c>
      <c r="N26" s="299">
        <v>26299.45</v>
      </c>
      <c r="O26" s="299">
        <v>13341.93</v>
      </c>
      <c r="P26" s="299">
        <v>0</v>
      </c>
      <c r="Q26" s="299">
        <v>119.6</v>
      </c>
      <c r="R26" s="299">
        <v>12160</v>
      </c>
      <c r="S26" s="299">
        <v>7706.68</v>
      </c>
      <c r="T26" s="299">
        <v>0</v>
      </c>
      <c r="U26" s="299">
        <v>0</v>
      </c>
      <c r="V26" s="299">
        <v>0</v>
      </c>
      <c r="W26" s="299">
        <v>0</v>
      </c>
      <c r="X26" s="299">
        <v>0</v>
      </c>
      <c r="Y26" s="299">
        <f t="shared" si="1"/>
        <v>1017471.93</v>
      </c>
      <c r="Z26" s="299">
        <v>518730.94</v>
      </c>
      <c r="AA26" s="299">
        <v>2509.34</v>
      </c>
      <c r="AB26" s="299">
        <v>170115.32</v>
      </c>
      <c r="AC26" s="299">
        <v>0</v>
      </c>
      <c r="AD26" s="299">
        <v>41171.01</v>
      </c>
      <c r="AE26" s="299">
        <v>0</v>
      </c>
      <c r="AF26" s="299">
        <v>32183.919999999998</v>
      </c>
      <c r="AG26" s="299">
        <v>3147.4</v>
      </c>
      <c r="AH26" s="299">
        <v>2854.03</v>
      </c>
      <c r="AI26" s="299">
        <v>3675</v>
      </c>
      <c r="AJ26" s="299">
        <v>686.25</v>
      </c>
      <c r="AK26" s="299">
        <v>7807.36</v>
      </c>
      <c r="AL26" s="299">
        <v>3048</v>
      </c>
      <c r="AM26" s="299">
        <v>22835.17</v>
      </c>
      <c r="AN26" s="299">
        <v>5208.6000000000004</v>
      </c>
      <c r="AO26" s="299">
        <v>15714.92</v>
      </c>
      <c r="AP26" s="299">
        <v>16591.75</v>
      </c>
      <c r="AQ26" s="299">
        <v>7557.49</v>
      </c>
      <c r="AR26" s="299">
        <v>35974.06</v>
      </c>
      <c r="AS26" s="299">
        <v>20277.96</v>
      </c>
      <c r="AT26" s="299">
        <v>0</v>
      </c>
      <c r="AU26" s="299">
        <v>8030.78</v>
      </c>
      <c r="AV26" s="299">
        <v>4205.22</v>
      </c>
      <c r="AW26" s="299">
        <v>477.69</v>
      </c>
      <c r="AX26" s="299">
        <v>49923.77</v>
      </c>
      <c r="AY26" s="299">
        <v>0</v>
      </c>
      <c r="AZ26" s="299">
        <v>172</v>
      </c>
      <c r="BA26" s="299">
        <v>14263.71</v>
      </c>
      <c r="BB26" s="299">
        <v>0</v>
      </c>
      <c r="BC26" s="299">
        <v>0</v>
      </c>
      <c r="BD26" s="299">
        <v>11599.96</v>
      </c>
      <c r="BE26" s="299">
        <f t="shared" si="2"/>
        <v>998761.65000000014</v>
      </c>
      <c r="BF26" s="299">
        <f t="shared" si="3"/>
        <v>18710.279999999912</v>
      </c>
      <c r="BG26" s="299">
        <v>112643.96999999983</v>
      </c>
      <c r="BH26" s="299">
        <f t="shared" si="4"/>
        <v>131354.24999999974</v>
      </c>
      <c r="BI26" s="299">
        <v>0</v>
      </c>
      <c r="BJ26" s="299">
        <v>0</v>
      </c>
      <c r="BK26" s="299">
        <f t="shared" si="5"/>
        <v>0</v>
      </c>
      <c r="BL26" s="299">
        <v>0</v>
      </c>
      <c r="BM26" s="299">
        <v>0</v>
      </c>
      <c r="BN26" s="299">
        <f t="shared" si="6"/>
        <v>0</v>
      </c>
      <c r="BO26" s="299">
        <f t="shared" si="7"/>
        <v>0</v>
      </c>
      <c r="BP26" s="299">
        <v>0</v>
      </c>
      <c r="BQ26" s="299">
        <f t="shared" si="8"/>
        <v>0</v>
      </c>
      <c r="BR26" s="299">
        <v>19092</v>
      </c>
      <c r="BS26" s="299">
        <v>112262.24999999985</v>
      </c>
      <c r="BT26" s="299">
        <v>0</v>
      </c>
      <c r="BU26" s="299">
        <f t="shared" si="9"/>
        <v>131354.24999999974</v>
      </c>
      <c r="BV26" s="299">
        <v>5642.5</v>
      </c>
      <c r="BW26" s="299">
        <v>0</v>
      </c>
      <c r="BX26" s="299">
        <v>11599.96</v>
      </c>
      <c r="BY26" s="299">
        <f t="shared" si="10"/>
        <v>17242.46</v>
      </c>
      <c r="BZ26" s="299">
        <v>0</v>
      </c>
      <c r="CA26" s="299">
        <v>29081.11</v>
      </c>
      <c r="CB26" s="299">
        <v>6124.75</v>
      </c>
      <c r="CC26" s="299">
        <v>5356.86</v>
      </c>
      <c r="CD26" s="299">
        <f t="shared" si="11"/>
        <v>40562.720000000001</v>
      </c>
      <c r="CE26" s="299">
        <f t="shared" si="12"/>
        <v>-23320.260000000002</v>
      </c>
      <c r="CF26" s="299">
        <v>23320.26</v>
      </c>
      <c r="CG26" s="299">
        <f t="shared" si="13"/>
        <v>0</v>
      </c>
      <c r="CH26" s="299">
        <v>0</v>
      </c>
      <c r="CI26" s="299">
        <v>0</v>
      </c>
      <c r="CJ26" s="299">
        <f t="shared" si="14"/>
        <v>0</v>
      </c>
    </row>
    <row r="27" spans="1:88" ht="13.8">
      <c r="A27" s="252" t="s">
        <v>1377</v>
      </c>
      <c r="B27" s="288">
        <v>2091</v>
      </c>
      <c r="C27" s="288" t="s">
        <v>729</v>
      </c>
      <c r="D27" s="248" t="s">
        <v>704</v>
      </c>
      <c r="E27" s="380" t="str">
        <f t="shared" si="0"/>
        <v>30EP2091</v>
      </c>
      <c r="F27" s="299">
        <v>1163151.68</v>
      </c>
      <c r="G27" s="299">
        <v>0</v>
      </c>
      <c r="H27" s="299">
        <v>68081.289999999994</v>
      </c>
      <c r="I27" s="299">
        <v>0</v>
      </c>
      <c r="J27" s="299">
        <v>73435</v>
      </c>
      <c r="K27" s="299">
        <v>124717</v>
      </c>
      <c r="L27" s="299">
        <v>3868.83</v>
      </c>
      <c r="M27" s="299">
        <v>0</v>
      </c>
      <c r="N27" s="299">
        <v>7513.3</v>
      </c>
      <c r="O27" s="299">
        <v>3</v>
      </c>
      <c r="P27" s="299">
        <v>0</v>
      </c>
      <c r="Q27" s="299">
        <v>0</v>
      </c>
      <c r="R27" s="299">
        <v>1942.86</v>
      </c>
      <c r="S27" s="299">
        <v>1846.76</v>
      </c>
      <c r="T27" s="299">
        <v>0</v>
      </c>
      <c r="U27" s="299">
        <v>0</v>
      </c>
      <c r="V27" s="299">
        <v>0</v>
      </c>
      <c r="W27" s="299">
        <v>0</v>
      </c>
      <c r="X27" s="299">
        <v>0</v>
      </c>
      <c r="Y27" s="299">
        <f t="shared" si="1"/>
        <v>1444559.7200000002</v>
      </c>
      <c r="Z27" s="299">
        <v>595888</v>
      </c>
      <c r="AA27" s="299">
        <v>0</v>
      </c>
      <c r="AB27" s="299">
        <v>313235.87</v>
      </c>
      <c r="AC27" s="299">
        <v>61254.27</v>
      </c>
      <c r="AD27" s="299">
        <v>97296.19</v>
      </c>
      <c r="AE27" s="299">
        <v>0</v>
      </c>
      <c r="AF27" s="299">
        <v>38474.86</v>
      </c>
      <c r="AG27" s="299">
        <v>4996.04</v>
      </c>
      <c r="AH27" s="299">
        <v>10769.64</v>
      </c>
      <c r="AI27" s="299">
        <v>4175</v>
      </c>
      <c r="AJ27" s="299">
        <v>1601.25</v>
      </c>
      <c r="AK27" s="299">
        <v>6352.35</v>
      </c>
      <c r="AL27" s="299">
        <v>3153.3</v>
      </c>
      <c r="AM27" s="299">
        <v>4414.09</v>
      </c>
      <c r="AN27" s="299">
        <v>7009</v>
      </c>
      <c r="AO27" s="299">
        <v>29255.26</v>
      </c>
      <c r="AP27" s="299">
        <v>23078.75</v>
      </c>
      <c r="AQ27" s="299">
        <v>13254.3</v>
      </c>
      <c r="AR27" s="299">
        <v>38631.18</v>
      </c>
      <c r="AS27" s="299">
        <v>36406.28</v>
      </c>
      <c r="AT27" s="299">
        <v>0</v>
      </c>
      <c r="AU27" s="299">
        <v>8516.7999999999993</v>
      </c>
      <c r="AV27" s="299">
        <v>5340.2</v>
      </c>
      <c r="AW27" s="299">
        <v>1554.9</v>
      </c>
      <c r="AX27" s="299">
        <v>65772.55</v>
      </c>
      <c r="AY27" s="299">
        <v>26186.44</v>
      </c>
      <c r="AZ27" s="299">
        <v>2847.67</v>
      </c>
      <c r="BA27" s="299">
        <v>12338.51</v>
      </c>
      <c r="BB27" s="299">
        <v>0</v>
      </c>
      <c r="BC27" s="299">
        <v>0</v>
      </c>
      <c r="BD27" s="299">
        <v>10991</v>
      </c>
      <c r="BE27" s="299">
        <f t="shared" si="2"/>
        <v>1422793.7000000002</v>
      </c>
      <c r="BF27" s="299">
        <f t="shared" si="3"/>
        <v>21766.020000000019</v>
      </c>
      <c r="BG27" s="299">
        <v>240297.92000000025</v>
      </c>
      <c r="BH27" s="299">
        <f t="shared" si="4"/>
        <v>262063.94000000026</v>
      </c>
      <c r="BI27" s="299">
        <v>0</v>
      </c>
      <c r="BJ27" s="299">
        <v>0</v>
      </c>
      <c r="BK27" s="299">
        <f t="shared" si="5"/>
        <v>0</v>
      </c>
      <c r="BL27" s="299">
        <v>0</v>
      </c>
      <c r="BM27" s="299">
        <v>0</v>
      </c>
      <c r="BN27" s="299">
        <f t="shared" si="6"/>
        <v>0</v>
      </c>
      <c r="BO27" s="299">
        <f t="shared" si="7"/>
        <v>0</v>
      </c>
      <c r="BP27" s="299">
        <v>0</v>
      </c>
      <c r="BQ27" s="299">
        <f t="shared" si="8"/>
        <v>0</v>
      </c>
      <c r="BR27" s="299">
        <v>45858.25</v>
      </c>
      <c r="BS27" s="299">
        <v>216205.69000000026</v>
      </c>
      <c r="BT27" s="299">
        <v>0</v>
      </c>
      <c r="BU27" s="299">
        <f t="shared" si="9"/>
        <v>262063.94000000026</v>
      </c>
      <c r="BV27" s="299">
        <v>5989</v>
      </c>
      <c r="BW27" s="299">
        <v>0</v>
      </c>
      <c r="BX27" s="299">
        <v>10991</v>
      </c>
      <c r="BY27" s="299">
        <f t="shared" si="10"/>
        <v>16980</v>
      </c>
      <c r="BZ27" s="299">
        <v>0</v>
      </c>
      <c r="CA27" s="299">
        <v>16980</v>
      </c>
      <c r="CB27" s="299">
        <v>0</v>
      </c>
      <c r="CC27" s="299">
        <v>0</v>
      </c>
      <c r="CD27" s="299">
        <f t="shared" si="11"/>
        <v>16980</v>
      </c>
      <c r="CE27" s="299">
        <f t="shared" si="12"/>
        <v>0</v>
      </c>
      <c r="CF27" s="299">
        <v>0</v>
      </c>
      <c r="CG27" s="299">
        <f t="shared" si="13"/>
        <v>0</v>
      </c>
      <c r="CH27" s="299">
        <v>0</v>
      </c>
      <c r="CI27" s="299">
        <v>0</v>
      </c>
      <c r="CJ27" s="299">
        <f t="shared" si="14"/>
        <v>0</v>
      </c>
    </row>
    <row r="28" spans="1:88" ht="13.8">
      <c r="A28" s="252" t="s">
        <v>1377</v>
      </c>
      <c r="B28" s="288">
        <v>2065</v>
      </c>
      <c r="C28" s="288" t="s">
        <v>730</v>
      </c>
      <c r="D28" s="248" t="s">
        <v>704</v>
      </c>
      <c r="E28" s="380" t="str">
        <f t="shared" si="0"/>
        <v>30EP2065</v>
      </c>
      <c r="F28" s="299">
        <v>1067244.0900000001</v>
      </c>
      <c r="G28" s="299">
        <v>0</v>
      </c>
      <c r="H28" s="299">
        <v>140295.14000000001</v>
      </c>
      <c r="I28" s="299">
        <v>0</v>
      </c>
      <c r="J28" s="299">
        <v>62782</v>
      </c>
      <c r="K28" s="299">
        <v>58248</v>
      </c>
      <c r="L28" s="299">
        <v>1319.83</v>
      </c>
      <c r="M28" s="299">
        <v>4324</v>
      </c>
      <c r="N28" s="299">
        <v>58519.26</v>
      </c>
      <c r="O28" s="299">
        <v>15903.73</v>
      </c>
      <c r="P28" s="299">
        <v>0</v>
      </c>
      <c r="Q28" s="299">
        <v>0</v>
      </c>
      <c r="R28" s="299">
        <v>13595.97</v>
      </c>
      <c r="S28" s="299">
        <v>893.85</v>
      </c>
      <c r="T28" s="299">
        <v>0</v>
      </c>
      <c r="U28" s="299">
        <v>0</v>
      </c>
      <c r="V28" s="299">
        <v>0</v>
      </c>
      <c r="W28" s="299">
        <v>0</v>
      </c>
      <c r="X28" s="299">
        <v>0</v>
      </c>
      <c r="Y28" s="299">
        <f t="shared" si="1"/>
        <v>1423125.87</v>
      </c>
      <c r="Z28" s="299">
        <v>633882.03</v>
      </c>
      <c r="AA28" s="299">
        <v>7419.07</v>
      </c>
      <c r="AB28" s="299">
        <v>353714.38</v>
      </c>
      <c r="AC28" s="299">
        <v>4704.84</v>
      </c>
      <c r="AD28" s="299">
        <v>78064.399999999994</v>
      </c>
      <c r="AE28" s="299">
        <v>0</v>
      </c>
      <c r="AF28" s="299">
        <v>59478.49</v>
      </c>
      <c r="AG28" s="299">
        <v>7184.67</v>
      </c>
      <c r="AH28" s="299">
        <v>7035.31</v>
      </c>
      <c r="AI28" s="299">
        <v>0</v>
      </c>
      <c r="AJ28" s="299">
        <v>0</v>
      </c>
      <c r="AK28" s="299">
        <v>17461.04</v>
      </c>
      <c r="AL28" s="299">
        <v>3718.75</v>
      </c>
      <c r="AM28" s="299">
        <v>34939.69</v>
      </c>
      <c r="AN28" s="299">
        <v>2847.05</v>
      </c>
      <c r="AO28" s="299">
        <v>17346.5</v>
      </c>
      <c r="AP28" s="299">
        <v>21956</v>
      </c>
      <c r="AQ28" s="299">
        <v>3838.07</v>
      </c>
      <c r="AR28" s="299">
        <v>44133.19</v>
      </c>
      <c r="AS28" s="299">
        <v>33587.729999999996</v>
      </c>
      <c r="AT28" s="299">
        <v>0</v>
      </c>
      <c r="AU28" s="299">
        <v>12843.09</v>
      </c>
      <c r="AV28" s="299">
        <v>5540.57</v>
      </c>
      <c r="AW28" s="299">
        <v>3697.67</v>
      </c>
      <c r="AX28" s="299">
        <v>56849.89</v>
      </c>
      <c r="AY28" s="299">
        <v>7433.5</v>
      </c>
      <c r="AZ28" s="299">
        <v>27810.22</v>
      </c>
      <c r="BA28" s="299">
        <v>9059.68</v>
      </c>
      <c r="BB28" s="299">
        <v>0</v>
      </c>
      <c r="BC28" s="299">
        <v>1647.51</v>
      </c>
      <c r="BD28" s="299">
        <v>4296.5</v>
      </c>
      <c r="BE28" s="299">
        <f t="shared" si="2"/>
        <v>1460489.8399999999</v>
      </c>
      <c r="BF28" s="299">
        <f t="shared" si="3"/>
        <v>-37363.969999999739</v>
      </c>
      <c r="BG28" s="299">
        <v>203038.84</v>
      </c>
      <c r="BH28" s="299">
        <f t="shared" si="4"/>
        <v>165674.87000000026</v>
      </c>
      <c r="BI28" s="299">
        <v>103675.12</v>
      </c>
      <c r="BJ28" s="299">
        <v>10840.95</v>
      </c>
      <c r="BK28" s="299">
        <f t="shared" si="5"/>
        <v>114516.06999999999</v>
      </c>
      <c r="BL28" s="299">
        <v>91811.36</v>
      </c>
      <c r="BM28" s="299">
        <v>22593.200000000001</v>
      </c>
      <c r="BN28" s="299">
        <f t="shared" si="6"/>
        <v>114404.56</v>
      </c>
      <c r="BO28" s="299">
        <f t="shared" si="7"/>
        <v>111.50999999999476</v>
      </c>
      <c r="BP28" s="299">
        <v>23589.289999999997</v>
      </c>
      <c r="BQ28" s="299">
        <f t="shared" si="8"/>
        <v>23700.799999999992</v>
      </c>
      <c r="BR28" s="299">
        <v>4089.62</v>
      </c>
      <c r="BS28" s="299">
        <v>155228.62000000026</v>
      </c>
      <c r="BT28" s="299">
        <v>30057.430000000004</v>
      </c>
      <c r="BU28" s="299">
        <f t="shared" si="9"/>
        <v>189375.67000000025</v>
      </c>
      <c r="BV28" s="299">
        <v>6171.25</v>
      </c>
      <c r="BW28" s="299">
        <v>0</v>
      </c>
      <c r="BX28" s="299">
        <v>0</v>
      </c>
      <c r="BY28" s="299">
        <f t="shared" si="10"/>
        <v>6171.25</v>
      </c>
      <c r="BZ28" s="299">
        <v>0</v>
      </c>
      <c r="CA28" s="299">
        <v>23243.5</v>
      </c>
      <c r="CB28" s="299">
        <v>0</v>
      </c>
      <c r="CC28" s="299">
        <v>0</v>
      </c>
      <c r="CD28" s="299">
        <f t="shared" si="11"/>
        <v>23243.5</v>
      </c>
      <c r="CE28" s="299">
        <f t="shared" si="12"/>
        <v>-17072.25</v>
      </c>
      <c r="CF28" s="299">
        <v>20304.099999999999</v>
      </c>
      <c r="CG28" s="299">
        <f t="shared" si="13"/>
        <v>3231.8499999999985</v>
      </c>
      <c r="CH28" s="299">
        <v>2896.9799999999996</v>
      </c>
      <c r="CI28" s="299">
        <v>334.87</v>
      </c>
      <c r="CJ28" s="299">
        <f t="shared" si="14"/>
        <v>3231.8499999999995</v>
      </c>
    </row>
    <row r="29" spans="1:88" ht="13.8">
      <c r="A29" s="252" t="s">
        <v>1377</v>
      </c>
      <c r="B29" s="288">
        <v>1006</v>
      </c>
      <c r="C29" s="288" t="s">
        <v>731</v>
      </c>
      <c r="D29" s="248" t="s">
        <v>720</v>
      </c>
      <c r="E29" s="380" t="str">
        <f t="shared" si="0"/>
        <v>30EN1006</v>
      </c>
      <c r="F29" s="299">
        <v>564494.03</v>
      </c>
      <c r="G29" s="299">
        <v>0</v>
      </c>
      <c r="H29" s="299">
        <v>9147.6</v>
      </c>
      <c r="I29" s="299">
        <v>0</v>
      </c>
      <c r="J29" s="299">
        <v>0</v>
      </c>
      <c r="K29" s="299">
        <v>70</v>
      </c>
      <c r="L29" s="299">
        <v>0</v>
      </c>
      <c r="M29" s="299">
        <v>0</v>
      </c>
      <c r="N29" s="299">
        <v>14081.49</v>
      </c>
      <c r="O29" s="299">
        <v>0</v>
      </c>
      <c r="P29" s="299">
        <v>0</v>
      </c>
      <c r="Q29" s="299">
        <v>178.88</v>
      </c>
      <c r="R29" s="299">
        <v>77205.45</v>
      </c>
      <c r="S29" s="299">
        <v>3269.79</v>
      </c>
      <c r="T29" s="299">
        <v>0</v>
      </c>
      <c r="U29" s="299">
        <v>0</v>
      </c>
      <c r="V29" s="299">
        <v>0</v>
      </c>
      <c r="W29" s="299">
        <v>0</v>
      </c>
      <c r="X29" s="299">
        <v>0</v>
      </c>
      <c r="Y29" s="299">
        <f t="shared" si="1"/>
        <v>668447.24</v>
      </c>
      <c r="Z29" s="299">
        <v>205670.41</v>
      </c>
      <c r="AA29" s="299">
        <v>0</v>
      </c>
      <c r="AB29" s="299">
        <v>313072.36</v>
      </c>
      <c r="AC29" s="299">
        <v>0</v>
      </c>
      <c r="AD29" s="299">
        <v>57254.42</v>
      </c>
      <c r="AE29" s="299">
        <v>10458.790000000001</v>
      </c>
      <c r="AF29" s="299">
        <v>12373.6</v>
      </c>
      <c r="AG29" s="299">
        <v>1982</v>
      </c>
      <c r="AH29" s="299">
        <v>574.5</v>
      </c>
      <c r="AI29" s="299">
        <v>1900</v>
      </c>
      <c r="AJ29" s="299">
        <v>1261.25</v>
      </c>
      <c r="AK29" s="299">
        <v>5904.05</v>
      </c>
      <c r="AL29" s="299">
        <v>1158.43</v>
      </c>
      <c r="AM29" s="299">
        <v>11575.9</v>
      </c>
      <c r="AN29" s="299">
        <v>1378.47</v>
      </c>
      <c r="AO29" s="299">
        <v>12864.39</v>
      </c>
      <c r="AP29" s="299">
        <v>13847.25</v>
      </c>
      <c r="AQ29" s="299">
        <v>848.36</v>
      </c>
      <c r="AR29" s="299">
        <v>3015.26</v>
      </c>
      <c r="AS29" s="299">
        <v>6033.53</v>
      </c>
      <c r="AT29" s="299">
        <v>0</v>
      </c>
      <c r="AU29" s="299">
        <v>1016.59</v>
      </c>
      <c r="AV29" s="299">
        <v>2367.12</v>
      </c>
      <c r="AW29" s="299">
        <v>0</v>
      </c>
      <c r="AX29" s="299">
        <v>16613.939999999999</v>
      </c>
      <c r="AY29" s="299">
        <v>0</v>
      </c>
      <c r="AZ29" s="299">
        <v>0</v>
      </c>
      <c r="BA29" s="299">
        <v>9206.09</v>
      </c>
      <c r="BB29" s="299">
        <v>0</v>
      </c>
      <c r="BC29" s="299">
        <v>0</v>
      </c>
      <c r="BD29" s="299">
        <v>0</v>
      </c>
      <c r="BE29" s="299">
        <f t="shared" si="2"/>
        <v>690376.71000000008</v>
      </c>
      <c r="BF29" s="299">
        <f t="shared" si="3"/>
        <v>-21929.470000000088</v>
      </c>
      <c r="BG29" s="299">
        <v>-88401.629999999917</v>
      </c>
      <c r="BH29" s="299">
        <f t="shared" si="4"/>
        <v>-110331.1</v>
      </c>
      <c r="BI29" s="299">
        <v>0</v>
      </c>
      <c r="BJ29" s="299">
        <v>21757.61</v>
      </c>
      <c r="BK29" s="299">
        <f t="shared" si="5"/>
        <v>21757.61</v>
      </c>
      <c r="BL29" s="299">
        <v>289.64999999999998</v>
      </c>
      <c r="BM29" s="299">
        <v>19569.3</v>
      </c>
      <c r="BN29" s="299">
        <f t="shared" si="6"/>
        <v>19858.95</v>
      </c>
      <c r="BO29" s="299">
        <f t="shared" si="7"/>
        <v>1898.6599999999999</v>
      </c>
      <c r="BP29" s="299">
        <v>2579.34</v>
      </c>
      <c r="BQ29" s="299">
        <f t="shared" si="8"/>
        <v>4478</v>
      </c>
      <c r="BR29" s="299">
        <v>0</v>
      </c>
      <c r="BS29" s="299">
        <v>-110331.1</v>
      </c>
      <c r="BT29" s="299">
        <v>4478.0000000000036</v>
      </c>
      <c r="BU29" s="299">
        <f t="shared" si="9"/>
        <v>-105853.1</v>
      </c>
      <c r="BV29" s="299">
        <v>4606.1499999999996</v>
      </c>
      <c r="BW29" s="299">
        <v>0</v>
      </c>
      <c r="BX29" s="299">
        <v>0</v>
      </c>
      <c r="BY29" s="299">
        <f t="shared" si="10"/>
        <v>4606.1499999999996</v>
      </c>
      <c r="BZ29" s="299">
        <v>0</v>
      </c>
      <c r="CA29" s="299">
        <v>900</v>
      </c>
      <c r="CB29" s="299">
        <v>0</v>
      </c>
      <c r="CC29" s="299">
        <v>1439</v>
      </c>
      <c r="CD29" s="299">
        <f t="shared" si="11"/>
        <v>2339</v>
      </c>
      <c r="CE29" s="299">
        <f t="shared" si="12"/>
        <v>2267.1499999999996</v>
      </c>
      <c r="CF29" s="299">
        <v>6662.03</v>
      </c>
      <c r="CG29" s="299">
        <f t="shared" si="13"/>
        <v>8929.18</v>
      </c>
      <c r="CH29" s="299">
        <v>8929.18</v>
      </c>
      <c r="CI29" s="299">
        <v>0</v>
      </c>
      <c r="CJ29" s="299">
        <f t="shared" si="14"/>
        <v>8929.18</v>
      </c>
    </row>
    <row r="30" spans="1:88" ht="13.8">
      <c r="A30" s="252" t="s">
        <v>1377</v>
      </c>
      <c r="B30" s="288">
        <v>2119</v>
      </c>
      <c r="C30" s="288" t="s">
        <v>732</v>
      </c>
      <c r="D30" s="248" t="s">
        <v>704</v>
      </c>
      <c r="E30" s="380" t="str">
        <f t="shared" si="0"/>
        <v>30EP2119</v>
      </c>
      <c r="F30" s="299">
        <v>1397455.01</v>
      </c>
      <c r="G30" s="299">
        <v>0</v>
      </c>
      <c r="H30" s="299">
        <v>127617.56</v>
      </c>
      <c r="I30" s="299">
        <v>0</v>
      </c>
      <c r="J30" s="299">
        <v>81010</v>
      </c>
      <c r="K30" s="299">
        <v>45827.8</v>
      </c>
      <c r="L30" s="299">
        <v>0</v>
      </c>
      <c r="M30" s="299">
        <v>4597.3599999999997</v>
      </c>
      <c r="N30" s="299">
        <v>1121.1199999999999</v>
      </c>
      <c r="O30" s="299">
        <v>22897.7</v>
      </c>
      <c r="P30" s="299">
        <v>2250</v>
      </c>
      <c r="Q30" s="299">
        <v>0</v>
      </c>
      <c r="R30" s="299">
        <v>8357</v>
      </c>
      <c r="S30" s="299">
        <v>3254.98</v>
      </c>
      <c r="T30" s="299">
        <v>0</v>
      </c>
      <c r="U30" s="299">
        <v>0</v>
      </c>
      <c r="V30" s="299">
        <v>0</v>
      </c>
      <c r="W30" s="299">
        <v>0</v>
      </c>
      <c r="X30" s="299">
        <v>0</v>
      </c>
      <c r="Y30" s="299">
        <f t="shared" si="1"/>
        <v>1694388.5300000003</v>
      </c>
      <c r="Z30" s="299">
        <v>898844.09</v>
      </c>
      <c r="AA30" s="299">
        <v>2651.2</v>
      </c>
      <c r="AB30" s="299">
        <v>346847.45</v>
      </c>
      <c r="AC30" s="299">
        <v>83961.24</v>
      </c>
      <c r="AD30" s="299">
        <v>52161.279999999999</v>
      </c>
      <c r="AE30" s="299">
        <v>0</v>
      </c>
      <c r="AF30" s="299">
        <v>11670.41</v>
      </c>
      <c r="AG30" s="299">
        <v>3989.7</v>
      </c>
      <c r="AH30" s="299">
        <v>5702.89</v>
      </c>
      <c r="AI30" s="299">
        <v>5425</v>
      </c>
      <c r="AJ30" s="299">
        <v>125</v>
      </c>
      <c r="AK30" s="299">
        <v>13174.58</v>
      </c>
      <c r="AL30" s="299">
        <v>4650</v>
      </c>
      <c r="AM30" s="299">
        <v>3259.26</v>
      </c>
      <c r="AN30" s="299">
        <v>4064</v>
      </c>
      <c r="AO30" s="299">
        <v>40671.870000000003</v>
      </c>
      <c r="AP30" s="299">
        <v>38295</v>
      </c>
      <c r="AQ30" s="299">
        <v>11637.67</v>
      </c>
      <c r="AR30" s="299">
        <v>41812.21</v>
      </c>
      <c r="AS30" s="299">
        <v>30430.15</v>
      </c>
      <c r="AT30" s="299">
        <v>0</v>
      </c>
      <c r="AU30" s="299">
        <v>8979.42</v>
      </c>
      <c r="AV30" s="299">
        <v>7222.99</v>
      </c>
      <c r="AW30" s="299">
        <v>0</v>
      </c>
      <c r="AX30" s="299">
        <v>73156.45</v>
      </c>
      <c r="AY30" s="299">
        <v>0</v>
      </c>
      <c r="AZ30" s="299">
        <v>11312.5</v>
      </c>
      <c r="BA30" s="299">
        <v>23982.7</v>
      </c>
      <c r="BB30" s="299">
        <v>0</v>
      </c>
      <c r="BC30" s="299">
        <v>0</v>
      </c>
      <c r="BD30" s="299">
        <v>0</v>
      </c>
      <c r="BE30" s="299">
        <f t="shared" si="2"/>
        <v>1724027.0599999996</v>
      </c>
      <c r="BF30" s="299">
        <f t="shared" si="3"/>
        <v>-29638.529999999329</v>
      </c>
      <c r="BG30" s="299">
        <v>44998.710000000152</v>
      </c>
      <c r="BH30" s="299">
        <f t="shared" si="4"/>
        <v>15360.180000000822</v>
      </c>
      <c r="BI30" s="299">
        <v>0</v>
      </c>
      <c r="BJ30" s="299">
        <v>0</v>
      </c>
      <c r="BK30" s="299">
        <f t="shared" si="5"/>
        <v>0</v>
      </c>
      <c r="BL30" s="299">
        <v>0</v>
      </c>
      <c r="BM30" s="299">
        <v>0</v>
      </c>
      <c r="BN30" s="299">
        <f t="shared" si="6"/>
        <v>0</v>
      </c>
      <c r="BO30" s="299">
        <f t="shared" si="7"/>
        <v>0</v>
      </c>
      <c r="BP30" s="299">
        <v>0</v>
      </c>
      <c r="BQ30" s="299">
        <f t="shared" si="8"/>
        <v>0</v>
      </c>
      <c r="BR30" s="299">
        <v>0</v>
      </c>
      <c r="BS30" s="299">
        <v>15360.18000000059</v>
      </c>
      <c r="BT30" s="299">
        <v>0</v>
      </c>
      <c r="BU30" s="299">
        <f t="shared" si="9"/>
        <v>15360.180000000822</v>
      </c>
      <c r="BV30" s="299">
        <v>6452.5</v>
      </c>
      <c r="BW30" s="299">
        <v>0</v>
      </c>
      <c r="BX30" s="299">
        <v>0</v>
      </c>
      <c r="BY30" s="299">
        <f t="shared" si="10"/>
        <v>6452.5</v>
      </c>
      <c r="BZ30" s="299">
        <v>0</v>
      </c>
      <c r="CA30" s="299">
        <v>5137.3</v>
      </c>
      <c r="CB30" s="299">
        <v>0</v>
      </c>
      <c r="CC30" s="299">
        <v>1917.24</v>
      </c>
      <c r="CD30" s="299">
        <f t="shared" si="11"/>
        <v>7054.54</v>
      </c>
      <c r="CE30" s="299">
        <f t="shared" si="12"/>
        <v>-602.04</v>
      </c>
      <c r="CF30" s="299">
        <v>3972.3099999999995</v>
      </c>
      <c r="CG30" s="299">
        <f t="shared" si="13"/>
        <v>3370.2699999999995</v>
      </c>
      <c r="CH30" s="299">
        <v>3370.2699999999995</v>
      </c>
      <c r="CI30" s="299">
        <v>0</v>
      </c>
      <c r="CJ30" s="299">
        <f t="shared" si="14"/>
        <v>3370.2699999999995</v>
      </c>
    </row>
    <row r="31" spans="1:88" ht="13.8">
      <c r="A31" s="252" t="s">
        <v>1377</v>
      </c>
      <c r="B31" s="288">
        <v>3011</v>
      </c>
      <c r="C31" s="288" t="s">
        <v>733</v>
      </c>
      <c r="D31" s="248" t="s">
        <v>704</v>
      </c>
      <c r="E31" s="380" t="str">
        <f t="shared" si="0"/>
        <v>30EP3011</v>
      </c>
      <c r="F31" s="299">
        <v>696569.15</v>
      </c>
      <c r="G31" s="299">
        <v>0</v>
      </c>
      <c r="H31" s="299">
        <v>24574.55</v>
      </c>
      <c r="I31" s="299">
        <v>0</v>
      </c>
      <c r="J31" s="299">
        <v>24940</v>
      </c>
      <c r="K31" s="299">
        <v>41823.29</v>
      </c>
      <c r="L31" s="299">
        <v>0</v>
      </c>
      <c r="M31" s="299">
        <v>8727.8799999999992</v>
      </c>
      <c r="N31" s="299">
        <v>14437.79</v>
      </c>
      <c r="O31" s="299">
        <v>9525.2999999999993</v>
      </c>
      <c r="P31" s="299">
        <v>2250</v>
      </c>
      <c r="Q31" s="299">
        <v>301.33999999999997</v>
      </c>
      <c r="R31" s="299">
        <v>10437</v>
      </c>
      <c r="S31" s="299">
        <v>7839.25</v>
      </c>
      <c r="T31" s="299">
        <v>0</v>
      </c>
      <c r="U31" s="299">
        <v>0</v>
      </c>
      <c r="V31" s="299">
        <v>0</v>
      </c>
      <c r="W31" s="299">
        <v>0</v>
      </c>
      <c r="X31" s="299">
        <v>0</v>
      </c>
      <c r="Y31" s="299">
        <f t="shared" si="1"/>
        <v>841425.55000000016</v>
      </c>
      <c r="Z31" s="299">
        <v>405978.44</v>
      </c>
      <c r="AA31" s="299">
        <v>2421.9699999999998</v>
      </c>
      <c r="AB31" s="299">
        <v>172692.88</v>
      </c>
      <c r="AC31" s="299">
        <v>0</v>
      </c>
      <c r="AD31" s="299">
        <v>48249.02</v>
      </c>
      <c r="AE31" s="299">
        <v>0</v>
      </c>
      <c r="AF31" s="299">
        <v>16097.9</v>
      </c>
      <c r="AG31" s="299">
        <v>2675</v>
      </c>
      <c r="AH31" s="299">
        <v>2670</v>
      </c>
      <c r="AI31" s="299">
        <v>2675</v>
      </c>
      <c r="AJ31" s="299">
        <v>910</v>
      </c>
      <c r="AK31" s="299">
        <v>5426.89</v>
      </c>
      <c r="AL31" s="299">
        <v>2855</v>
      </c>
      <c r="AM31" s="299">
        <v>17674.080000000002</v>
      </c>
      <c r="AN31" s="299">
        <v>7164</v>
      </c>
      <c r="AO31" s="299">
        <v>15431.61</v>
      </c>
      <c r="AP31" s="299">
        <v>20209.5</v>
      </c>
      <c r="AQ31" s="299">
        <v>5197.0600000000004</v>
      </c>
      <c r="AR31" s="299">
        <v>31597.45</v>
      </c>
      <c r="AS31" s="299">
        <v>18665.629999999997</v>
      </c>
      <c r="AT31" s="299">
        <v>0</v>
      </c>
      <c r="AU31" s="299">
        <v>10472.86</v>
      </c>
      <c r="AV31" s="299">
        <v>3179.97</v>
      </c>
      <c r="AW31" s="299">
        <v>180</v>
      </c>
      <c r="AX31" s="299">
        <v>41413.33</v>
      </c>
      <c r="AY31" s="299">
        <v>0</v>
      </c>
      <c r="AZ31" s="299">
        <v>0</v>
      </c>
      <c r="BA31" s="299">
        <v>14931.1</v>
      </c>
      <c r="BB31" s="299">
        <v>0</v>
      </c>
      <c r="BC31" s="299">
        <v>0</v>
      </c>
      <c r="BD31" s="299">
        <v>0</v>
      </c>
      <c r="BE31" s="299">
        <f t="shared" si="2"/>
        <v>848768.69</v>
      </c>
      <c r="BF31" s="299">
        <f t="shared" si="3"/>
        <v>-7343.1399999997811</v>
      </c>
      <c r="BG31" s="299">
        <v>-26158.479999999909</v>
      </c>
      <c r="BH31" s="299">
        <f t="shared" si="4"/>
        <v>-33501.61999999969</v>
      </c>
      <c r="BI31" s="299">
        <v>0</v>
      </c>
      <c r="BJ31" s="299">
        <v>0</v>
      </c>
      <c r="BK31" s="299">
        <f t="shared" si="5"/>
        <v>0</v>
      </c>
      <c r="BL31" s="299">
        <v>0</v>
      </c>
      <c r="BM31" s="299">
        <v>0</v>
      </c>
      <c r="BN31" s="299">
        <f t="shared" si="6"/>
        <v>0</v>
      </c>
      <c r="BO31" s="299">
        <f t="shared" si="7"/>
        <v>0</v>
      </c>
      <c r="BP31" s="299">
        <v>0</v>
      </c>
      <c r="BQ31" s="299">
        <f t="shared" si="8"/>
        <v>0</v>
      </c>
      <c r="BR31" s="299">
        <v>5949.72</v>
      </c>
      <c r="BS31" s="299">
        <v>-39451.339999999691</v>
      </c>
      <c r="BT31" s="299">
        <v>0</v>
      </c>
      <c r="BU31" s="299">
        <f t="shared" si="9"/>
        <v>-33501.61999999969</v>
      </c>
      <c r="BV31" s="299">
        <v>5192.5</v>
      </c>
      <c r="BW31" s="299">
        <v>37907.949999999997</v>
      </c>
      <c r="BX31" s="299">
        <v>0</v>
      </c>
      <c r="BY31" s="299">
        <f t="shared" si="10"/>
        <v>43100.45</v>
      </c>
      <c r="BZ31" s="299">
        <v>0</v>
      </c>
      <c r="CA31" s="299">
        <v>56927.5</v>
      </c>
      <c r="CB31" s="299">
        <v>0</v>
      </c>
      <c r="CC31" s="299">
        <v>987.39</v>
      </c>
      <c r="CD31" s="299">
        <f t="shared" si="11"/>
        <v>57914.89</v>
      </c>
      <c r="CE31" s="299">
        <f t="shared" si="12"/>
        <v>-14814.440000000002</v>
      </c>
      <c r="CF31" s="299">
        <v>27765.65</v>
      </c>
      <c r="CG31" s="299">
        <f t="shared" si="13"/>
        <v>12951.21</v>
      </c>
      <c r="CH31" s="299">
        <v>5048.25</v>
      </c>
      <c r="CI31" s="299">
        <v>7902.9599999999973</v>
      </c>
      <c r="CJ31" s="299">
        <f t="shared" si="14"/>
        <v>12951.209999999997</v>
      </c>
    </row>
    <row r="32" spans="1:88" ht="13.8">
      <c r="A32" s="252" t="s">
        <v>1377</v>
      </c>
      <c r="B32" s="288">
        <v>2006</v>
      </c>
      <c r="C32" s="288" t="s">
        <v>734</v>
      </c>
      <c r="D32" s="248" t="s">
        <v>704</v>
      </c>
      <c r="E32" s="380" t="str">
        <f t="shared" si="0"/>
        <v>30EP2006</v>
      </c>
      <c r="F32" s="299">
        <v>2516333.27</v>
      </c>
      <c r="G32" s="299">
        <v>0</v>
      </c>
      <c r="H32" s="299">
        <v>162423.17000000001</v>
      </c>
      <c r="I32" s="299">
        <v>0</v>
      </c>
      <c r="J32" s="299">
        <v>139330</v>
      </c>
      <c r="K32" s="299">
        <v>101997.93</v>
      </c>
      <c r="L32" s="299">
        <v>21546.6</v>
      </c>
      <c r="M32" s="299">
        <v>5219.25</v>
      </c>
      <c r="N32" s="299">
        <v>13157.79</v>
      </c>
      <c r="O32" s="299">
        <v>51122.68</v>
      </c>
      <c r="P32" s="299">
        <v>7202.7</v>
      </c>
      <c r="Q32" s="299">
        <v>0</v>
      </c>
      <c r="R32" s="299">
        <v>43777.9</v>
      </c>
      <c r="S32" s="299">
        <v>37299.46</v>
      </c>
      <c r="T32" s="299">
        <v>0</v>
      </c>
      <c r="U32" s="299">
        <v>0</v>
      </c>
      <c r="V32" s="299">
        <v>0</v>
      </c>
      <c r="W32" s="299">
        <v>0</v>
      </c>
      <c r="X32" s="299">
        <v>0</v>
      </c>
      <c r="Y32" s="299">
        <f t="shared" si="1"/>
        <v>3099410.7500000005</v>
      </c>
      <c r="Z32" s="299">
        <v>1605514.43</v>
      </c>
      <c r="AA32" s="299">
        <v>33421.99</v>
      </c>
      <c r="AB32" s="299">
        <v>556991.16</v>
      </c>
      <c r="AC32" s="299">
        <v>106424.79</v>
      </c>
      <c r="AD32" s="299">
        <v>234307.12</v>
      </c>
      <c r="AE32" s="299">
        <v>0</v>
      </c>
      <c r="AF32" s="299">
        <v>4263.7299999999996</v>
      </c>
      <c r="AG32" s="299">
        <v>12470.33</v>
      </c>
      <c r="AH32" s="299">
        <v>2525</v>
      </c>
      <c r="AI32" s="299">
        <v>11975</v>
      </c>
      <c r="AJ32" s="299">
        <v>0</v>
      </c>
      <c r="AK32" s="299">
        <v>21910.01</v>
      </c>
      <c r="AL32" s="299">
        <v>3782.93</v>
      </c>
      <c r="AM32" s="299">
        <v>8586.91</v>
      </c>
      <c r="AN32" s="299">
        <v>9928.51</v>
      </c>
      <c r="AO32" s="299">
        <v>40132.14</v>
      </c>
      <c r="AP32" s="299">
        <v>77700</v>
      </c>
      <c r="AQ32" s="299">
        <v>4674.5600000000004</v>
      </c>
      <c r="AR32" s="299">
        <v>118484.15</v>
      </c>
      <c r="AS32" s="299">
        <v>37827.58</v>
      </c>
      <c r="AT32" s="299">
        <v>0</v>
      </c>
      <c r="AU32" s="299">
        <v>8012.34</v>
      </c>
      <c r="AV32" s="299">
        <v>13202.75</v>
      </c>
      <c r="AW32" s="299">
        <v>1839.4</v>
      </c>
      <c r="AX32" s="299">
        <v>149718.47</v>
      </c>
      <c r="AY32" s="299">
        <v>6452.35</v>
      </c>
      <c r="AZ32" s="299">
        <v>520</v>
      </c>
      <c r="BA32" s="299">
        <v>15279.27</v>
      </c>
      <c r="BB32" s="299">
        <v>0</v>
      </c>
      <c r="BC32" s="299">
        <v>0</v>
      </c>
      <c r="BD32" s="299">
        <v>0</v>
      </c>
      <c r="BE32" s="299">
        <f t="shared" si="2"/>
        <v>3085944.9200000004</v>
      </c>
      <c r="BF32" s="299">
        <f t="shared" si="3"/>
        <v>13465.830000000075</v>
      </c>
      <c r="BG32" s="299">
        <v>140623.15999999963</v>
      </c>
      <c r="BH32" s="299">
        <f t="shared" si="4"/>
        <v>154088.9899999997</v>
      </c>
      <c r="BI32" s="299">
        <v>0</v>
      </c>
      <c r="BJ32" s="299">
        <v>0</v>
      </c>
      <c r="BK32" s="299">
        <f t="shared" si="5"/>
        <v>0</v>
      </c>
      <c r="BL32" s="299">
        <v>0</v>
      </c>
      <c r="BM32" s="299">
        <v>0</v>
      </c>
      <c r="BN32" s="299">
        <f t="shared" si="6"/>
        <v>0</v>
      </c>
      <c r="BO32" s="299">
        <f t="shared" si="7"/>
        <v>0</v>
      </c>
      <c r="BP32" s="299">
        <v>0</v>
      </c>
      <c r="BQ32" s="299">
        <f t="shared" si="8"/>
        <v>0</v>
      </c>
      <c r="BR32" s="299">
        <v>0</v>
      </c>
      <c r="BS32" s="299">
        <v>154088.98999999923</v>
      </c>
      <c r="BT32" s="299">
        <v>0</v>
      </c>
      <c r="BU32" s="299">
        <f t="shared" si="9"/>
        <v>154088.9899999997</v>
      </c>
      <c r="BV32" s="299">
        <v>9411.25</v>
      </c>
      <c r="BW32" s="299">
        <v>0</v>
      </c>
      <c r="BX32" s="299">
        <v>0</v>
      </c>
      <c r="BY32" s="299">
        <f t="shared" si="10"/>
        <v>9411.25</v>
      </c>
      <c r="BZ32" s="299">
        <v>0</v>
      </c>
      <c r="CA32" s="299">
        <v>4742</v>
      </c>
      <c r="CB32" s="299">
        <v>0</v>
      </c>
      <c r="CC32" s="299">
        <v>4099.3900000000003</v>
      </c>
      <c r="CD32" s="299">
        <f t="shared" si="11"/>
        <v>8841.39</v>
      </c>
      <c r="CE32" s="299">
        <f t="shared" si="12"/>
        <v>569.86000000000058</v>
      </c>
      <c r="CF32" s="299">
        <v>29966.460000000003</v>
      </c>
      <c r="CG32" s="299">
        <f t="shared" si="13"/>
        <v>30536.320000000003</v>
      </c>
      <c r="CH32" s="299">
        <v>30536.320000000003</v>
      </c>
      <c r="CI32" s="299">
        <v>0</v>
      </c>
      <c r="CJ32" s="299">
        <f t="shared" si="14"/>
        <v>30536.320000000003</v>
      </c>
    </row>
    <row r="33" spans="1:88" ht="13.8">
      <c r="A33" s="252" t="s">
        <v>1377</v>
      </c>
      <c r="B33" s="288">
        <v>3012</v>
      </c>
      <c r="C33" s="288" t="s">
        <v>735</v>
      </c>
      <c r="D33" s="248" t="s">
        <v>704</v>
      </c>
      <c r="E33" s="380" t="str">
        <f t="shared" si="0"/>
        <v>30EP3012</v>
      </c>
      <c r="F33" s="299">
        <v>527386.49</v>
      </c>
      <c r="G33" s="299">
        <v>0</v>
      </c>
      <c r="H33" s="299">
        <v>894.51</v>
      </c>
      <c r="I33" s="299">
        <v>0</v>
      </c>
      <c r="J33" s="299">
        <v>13985</v>
      </c>
      <c r="K33" s="299">
        <v>28150</v>
      </c>
      <c r="L33" s="299">
        <v>500</v>
      </c>
      <c r="M33" s="299">
        <v>6127.15</v>
      </c>
      <c r="N33" s="299">
        <v>14934.31</v>
      </c>
      <c r="O33" s="299">
        <v>15024.25</v>
      </c>
      <c r="P33" s="299">
        <v>3187.8</v>
      </c>
      <c r="Q33" s="299">
        <v>0</v>
      </c>
      <c r="R33" s="299">
        <v>19027.259999999998</v>
      </c>
      <c r="S33" s="299">
        <v>8307.2000000000007</v>
      </c>
      <c r="T33" s="299">
        <v>0</v>
      </c>
      <c r="U33" s="299">
        <v>0</v>
      </c>
      <c r="V33" s="299">
        <v>0</v>
      </c>
      <c r="W33" s="299">
        <v>0</v>
      </c>
      <c r="X33" s="299">
        <v>0</v>
      </c>
      <c r="Y33" s="299">
        <f t="shared" si="1"/>
        <v>637523.97000000009</v>
      </c>
      <c r="Z33" s="299">
        <v>355135.86</v>
      </c>
      <c r="AA33" s="299">
        <v>11894.04</v>
      </c>
      <c r="AB33" s="299">
        <v>63380.37</v>
      </c>
      <c r="AC33" s="299">
        <v>0</v>
      </c>
      <c r="AD33" s="299">
        <v>50527.19</v>
      </c>
      <c r="AE33" s="299">
        <v>24161.79</v>
      </c>
      <c r="AF33" s="299">
        <v>8751.4699999999993</v>
      </c>
      <c r="AG33" s="299">
        <v>2053</v>
      </c>
      <c r="AH33" s="299">
        <v>5089.5</v>
      </c>
      <c r="AI33" s="299">
        <v>1625</v>
      </c>
      <c r="AJ33" s="299">
        <v>0</v>
      </c>
      <c r="AK33" s="299">
        <v>6406.49</v>
      </c>
      <c r="AL33" s="299">
        <v>1980</v>
      </c>
      <c r="AM33" s="299">
        <v>10596.82</v>
      </c>
      <c r="AN33" s="299">
        <v>1230.19</v>
      </c>
      <c r="AO33" s="299">
        <v>12767.52</v>
      </c>
      <c r="AP33" s="299">
        <v>11227.5</v>
      </c>
      <c r="AQ33" s="299">
        <v>2609.52</v>
      </c>
      <c r="AR33" s="299">
        <v>32578.27</v>
      </c>
      <c r="AS33" s="299">
        <v>19442.330000000002</v>
      </c>
      <c r="AT33" s="299">
        <v>0</v>
      </c>
      <c r="AU33" s="299">
        <v>2654.33</v>
      </c>
      <c r="AV33" s="299">
        <v>2329.14</v>
      </c>
      <c r="AW33" s="299">
        <v>65</v>
      </c>
      <c r="AX33" s="299">
        <v>14766.31</v>
      </c>
      <c r="AY33" s="299">
        <v>1995.42</v>
      </c>
      <c r="AZ33" s="299">
        <v>337.5</v>
      </c>
      <c r="BA33" s="299">
        <v>8729.9699999999993</v>
      </c>
      <c r="BB33" s="299">
        <v>0</v>
      </c>
      <c r="BC33" s="299">
        <v>0</v>
      </c>
      <c r="BD33" s="299">
        <v>0</v>
      </c>
      <c r="BE33" s="299">
        <f t="shared" si="2"/>
        <v>652334.52999999991</v>
      </c>
      <c r="BF33" s="299">
        <f t="shared" si="3"/>
        <v>-14810.559999999823</v>
      </c>
      <c r="BG33" s="299">
        <v>52731.590000000127</v>
      </c>
      <c r="BH33" s="299">
        <f t="shared" si="4"/>
        <v>37921.030000000304</v>
      </c>
      <c r="BI33" s="299">
        <v>0</v>
      </c>
      <c r="BJ33" s="299">
        <v>36019</v>
      </c>
      <c r="BK33" s="299">
        <f t="shared" si="5"/>
        <v>36019</v>
      </c>
      <c r="BL33" s="299">
        <v>19357.41</v>
      </c>
      <c r="BM33" s="299">
        <v>5441.41</v>
      </c>
      <c r="BN33" s="299">
        <f t="shared" si="6"/>
        <v>24798.82</v>
      </c>
      <c r="BO33" s="299">
        <f t="shared" si="7"/>
        <v>11220.18</v>
      </c>
      <c r="BP33" s="299">
        <v>0</v>
      </c>
      <c r="BQ33" s="299">
        <f t="shared" si="8"/>
        <v>11220.18</v>
      </c>
      <c r="BR33" s="299">
        <v>32478.639999999999</v>
      </c>
      <c r="BS33" s="299">
        <v>5442.390000000305</v>
      </c>
      <c r="BT33" s="299">
        <v>11220.18</v>
      </c>
      <c r="BU33" s="299">
        <f t="shared" si="9"/>
        <v>49141.210000000305</v>
      </c>
      <c r="BV33" s="299">
        <v>4765</v>
      </c>
      <c r="BW33" s="299">
        <v>10240</v>
      </c>
      <c r="BX33" s="299">
        <v>0</v>
      </c>
      <c r="BY33" s="299">
        <f t="shared" si="10"/>
        <v>15005</v>
      </c>
      <c r="BZ33" s="299">
        <v>0</v>
      </c>
      <c r="CA33" s="299">
        <v>140699.25</v>
      </c>
      <c r="CB33" s="299">
        <v>0</v>
      </c>
      <c r="CC33" s="299">
        <v>2132.3200000000002</v>
      </c>
      <c r="CD33" s="299">
        <f t="shared" si="11"/>
        <v>142831.57</v>
      </c>
      <c r="CE33" s="299">
        <f t="shared" si="12"/>
        <v>-127826.57</v>
      </c>
      <c r="CF33" s="299">
        <v>170513.45</v>
      </c>
      <c r="CG33" s="299">
        <f t="shared" si="13"/>
        <v>42686.880000000005</v>
      </c>
      <c r="CH33" s="299">
        <v>20862.91</v>
      </c>
      <c r="CI33" s="299">
        <v>21823.97</v>
      </c>
      <c r="CJ33" s="299">
        <f t="shared" si="14"/>
        <v>42686.880000000005</v>
      </c>
    </row>
    <row r="34" spans="1:88" ht="13.8">
      <c r="A34" s="252" t="s">
        <v>1377</v>
      </c>
      <c r="B34" s="288">
        <v>3041</v>
      </c>
      <c r="C34" s="288" t="s">
        <v>736</v>
      </c>
      <c r="D34" s="248" t="s">
        <v>704</v>
      </c>
      <c r="E34" s="380" t="str">
        <f t="shared" si="0"/>
        <v>30EP3041</v>
      </c>
      <c r="F34" s="299">
        <v>945387.81</v>
      </c>
      <c r="G34" s="299">
        <v>0</v>
      </c>
      <c r="H34" s="299">
        <v>78144.66</v>
      </c>
      <c r="I34" s="299">
        <v>0</v>
      </c>
      <c r="J34" s="299">
        <v>35180</v>
      </c>
      <c r="K34" s="299">
        <v>42018.080000000002</v>
      </c>
      <c r="L34" s="299">
        <v>0</v>
      </c>
      <c r="M34" s="299">
        <v>28208.89</v>
      </c>
      <c r="N34" s="299">
        <v>1239.3900000000001</v>
      </c>
      <c r="O34" s="299">
        <v>19009.23</v>
      </c>
      <c r="P34" s="299">
        <v>2250</v>
      </c>
      <c r="Q34" s="299">
        <v>0</v>
      </c>
      <c r="R34" s="299">
        <v>7871.24</v>
      </c>
      <c r="S34" s="299">
        <v>19123.03</v>
      </c>
      <c r="T34" s="299">
        <v>0</v>
      </c>
      <c r="U34" s="299">
        <v>0</v>
      </c>
      <c r="V34" s="299">
        <v>0</v>
      </c>
      <c r="W34" s="299">
        <v>0</v>
      </c>
      <c r="X34" s="299">
        <v>0</v>
      </c>
      <c r="Y34" s="299">
        <f t="shared" si="1"/>
        <v>1178432.33</v>
      </c>
      <c r="Z34" s="299">
        <v>487956.34</v>
      </c>
      <c r="AA34" s="299">
        <v>552.97</v>
      </c>
      <c r="AB34" s="299">
        <v>227460.22</v>
      </c>
      <c r="AC34" s="299">
        <v>57746.57</v>
      </c>
      <c r="AD34" s="299">
        <v>64213.919999999998</v>
      </c>
      <c r="AE34" s="299">
        <v>28669.47</v>
      </c>
      <c r="AF34" s="299">
        <v>1420.98</v>
      </c>
      <c r="AG34" s="299">
        <v>3969.24</v>
      </c>
      <c r="AH34" s="299">
        <v>3670.07</v>
      </c>
      <c r="AI34" s="299">
        <v>3208.33</v>
      </c>
      <c r="AJ34" s="299">
        <v>0</v>
      </c>
      <c r="AK34" s="299">
        <v>7411.93</v>
      </c>
      <c r="AL34" s="299">
        <v>3336</v>
      </c>
      <c r="AM34" s="299">
        <v>2098.04</v>
      </c>
      <c r="AN34" s="299">
        <v>9118.1</v>
      </c>
      <c r="AO34" s="299">
        <v>20627.650000000001</v>
      </c>
      <c r="AP34" s="299">
        <v>70664.800000000003</v>
      </c>
      <c r="AQ34" s="299">
        <v>9902.77</v>
      </c>
      <c r="AR34" s="299">
        <v>58817.73</v>
      </c>
      <c r="AS34" s="299">
        <v>23366.649999999998</v>
      </c>
      <c r="AT34" s="299">
        <v>0</v>
      </c>
      <c r="AU34" s="299">
        <v>3613.53</v>
      </c>
      <c r="AV34" s="299">
        <v>4575.3100000000004</v>
      </c>
      <c r="AW34" s="299">
        <v>0</v>
      </c>
      <c r="AX34" s="299">
        <v>21523.03</v>
      </c>
      <c r="AY34" s="299">
        <v>12408.93</v>
      </c>
      <c r="AZ34" s="299">
        <v>27145.21</v>
      </c>
      <c r="BA34" s="299">
        <v>9717.2099999999991</v>
      </c>
      <c r="BB34" s="299">
        <v>0</v>
      </c>
      <c r="BC34" s="299">
        <v>0</v>
      </c>
      <c r="BD34" s="299">
        <v>0</v>
      </c>
      <c r="BE34" s="299">
        <f t="shared" si="2"/>
        <v>1163195</v>
      </c>
      <c r="BF34" s="299">
        <f t="shared" si="3"/>
        <v>15237.330000000075</v>
      </c>
      <c r="BG34" s="299">
        <v>23240.79000000003</v>
      </c>
      <c r="BH34" s="299">
        <f t="shared" si="4"/>
        <v>38478.120000000104</v>
      </c>
      <c r="BI34" s="299">
        <v>0</v>
      </c>
      <c r="BJ34" s="299">
        <v>0</v>
      </c>
      <c r="BK34" s="299">
        <f t="shared" si="5"/>
        <v>0</v>
      </c>
      <c r="BL34" s="299">
        <v>0</v>
      </c>
      <c r="BM34" s="299">
        <v>0</v>
      </c>
      <c r="BN34" s="299">
        <f t="shared" si="6"/>
        <v>0</v>
      </c>
      <c r="BO34" s="299">
        <f t="shared" si="7"/>
        <v>0</v>
      </c>
      <c r="BP34" s="299">
        <v>0</v>
      </c>
      <c r="BQ34" s="299">
        <f t="shared" si="8"/>
        <v>0</v>
      </c>
      <c r="BR34" s="299">
        <v>41937.89</v>
      </c>
      <c r="BS34" s="299">
        <v>-3459.7699999998949</v>
      </c>
      <c r="BT34" s="299">
        <v>0</v>
      </c>
      <c r="BU34" s="299">
        <f t="shared" si="9"/>
        <v>38478.120000000104</v>
      </c>
      <c r="BV34" s="299">
        <v>5935</v>
      </c>
      <c r="BW34" s="299">
        <v>0</v>
      </c>
      <c r="BX34" s="299">
        <v>0</v>
      </c>
      <c r="BY34" s="299">
        <f t="shared" si="10"/>
        <v>5935</v>
      </c>
      <c r="BZ34" s="299">
        <v>0</v>
      </c>
      <c r="CA34" s="299">
        <v>0</v>
      </c>
      <c r="CB34" s="299">
        <v>0</v>
      </c>
      <c r="CC34" s="299">
        <v>8351.77</v>
      </c>
      <c r="CD34" s="299">
        <f t="shared" si="11"/>
        <v>8351.77</v>
      </c>
      <c r="CE34" s="299">
        <f t="shared" si="12"/>
        <v>-2416.7700000000004</v>
      </c>
      <c r="CF34" s="299">
        <v>21298.45</v>
      </c>
      <c r="CG34" s="299">
        <f t="shared" si="13"/>
        <v>18881.68</v>
      </c>
      <c r="CH34" s="299">
        <v>18881.68</v>
      </c>
      <c r="CI34" s="299">
        <v>0</v>
      </c>
      <c r="CJ34" s="299">
        <f t="shared" si="14"/>
        <v>18881.68</v>
      </c>
    </row>
    <row r="35" spans="1:88" ht="13.8">
      <c r="A35" s="252" t="s">
        <v>1377</v>
      </c>
      <c r="B35" s="288">
        <v>2246</v>
      </c>
      <c r="C35" s="288" t="s">
        <v>737</v>
      </c>
      <c r="D35" s="248" t="s">
        <v>704</v>
      </c>
      <c r="E35" s="380" t="str">
        <f t="shared" si="0"/>
        <v>30EP2246</v>
      </c>
      <c r="F35" s="299">
        <v>1144570.3700000001</v>
      </c>
      <c r="G35" s="299">
        <v>0</v>
      </c>
      <c r="H35" s="299">
        <v>44213.97</v>
      </c>
      <c r="I35" s="299">
        <v>0</v>
      </c>
      <c r="J35" s="299">
        <v>52415</v>
      </c>
      <c r="K35" s="299">
        <v>79653</v>
      </c>
      <c r="L35" s="299">
        <v>0</v>
      </c>
      <c r="M35" s="299">
        <v>12436</v>
      </c>
      <c r="N35" s="299">
        <v>15398.24</v>
      </c>
      <c r="O35" s="299">
        <v>0</v>
      </c>
      <c r="P35" s="299">
        <v>0</v>
      </c>
      <c r="Q35" s="299">
        <v>0</v>
      </c>
      <c r="R35" s="299">
        <v>16230</v>
      </c>
      <c r="S35" s="299">
        <v>0</v>
      </c>
      <c r="T35" s="299">
        <v>0</v>
      </c>
      <c r="U35" s="299">
        <v>0</v>
      </c>
      <c r="V35" s="299">
        <v>0</v>
      </c>
      <c r="W35" s="299">
        <v>0</v>
      </c>
      <c r="X35" s="299">
        <v>0</v>
      </c>
      <c r="Y35" s="299">
        <f t="shared" si="1"/>
        <v>1364916.58</v>
      </c>
      <c r="Z35" s="299">
        <v>629594.56999999995</v>
      </c>
      <c r="AA35" s="299">
        <v>0</v>
      </c>
      <c r="AB35" s="299">
        <v>399275.77</v>
      </c>
      <c r="AC35" s="299">
        <v>21882.14</v>
      </c>
      <c r="AD35" s="299">
        <v>60424.09</v>
      </c>
      <c r="AE35" s="299">
        <v>45630.42</v>
      </c>
      <c r="AF35" s="299">
        <v>43823.26</v>
      </c>
      <c r="AG35" s="299">
        <v>4924.93</v>
      </c>
      <c r="AH35" s="299">
        <v>1063.83</v>
      </c>
      <c r="AI35" s="299">
        <v>5348.21</v>
      </c>
      <c r="AJ35" s="299">
        <v>0</v>
      </c>
      <c r="AK35" s="299">
        <v>8040.6</v>
      </c>
      <c r="AL35" s="299">
        <v>3099.96</v>
      </c>
      <c r="AM35" s="299">
        <v>34870.36</v>
      </c>
      <c r="AN35" s="299">
        <v>2205.69</v>
      </c>
      <c r="AO35" s="299">
        <v>20710.61</v>
      </c>
      <c r="AP35" s="299">
        <v>21706.5</v>
      </c>
      <c r="AQ35" s="299">
        <v>6329.68</v>
      </c>
      <c r="AR35" s="299">
        <v>10905.21</v>
      </c>
      <c r="AS35" s="299">
        <v>28335.71</v>
      </c>
      <c r="AT35" s="299">
        <v>0</v>
      </c>
      <c r="AU35" s="299">
        <v>6821.25</v>
      </c>
      <c r="AV35" s="299">
        <v>5591.38</v>
      </c>
      <c r="AW35" s="299">
        <v>0</v>
      </c>
      <c r="AX35" s="299">
        <v>34107.050000000003</v>
      </c>
      <c r="AY35" s="299">
        <v>9482.74</v>
      </c>
      <c r="AZ35" s="299">
        <v>11665.33</v>
      </c>
      <c r="BA35" s="299">
        <v>11499.05</v>
      </c>
      <c r="BB35" s="299">
        <v>0</v>
      </c>
      <c r="BC35" s="299">
        <v>243.38</v>
      </c>
      <c r="BD35" s="299">
        <v>1592.4</v>
      </c>
      <c r="BE35" s="299">
        <f t="shared" si="2"/>
        <v>1429174.1199999999</v>
      </c>
      <c r="BF35" s="299">
        <f t="shared" si="3"/>
        <v>-64257.539999999804</v>
      </c>
      <c r="BG35" s="299">
        <v>-58316.290000000168</v>
      </c>
      <c r="BH35" s="299">
        <f t="shared" si="4"/>
        <v>-122573.82999999997</v>
      </c>
      <c r="BI35" s="299">
        <v>0</v>
      </c>
      <c r="BJ35" s="299">
        <v>0</v>
      </c>
      <c r="BK35" s="299">
        <f t="shared" si="5"/>
        <v>0</v>
      </c>
      <c r="BL35" s="299">
        <v>0</v>
      </c>
      <c r="BM35" s="299">
        <v>0</v>
      </c>
      <c r="BN35" s="299">
        <f t="shared" si="6"/>
        <v>0</v>
      </c>
      <c r="BO35" s="299">
        <f t="shared" si="7"/>
        <v>0</v>
      </c>
      <c r="BP35" s="299">
        <v>0</v>
      </c>
      <c r="BQ35" s="299">
        <f t="shared" si="8"/>
        <v>0</v>
      </c>
      <c r="BR35" s="299">
        <v>8407</v>
      </c>
      <c r="BS35" s="299">
        <v>-130980.82999999997</v>
      </c>
      <c r="BT35" s="299">
        <v>0</v>
      </c>
      <c r="BU35" s="299">
        <f t="shared" si="9"/>
        <v>-122573.82999999997</v>
      </c>
      <c r="BV35" s="299">
        <v>6234.25</v>
      </c>
      <c r="BW35" s="299">
        <v>0</v>
      </c>
      <c r="BX35" s="299">
        <v>0</v>
      </c>
      <c r="BY35" s="299">
        <f t="shared" si="10"/>
        <v>6234.25</v>
      </c>
      <c r="BZ35" s="299">
        <v>0</v>
      </c>
      <c r="CA35" s="299">
        <v>0</v>
      </c>
      <c r="CB35" s="299">
        <v>0</v>
      </c>
      <c r="CC35" s="299">
        <v>7304.91</v>
      </c>
      <c r="CD35" s="299">
        <f t="shared" si="11"/>
        <v>7304.91</v>
      </c>
      <c r="CE35" s="299">
        <f t="shared" si="12"/>
        <v>-1070.6599999999999</v>
      </c>
      <c r="CF35" s="299">
        <v>47850.43</v>
      </c>
      <c r="CG35" s="299">
        <f t="shared" si="13"/>
        <v>46779.770000000004</v>
      </c>
      <c r="CH35" s="299">
        <v>18080.43</v>
      </c>
      <c r="CI35" s="299">
        <v>28699.34</v>
      </c>
      <c r="CJ35" s="299">
        <f t="shared" si="14"/>
        <v>46779.770000000004</v>
      </c>
    </row>
    <row r="36" spans="1:88" ht="13.8">
      <c r="A36" s="252" t="s">
        <v>1377</v>
      </c>
      <c r="B36" s="288">
        <v>3308</v>
      </c>
      <c r="C36" s="288" t="s">
        <v>738</v>
      </c>
      <c r="D36" s="248" t="s">
        <v>704</v>
      </c>
      <c r="E36" s="380" t="str">
        <f t="shared" ref="E36:E67" si="15">_xlfn.CONCAT("30",IF(D36="Primary","EP",IF(D36="Nursery","EN","ES")),B36)</f>
        <v>30EP3308</v>
      </c>
      <c r="F36" s="299">
        <v>768010.98</v>
      </c>
      <c r="G36" s="299">
        <v>0</v>
      </c>
      <c r="H36" s="299">
        <v>17700.39</v>
      </c>
      <c r="I36" s="299">
        <v>0</v>
      </c>
      <c r="J36" s="299">
        <v>15552</v>
      </c>
      <c r="K36" s="299">
        <v>41052</v>
      </c>
      <c r="L36" s="299">
        <v>0</v>
      </c>
      <c r="M36" s="299">
        <v>0</v>
      </c>
      <c r="N36" s="299">
        <v>39588.870000000003</v>
      </c>
      <c r="O36" s="299">
        <v>10191.5</v>
      </c>
      <c r="P36" s="299">
        <v>5188.8</v>
      </c>
      <c r="Q36" s="299">
        <v>0</v>
      </c>
      <c r="R36" s="299">
        <v>8900.24</v>
      </c>
      <c r="S36" s="299">
        <v>11204.3</v>
      </c>
      <c r="T36" s="299">
        <v>0</v>
      </c>
      <c r="U36" s="299">
        <v>0</v>
      </c>
      <c r="V36" s="299">
        <v>0</v>
      </c>
      <c r="W36" s="299">
        <v>0</v>
      </c>
      <c r="X36" s="299">
        <v>0</v>
      </c>
      <c r="Y36" s="299">
        <f t="shared" si="1"/>
        <v>917389.08000000007</v>
      </c>
      <c r="Z36" s="299">
        <v>450976.66</v>
      </c>
      <c r="AA36" s="299">
        <v>19451.28</v>
      </c>
      <c r="AB36" s="299">
        <v>113379.55</v>
      </c>
      <c r="AC36" s="299">
        <v>14160.56</v>
      </c>
      <c r="AD36" s="299">
        <v>55083.64</v>
      </c>
      <c r="AE36" s="299">
        <v>0</v>
      </c>
      <c r="AF36" s="299">
        <v>35357.56</v>
      </c>
      <c r="AG36" s="299">
        <v>465.3</v>
      </c>
      <c r="AH36" s="299">
        <v>3552.47</v>
      </c>
      <c r="AI36" s="299">
        <v>3250</v>
      </c>
      <c r="AJ36" s="299">
        <v>101.25</v>
      </c>
      <c r="AK36" s="299">
        <v>8430.48</v>
      </c>
      <c r="AL36" s="299">
        <v>4180</v>
      </c>
      <c r="AM36" s="299">
        <v>1798.99</v>
      </c>
      <c r="AN36" s="299">
        <v>899.01</v>
      </c>
      <c r="AO36" s="299">
        <v>12772.76</v>
      </c>
      <c r="AP36" s="299">
        <v>3542.9</v>
      </c>
      <c r="AQ36" s="299">
        <v>2931.27</v>
      </c>
      <c r="AR36" s="299">
        <v>39211.42</v>
      </c>
      <c r="AS36" s="299">
        <v>26181.550000000003</v>
      </c>
      <c r="AT36" s="299">
        <v>0</v>
      </c>
      <c r="AU36" s="299">
        <v>5034.3999999999996</v>
      </c>
      <c r="AV36" s="299">
        <v>3965.67</v>
      </c>
      <c r="AW36" s="299">
        <v>1788.88</v>
      </c>
      <c r="AX36" s="299">
        <v>47193.85</v>
      </c>
      <c r="AY36" s="299">
        <v>20425.14</v>
      </c>
      <c r="AZ36" s="299">
        <v>0</v>
      </c>
      <c r="BA36" s="299">
        <v>28850.959999999999</v>
      </c>
      <c r="BB36" s="299">
        <v>0</v>
      </c>
      <c r="BC36" s="299">
        <v>0</v>
      </c>
      <c r="BD36" s="299">
        <v>17637.47</v>
      </c>
      <c r="BE36" s="299">
        <f t="shared" si="2"/>
        <v>920623.02000000014</v>
      </c>
      <c r="BF36" s="299">
        <f t="shared" si="3"/>
        <v>-3233.9400000000605</v>
      </c>
      <c r="BG36" s="299">
        <v>121629.11000000022</v>
      </c>
      <c r="BH36" s="299">
        <f t="shared" si="4"/>
        <v>118395.17000000016</v>
      </c>
      <c r="BI36" s="299">
        <v>0</v>
      </c>
      <c r="BJ36" s="299">
        <v>0</v>
      </c>
      <c r="BK36" s="299">
        <f t="shared" si="5"/>
        <v>0</v>
      </c>
      <c r="BL36" s="299">
        <v>0</v>
      </c>
      <c r="BM36" s="299">
        <v>0</v>
      </c>
      <c r="BN36" s="299">
        <f t="shared" si="6"/>
        <v>0</v>
      </c>
      <c r="BO36" s="299">
        <f t="shared" si="7"/>
        <v>0</v>
      </c>
      <c r="BP36" s="299">
        <v>0</v>
      </c>
      <c r="BQ36" s="299">
        <f t="shared" si="8"/>
        <v>0</v>
      </c>
      <c r="BR36" s="299">
        <v>15000</v>
      </c>
      <c r="BS36" s="299">
        <v>103395.17000000027</v>
      </c>
      <c r="BT36" s="299">
        <v>0</v>
      </c>
      <c r="BU36" s="299">
        <f t="shared" si="9"/>
        <v>118395.17000000016</v>
      </c>
      <c r="BV36" s="299">
        <v>0</v>
      </c>
      <c r="BW36" s="299">
        <v>0</v>
      </c>
      <c r="BX36" s="299">
        <v>0</v>
      </c>
      <c r="BY36" s="299">
        <f t="shared" si="10"/>
        <v>0</v>
      </c>
      <c r="BZ36" s="299">
        <v>0</v>
      </c>
      <c r="CA36" s="299">
        <v>0</v>
      </c>
      <c r="CB36" s="299">
        <v>0</v>
      </c>
      <c r="CC36" s="299">
        <v>0</v>
      </c>
      <c r="CD36" s="299">
        <f t="shared" si="11"/>
        <v>0</v>
      </c>
      <c r="CE36" s="299">
        <f t="shared" si="12"/>
        <v>0</v>
      </c>
      <c r="CF36" s="299">
        <v>0</v>
      </c>
      <c r="CG36" s="299">
        <f t="shared" si="13"/>
        <v>0</v>
      </c>
      <c r="CH36" s="299">
        <v>0</v>
      </c>
      <c r="CI36" s="299">
        <v>0</v>
      </c>
      <c r="CJ36" s="299">
        <f t="shared" si="14"/>
        <v>0</v>
      </c>
    </row>
    <row r="37" spans="1:88" ht="13.8">
      <c r="A37" s="252" t="s">
        <v>1377</v>
      </c>
      <c r="B37" s="288">
        <v>3368</v>
      </c>
      <c r="C37" s="288" t="s">
        <v>739</v>
      </c>
      <c r="D37" s="248" t="s">
        <v>704</v>
      </c>
      <c r="E37" s="380" t="str">
        <f t="shared" si="15"/>
        <v>30EP3368</v>
      </c>
      <c r="F37" s="299">
        <v>755598.4</v>
      </c>
      <c r="G37" s="299">
        <v>0</v>
      </c>
      <c r="H37" s="299">
        <v>10595.01</v>
      </c>
      <c r="I37" s="299">
        <v>0</v>
      </c>
      <c r="J37" s="299">
        <v>16615</v>
      </c>
      <c r="K37" s="299">
        <v>39500</v>
      </c>
      <c r="L37" s="299">
        <v>500</v>
      </c>
      <c r="M37" s="299">
        <v>0</v>
      </c>
      <c r="N37" s="299">
        <v>2051.1999999999998</v>
      </c>
      <c r="O37" s="299">
        <v>24909.11</v>
      </c>
      <c r="P37" s="299">
        <v>2200</v>
      </c>
      <c r="Q37" s="299">
        <v>0</v>
      </c>
      <c r="R37" s="299">
        <v>21195.95</v>
      </c>
      <c r="S37" s="299">
        <v>10479.89</v>
      </c>
      <c r="T37" s="299">
        <v>0</v>
      </c>
      <c r="U37" s="299">
        <v>0</v>
      </c>
      <c r="V37" s="299">
        <v>0</v>
      </c>
      <c r="W37" s="299">
        <v>0</v>
      </c>
      <c r="X37" s="299">
        <v>0</v>
      </c>
      <c r="Y37" s="299">
        <f t="shared" si="1"/>
        <v>883644.55999999994</v>
      </c>
      <c r="Z37" s="299">
        <v>436754.75</v>
      </c>
      <c r="AA37" s="299">
        <v>3378.39</v>
      </c>
      <c r="AB37" s="299">
        <v>187864.01</v>
      </c>
      <c r="AC37" s="299">
        <v>0</v>
      </c>
      <c r="AD37" s="299">
        <v>39440.79</v>
      </c>
      <c r="AE37" s="299">
        <v>36624.28</v>
      </c>
      <c r="AF37" s="299">
        <v>8208.86</v>
      </c>
      <c r="AG37" s="299">
        <v>214.5</v>
      </c>
      <c r="AH37" s="299">
        <v>1080</v>
      </c>
      <c r="AI37" s="299">
        <v>2390</v>
      </c>
      <c r="AJ37" s="299">
        <v>0</v>
      </c>
      <c r="AK37" s="299">
        <v>5785.03</v>
      </c>
      <c r="AL37" s="299">
        <v>1833.96</v>
      </c>
      <c r="AM37" s="299">
        <v>21400.54</v>
      </c>
      <c r="AN37" s="299">
        <v>4019.13</v>
      </c>
      <c r="AO37" s="299">
        <v>12945.39</v>
      </c>
      <c r="AP37" s="299">
        <v>3318.35</v>
      </c>
      <c r="AQ37" s="299">
        <v>2003.46</v>
      </c>
      <c r="AR37" s="299">
        <v>46002.91</v>
      </c>
      <c r="AS37" s="299">
        <v>16241.98</v>
      </c>
      <c r="AT37" s="299">
        <v>0</v>
      </c>
      <c r="AU37" s="299">
        <v>2817.08</v>
      </c>
      <c r="AV37" s="299">
        <v>4107.82</v>
      </c>
      <c r="AW37" s="299">
        <v>0</v>
      </c>
      <c r="AX37" s="299">
        <v>16927.57</v>
      </c>
      <c r="AY37" s="299">
        <v>19745</v>
      </c>
      <c r="AZ37" s="299">
        <v>20825.79</v>
      </c>
      <c r="BA37" s="299">
        <v>11032.08</v>
      </c>
      <c r="BB37" s="299">
        <v>0</v>
      </c>
      <c r="BC37" s="299">
        <v>0</v>
      </c>
      <c r="BD37" s="299">
        <v>8333.24</v>
      </c>
      <c r="BE37" s="299">
        <f t="shared" si="2"/>
        <v>913294.90999999992</v>
      </c>
      <c r="BF37" s="299">
        <f t="shared" si="3"/>
        <v>-29650.349999999977</v>
      </c>
      <c r="BG37" s="299">
        <v>73211.559999999939</v>
      </c>
      <c r="BH37" s="299">
        <f t="shared" si="4"/>
        <v>43561.209999999963</v>
      </c>
      <c r="BI37" s="299">
        <v>0</v>
      </c>
      <c r="BJ37" s="299">
        <v>0</v>
      </c>
      <c r="BK37" s="299">
        <f t="shared" si="5"/>
        <v>0</v>
      </c>
      <c r="BL37" s="299">
        <v>0</v>
      </c>
      <c r="BM37" s="299">
        <v>0</v>
      </c>
      <c r="BN37" s="299">
        <f t="shared" si="6"/>
        <v>0</v>
      </c>
      <c r="BO37" s="299">
        <f t="shared" si="7"/>
        <v>0</v>
      </c>
      <c r="BP37" s="299">
        <v>0</v>
      </c>
      <c r="BQ37" s="299">
        <f t="shared" si="8"/>
        <v>0</v>
      </c>
      <c r="BR37" s="299">
        <v>5844.1600000000008</v>
      </c>
      <c r="BS37" s="299">
        <v>37717.049999999843</v>
      </c>
      <c r="BT37" s="299">
        <v>0</v>
      </c>
      <c r="BU37" s="299">
        <f t="shared" si="9"/>
        <v>43561.209999999963</v>
      </c>
      <c r="BV37" s="299">
        <v>0</v>
      </c>
      <c r="BW37" s="299">
        <v>0</v>
      </c>
      <c r="BX37" s="299">
        <v>0</v>
      </c>
      <c r="BY37" s="299">
        <f t="shared" si="10"/>
        <v>0</v>
      </c>
      <c r="BZ37" s="299">
        <v>0</v>
      </c>
      <c r="CA37" s="299">
        <v>0</v>
      </c>
      <c r="CB37" s="299">
        <v>0</v>
      </c>
      <c r="CC37" s="299">
        <v>0</v>
      </c>
      <c r="CD37" s="299">
        <f t="shared" si="11"/>
        <v>0</v>
      </c>
      <c r="CE37" s="299">
        <f t="shared" si="12"/>
        <v>0</v>
      </c>
      <c r="CF37" s="299">
        <v>0</v>
      </c>
      <c r="CG37" s="299">
        <f t="shared" si="13"/>
        <v>0</v>
      </c>
      <c r="CH37" s="299">
        <v>0</v>
      </c>
      <c r="CI37" s="299">
        <v>0</v>
      </c>
      <c r="CJ37" s="299">
        <f t="shared" si="14"/>
        <v>0</v>
      </c>
    </row>
    <row r="38" spans="1:88" ht="13.8">
      <c r="A38" s="252" t="s">
        <v>1377</v>
      </c>
      <c r="B38" s="288">
        <v>2444</v>
      </c>
      <c r="C38" s="288" t="s">
        <v>740</v>
      </c>
      <c r="D38" s="248" t="s">
        <v>704</v>
      </c>
      <c r="E38" s="380" t="str">
        <f t="shared" si="15"/>
        <v>30EP2444</v>
      </c>
      <c r="F38" s="299">
        <v>1919774.85</v>
      </c>
      <c r="G38" s="299">
        <v>0</v>
      </c>
      <c r="H38" s="299">
        <v>115047.98</v>
      </c>
      <c r="I38" s="299">
        <v>0</v>
      </c>
      <c r="J38" s="299">
        <v>74220</v>
      </c>
      <c r="K38" s="299">
        <v>98079.93</v>
      </c>
      <c r="L38" s="299">
        <v>0</v>
      </c>
      <c r="M38" s="299">
        <v>28450.86</v>
      </c>
      <c r="N38" s="299">
        <v>12055.43</v>
      </c>
      <c r="O38" s="299">
        <v>47311.11</v>
      </c>
      <c r="P38" s="299">
        <v>0</v>
      </c>
      <c r="Q38" s="299">
        <v>0</v>
      </c>
      <c r="R38" s="299">
        <v>40713.4</v>
      </c>
      <c r="S38" s="299">
        <v>37411.21</v>
      </c>
      <c r="T38" s="299">
        <v>0</v>
      </c>
      <c r="U38" s="299">
        <v>0</v>
      </c>
      <c r="V38" s="299">
        <v>0</v>
      </c>
      <c r="W38" s="299">
        <v>0</v>
      </c>
      <c r="X38" s="299">
        <v>0</v>
      </c>
      <c r="Y38" s="299">
        <f t="shared" si="1"/>
        <v>2373064.77</v>
      </c>
      <c r="Z38" s="299">
        <v>1205204.98</v>
      </c>
      <c r="AA38" s="299">
        <v>1202.5</v>
      </c>
      <c r="AB38" s="299">
        <v>483450.5</v>
      </c>
      <c r="AC38" s="299">
        <v>77286.83</v>
      </c>
      <c r="AD38" s="299">
        <v>83227.100000000006</v>
      </c>
      <c r="AE38" s="299">
        <v>0</v>
      </c>
      <c r="AF38" s="299">
        <v>35019.519999999997</v>
      </c>
      <c r="AG38" s="299">
        <v>7796.65</v>
      </c>
      <c r="AH38" s="299">
        <v>2533.2600000000002</v>
      </c>
      <c r="AI38" s="299">
        <v>0</v>
      </c>
      <c r="AJ38" s="299">
        <v>0</v>
      </c>
      <c r="AK38" s="299">
        <v>23638.47</v>
      </c>
      <c r="AL38" s="299">
        <v>5712</v>
      </c>
      <c r="AM38" s="299">
        <v>3884.29</v>
      </c>
      <c r="AN38" s="299">
        <v>9363.11</v>
      </c>
      <c r="AO38" s="299">
        <v>30758.11</v>
      </c>
      <c r="AP38" s="299">
        <v>62160</v>
      </c>
      <c r="AQ38" s="299">
        <v>9839.27</v>
      </c>
      <c r="AR38" s="299">
        <v>60846.14</v>
      </c>
      <c r="AS38" s="299">
        <v>37680.65</v>
      </c>
      <c r="AT38" s="299">
        <v>0</v>
      </c>
      <c r="AU38" s="299">
        <v>11070.7</v>
      </c>
      <c r="AV38" s="299">
        <v>10098.209999999999</v>
      </c>
      <c r="AW38" s="299">
        <v>180</v>
      </c>
      <c r="AX38" s="299">
        <v>123109.6</v>
      </c>
      <c r="AY38" s="299">
        <v>5485</v>
      </c>
      <c r="AZ38" s="299">
        <v>13476.73</v>
      </c>
      <c r="BA38" s="299">
        <v>35722.550000000003</v>
      </c>
      <c r="BB38" s="299">
        <v>0</v>
      </c>
      <c r="BC38" s="299">
        <v>4200.6099999999997</v>
      </c>
      <c r="BD38" s="299">
        <v>7915.71</v>
      </c>
      <c r="BE38" s="299">
        <f t="shared" si="2"/>
        <v>2350862.4900000002</v>
      </c>
      <c r="BF38" s="299">
        <f t="shared" si="3"/>
        <v>22202.279999999795</v>
      </c>
      <c r="BG38" s="299">
        <v>47227.870000000374</v>
      </c>
      <c r="BH38" s="299">
        <f t="shared" si="4"/>
        <v>69430.150000000169</v>
      </c>
      <c r="BI38" s="299">
        <v>0</v>
      </c>
      <c r="BJ38" s="299">
        <v>0</v>
      </c>
      <c r="BK38" s="299">
        <f t="shared" si="5"/>
        <v>0</v>
      </c>
      <c r="BL38" s="299">
        <v>0</v>
      </c>
      <c r="BM38" s="299">
        <v>0</v>
      </c>
      <c r="BN38" s="299">
        <f t="shared" si="6"/>
        <v>0</v>
      </c>
      <c r="BO38" s="299">
        <f t="shared" si="7"/>
        <v>0</v>
      </c>
      <c r="BP38" s="299">
        <v>0</v>
      </c>
      <c r="BQ38" s="299">
        <f t="shared" si="8"/>
        <v>0</v>
      </c>
      <c r="BR38" s="299">
        <v>21434</v>
      </c>
      <c r="BS38" s="299">
        <v>47996.150000000169</v>
      </c>
      <c r="BT38" s="299">
        <v>0</v>
      </c>
      <c r="BU38" s="299">
        <f t="shared" si="9"/>
        <v>69430.150000000169</v>
      </c>
      <c r="BV38" s="299">
        <v>8095</v>
      </c>
      <c r="BW38" s="299">
        <v>0</v>
      </c>
      <c r="BX38" s="299">
        <v>0</v>
      </c>
      <c r="BY38" s="299">
        <f t="shared" si="10"/>
        <v>8095</v>
      </c>
      <c r="BZ38" s="299">
        <v>0</v>
      </c>
      <c r="CA38" s="299">
        <v>0</v>
      </c>
      <c r="CB38" s="299">
        <v>0</v>
      </c>
      <c r="CC38" s="299">
        <v>15950</v>
      </c>
      <c r="CD38" s="299">
        <f t="shared" si="11"/>
        <v>15950</v>
      </c>
      <c r="CE38" s="299">
        <f t="shared" si="12"/>
        <v>-7855</v>
      </c>
      <c r="CF38" s="299">
        <v>11776.05</v>
      </c>
      <c r="CG38" s="299">
        <f t="shared" si="13"/>
        <v>3921.0499999999993</v>
      </c>
      <c r="CH38" s="299">
        <v>3921.0499999999993</v>
      </c>
      <c r="CI38" s="299">
        <v>0</v>
      </c>
      <c r="CJ38" s="299">
        <f t="shared" si="14"/>
        <v>3921.0499999999993</v>
      </c>
    </row>
    <row r="39" spans="1:88" ht="13.8">
      <c r="A39" s="252" t="s">
        <v>1377</v>
      </c>
      <c r="B39" s="288">
        <v>3074</v>
      </c>
      <c r="C39" s="288" t="s">
        <v>741</v>
      </c>
      <c r="D39" s="248" t="s">
        <v>704</v>
      </c>
      <c r="E39" s="380" t="str">
        <f t="shared" si="15"/>
        <v>30EP3074</v>
      </c>
      <c r="F39" s="299">
        <v>1081038.46</v>
      </c>
      <c r="G39" s="299">
        <v>0</v>
      </c>
      <c r="H39" s="299">
        <v>60534.38</v>
      </c>
      <c r="I39" s="299">
        <v>0</v>
      </c>
      <c r="J39" s="299">
        <v>72235</v>
      </c>
      <c r="K39" s="299">
        <v>47836</v>
      </c>
      <c r="L39" s="299">
        <v>0</v>
      </c>
      <c r="M39" s="299">
        <v>6527.25</v>
      </c>
      <c r="N39" s="299">
        <v>50068.31</v>
      </c>
      <c r="O39" s="299">
        <v>0</v>
      </c>
      <c r="P39" s="299">
        <v>0</v>
      </c>
      <c r="Q39" s="299">
        <v>0</v>
      </c>
      <c r="R39" s="299">
        <v>8675.09</v>
      </c>
      <c r="S39" s="299">
        <v>2982.82</v>
      </c>
      <c r="T39" s="299">
        <v>0</v>
      </c>
      <c r="U39" s="299">
        <v>0</v>
      </c>
      <c r="V39" s="299">
        <v>0</v>
      </c>
      <c r="W39" s="299">
        <v>0</v>
      </c>
      <c r="X39" s="299">
        <v>0</v>
      </c>
      <c r="Y39" s="299">
        <f t="shared" si="1"/>
        <v>1329897.31</v>
      </c>
      <c r="Z39" s="299">
        <v>671931.66</v>
      </c>
      <c r="AA39" s="299">
        <v>20704.240000000002</v>
      </c>
      <c r="AB39" s="299">
        <v>254817.38</v>
      </c>
      <c r="AC39" s="299">
        <v>30952.38</v>
      </c>
      <c r="AD39" s="299">
        <v>57871.41</v>
      </c>
      <c r="AE39" s="299">
        <v>0</v>
      </c>
      <c r="AF39" s="299">
        <v>66205.119999999995</v>
      </c>
      <c r="AG39" s="299">
        <v>4529.5</v>
      </c>
      <c r="AH39" s="299">
        <v>8118.34</v>
      </c>
      <c r="AI39" s="299">
        <v>5050</v>
      </c>
      <c r="AJ39" s="299">
        <v>1025</v>
      </c>
      <c r="AK39" s="299">
        <v>13209.2</v>
      </c>
      <c r="AL39" s="299">
        <v>5615.83</v>
      </c>
      <c r="AM39" s="299">
        <v>5628.69</v>
      </c>
      <c r="AN39" s="299">
        <v>3933.14</v>
      </c>
      <c r="AO39" s="299">
        <v>24252.37</v>
      </c>
      <c r="AP39" s="299">
        <v>22455</v>
      </c>
      <c r="AQ39" s="299">
        <v>4927.1000000000004</v>
      </c>
      <c r="AR39" s="299">
        <v>49036.25</v>
      </c>
      <c r="AS39" s="299">
        <v>38102.99</v>
      </c>
      <c r="AT39" s="299">
        <v>0</v>
      </c>
      <c r="AU39" s="299">
        <v>15231.55</v>
      </c>
      <c r="AV39" s="299">
        <v>5183.34</v>
      </c>
      <c r="AW39" s="299">
        <v>1920.28</v>
      </c>
      <c r="AX39" s="299">
        <v>47070.97</v>
      </c>
      <c r="AY39" s="299">
        <v>0</v>
      </c>
      <c r="AZ39" s="299">
        <v>1863</v>
      </c>
      <c r="BA39" s="299">
        <v>16443.689999999999</v>
      </c>
      <c r="BB39" s="299">
        <v>0</v>
      </c>
      <c r="BC39" s="299">
        <v>0</v>
      </c>
      <c r="BD39" s="299">
        <v>0</v>
      </c>
      <c r="BE39" s="299">
        <f t="shared" si="2"/>
        <v>1376078.4300000002</v>
      </c>
      <c r="BF39" s="299">
        <f t="shared" si="3"/>
        <v>-46181.120000000112</v>
      </c>
      <c r="BG39" s="299">
        <v>120557.83</v>
      </c>
      <c r="BH39" s="299">
        <f t="shared" si="4"/>
        <v>74376.70999999989</v>
      </c>
      <c r="BI39" s="299">
        <v>106186.24000000001</v>
      </c>
      <c r="BJ39" s="299">
        <v>9369.41</v>
      </c>
      <c r="BK39" s="299">
        <f t="shared" si="5"/>
        <v>115555.65000000001</v>
      </c>
      <c r="BL39" s="299">
        <v>92175.53</v>
      </c>
      <c r="BM39" s="299">
        <v>14669.26</v>
      </c>
      <c r="BN39" s="299">
        <f t="shared" si="6"/>
        <v>106844.79</v>
      </c>
      <c r="BO39" s="299">
        <f t="shared" si="7"/>
        <v>8710.8600000000151</v>
      </c>
      <c r="BP39" s="299">
        <v>30842.98</v>
      </c>
      <c r="BQ39" s="299">
        <f t="shared" si="8"/>
        <v>39553.840000000011</v>
      </c>
      <c r="BR39" s="299">
        <v>0</v>
      </c>
      <c r="BS39" s="299">
        <v>73832.710000000094</v>
      </c>
      <c r="BT39" s="299">
        <v>40097.839999999982</v>
      </c>
      <c r="BU39" s="299">
        <f t="shared" si="9"/>
        <v>113930.5499999999</v>
      </c>
      <c r="BV39" s="299">
        <v>6522.7</v>
      </c>
      <c r="BW39" s="299">
        <v>0</v>
      </c>
      <c r="BX39" s="299">
        <v>0</v>
      </c>
      <c r="BY39" s="299">
        <f t="shared" si="10"/>
        <v>6522.7</v>
      </c>
      <c r="BZ39" s="299">
        <v>0</v>
      </c>
      <c r="CA39" s="299">
        <v>10050</v>
      </c>
      <c r="CB39" s="299">
        <v>0</v>
      </c>
      <c r="CC39" s="299">
        <v>0</v>
      </c>
      <c r="CD39" s="299">
        <f t="shared" si="11"/>
        <v>10050</v>
      </c>
      <c r="CE39" s="299">
        <f t="shared" si="12"/>
        <v>-3527.3</v>
      </c>
      <c r="CF39" s="299">
        <v>8770.1</v>
      </c>
      <c r="CG39" s="299">
        <f t="shared" si="13"/>
        <v>5242.8</v>
      </c>
      <c r="CH39" s="299">
        <v>5242.8</v>
      </c>
      <c r="CI39" s="299">
        <v>0</v>
      </c>
      <c r="CJ39" s="299">
        <f t="shared" si="14"/>
        <v>5242.8</v>
      </c>
    </row>
    <row r="40" spans="1:88" ht="13.8">
      <c r="A40" s="252" t="s">
        <v>1377</v>
      </c>
      <c r="B40" s="288">
        <v>2336</v>
      </c>
      <c r="C40" s="288" t="s">
        <v>1372</v>
      </c>
      <c r="D40" s="248" t="s">
        <v>704</v>
      </c>
      <c r="E40" s="380" t="str">
        <f t="shared" si="15"/>
        <v>30EP2336</v>
      </c>
      <c r="F40" s="299">
        <v>2146537.38</v>
      </c>
      <c r="G40" s="299">
        <v>0</v>
      </c>
      <c r="H40" s="299">
        <v>59512.88</v>
      </c>
      <c r="I40" s="299">
        <v>0</v>
      </c>
      <c r="J40" s="299">
        <v>161310</v>
      </c>
      <c r="K40" s="299">
        <v>86943.679999999993</v>
      </c>
      <c r="L40" s="299">
        <v>0</v>
      </c>
      <c r="M40" s="299">
        <v>44518.84</v>
      </c>
      <c r="N40" s="299">
        <v>165573.92000000001</v>
      </c>
      <c r="O40" s="299">
        <v>37089.699999999997</v>
      </c>
      <c r="P40" s="299">
        <v>10074</v>
      </c>
      <c r="Q40" s="299">
        <v>572</v>
      </c>
      <c r="R40" s="299">
        <v>49016.97</v>
      </c>
      <c r="S40" s="299">
        <v>14509.65</v>
      </c>
      <c r="T40" s="299">
        <v>0</v>
      </c>
      <c r="U40" s="299">
        <v>0</v>
      </c>
      <c r="V40" s="299">
        <v>0</v>
      </c>
      <c r="W40" s="299">
        <v>0</v>
      </c>
      <c r="X40" s="299">
        <v>0</v>
      </c>
      <c r="Y40" s="299">
        <f t="shared" si="1"/>
        <v>2775659.02</v>
      </c>
      <c r="Z40" s="299">
        <v>1242352.54</v>
      </c>
      <c r="AA40" s="299">
        <v>0</v>
      </c>
      <c r="AB40" s="299">
        <v>502020.32</v>
      </c>
      <c r="AC40" s="299">
        <v>81845.91</v>
      </c>
      <c r="AD40" s="299">
        <v>166211.62</v>
      </c>
      <c r="AE40" s="299">
        <v>0</v>
      </c>
      <c r="AF40" s="299">
        <v>88941.57</v>
      </c>
      <c r="AG40" s="299">
        <v>21453.31</v>
      </c>
      <c r="AH40" s="299">
        <v>7453.3</v>
      </c>
      <c r="AI40" s="299">
        <v>9150</v>
      </c>
      <c r="AJ40" s="299">
        <v>2207.5</v>
      </c>
      <c r="AK40" s="299">
        <v>36839.75</v>
      </c>
      <c r="AL40" s="299">
        <v>8280</v>
      </c>
      <c r="AM40" s="299">
        <v>34381.03</v>
      </c>
      <c r="AN40" s="299">
        <v>13702.09</v>
      </c>
      <c r="AO40" s="299">
        <v>58956.959999999999</v>
      </c>
      <c r="AP40" s="299">
        <v>12768.6</v>
      </c>
      <c r="AQ40" s="299">
        <v>8614.99</v>
      </c>
      <c r="AR40" s="299">
        <v>117598.64</v>
      </c>
      <c r="AS40" s="299">
        <v>40959.18</v>
      </c>
      <c r="AT40" s="299">
        <v>0</v>
      </c>
      <c r="AU40" s="299">
        <v>12167.12</v>
      </c>
      <c r="AV40" s="299">
        <v>10922.91</v>
      </c>
      <c r="AW40" s="299">
        <v>4090.4</v>
      </c>
      <c r="AX40" s="299">
        <v>115757.14</v>
      </c>
      <c r="AY40" s="299">
        <v>74782.320000000007</v>
      </c>
      <c r="AZ40" s="299">
        <v>129617.14</v>
      </c>
      <c r="BA40" s="299">
        <v>56547.1</v>
      </c>
      <c r="BB40" s="299">
        <v>0</v>
      </c>
      <c r="BC40" s="299">
        <v>2733.51</v>
      </c>
      <c r="BD40" s="299">
        <v>8041.08</v>
      </c>
      <c r="BE40" s="299">
        <f t="shared" si="2"/>
        <v>2868396.0300000003</v>
      </c>
      <c r="BF40" s="299">
        <f t="shared" si="3"/>
        <v>-92737.010000000242</v>
      </c>
      <c r="BG40" s="299">
        <v>201995.71999999945</v>
      </c>
      <c r="BH40" s="299">
        <f t="shared" si="4"/>
        <v>109258.70999999921</v>
      </c>
      <c r="BI40" s="299">
        <v>0</v>
      </c>
      <c r="BJ40" s="299">
        <v>0</v>
      </c>
      <c r="BK40" s="299">
        <f t="shared" si="5"/>
        <v>0</v>
      </c>
      <c r="BL40" s="299">
        <v>0</v>
      </c>
      <c r="BM40" s="299">
        <v>0</v>
      </c>
      <c r="BN40" s="299">
        <f t="shared" si="6"/>
        <v>0</v>
      </c>
      <c r="BO40" s="299">
        <f t="shared" si="7"/>
        <v>0</v>
      </c>
      <c r="BP40" s="299">
        <v>0</v>
      </c>
      <c r="BQ40" s="299">
        <f t="shared" si="8"/>
        <v>0</v>
      </c>
      <c r="BR40" s="299">
        <v>0</v>
      </c>
      <c r="BS40" s="299">
        <v>109258.70999999921</v>
      </c>
      <c r="BT40" s="299">
        <v>0</v>
      </c>
      <c r="BU40" s="299">
        <f t="shared" si="9"/>
        <v>109258.70999999921</v>
      </c>
      <c r="BV40" s="299">
        <v>8646.25</v>
      </c>
      <c r="BW40" s="299">
        <v>0</v>
      </c>
      <c r="BX40" s="299">
        <v>0</v>
      </c>
      <c r="BY40" s="299">
        <f t="shared" si="10"/>
        <v>8646.25</v>
      </c>
      <c r="BZ40" s="299">
        <v>0</v>
      </c>
      <c r="CA40" s="299">
        <v>0</v>
      </c>
      <c r="CB40" s="299">
        <v>0</v>
      </c>
      <c r="CC40" s="299">
        <v>3570.7</v>
      </c>
      <c r="CD40" s="299">
        <f t="shared" si="11"/>
        <v>3570.7</v>
      </c>
      <c r="CE40" s="299">
        <f t="shared" si="12"/>
        <v>5075.55</v>
      </c>
      <c r="CF40" s="299">
        <v>543.67000000000007</v>
      </c>
      <c r="CG40" s="299">
        <f t="shared" si="13"/>
        <v>5619.22</v>
      </c>
      <c r="CH40" s="299">
        <v>5619.22</v>
      </c>
      <c r="CI40" s="299">
        <v>0</v>
      </c>
      <c r="CJ40" s="299">
        <f t="shared" si="14"/>
        <v>5619.22</v>
      </c>
    </row>
    <row r="41" spans="1:88" ht="13.8">
      <c r="A41" s="252" t="s">
        <v>1377</v>
      </c>
      <c r="B41" s="288">
        <v>2010</v>
      </c>
      <c r="C41" s="288" t="s">
        <v>742</v>
      </c>
      <c r="D41" s="248" t="s">
        <v>704</v>
      </c>
      <c r="E41" s="380" t="str">
        <f t="shared" si="15"/>
        <v>30EP2010</v>
      </c>
      <c r="F41" s="299">
        <v>696360.76</v>
      </c>
      <c r="G41" s="299">
        <v>0</v>
      </c>
      <c r="H41" s="299">
        <v>50094.75</v>
      </c>
      <c r="I41" s="299">
        <v>0</v>
      </c>
      <c r="J41" s="299">
        <v>26820</v>
      </c>
      <c r="K41" s="299">
        <v>35415</v>
      </c>
      <c r="L41" s="299">
        <v>0</v>
      </c>
      <c r="M41" s="299">
        <v>1800</v>
      </c>
      <c r="N41" s="299">
        <v>3539.59</v>
      </c>
      <c r="O41" s="299">
        <v>7808.14</v>
      </c>
      <c r="P41" s="299">
        <v>19320</v>
      </c>
      <c r="Q41" s="299">
        <v>86546.09</v>
      </c>
      <c r="R41" s="299">
        <v>9019.25</v>
      </c>
      <c r="S41" s="299">
        <v>3282.08</v>
      </c>
      <c r="T41" s="299">
        <v>0</v>
      </c>
      <c r="U41" s="299">
        <v>0</v>
      </c>
      <c r="V41" s="299">
        <v>0</v>
      </c>
      <c r="W41" s="299">
        <v>0</v>
      </c>
      <c r="X41" s="299">
        <v>0</v>
      </c>
      <c r="Y41" s="299">
        <f t="shared" si="1"/>
        <v>940005.65999999992</v>
      </c>
      <c r="Z41" s="299">
        <v>378110.43</v>
      </c>
      <c r="AA41" s="299">
        <v>18642.47</v>
      </c>
      <c r="AB41" s="299">
        <v>202158.32</v>
      </c>
      <c r="AC41" s="299">
        <v>0</v>
      </c>
      <c r="AD41" s="299">
        <v>62877.27</v>
      </c>
      <c r="AE41" s="299">
        <v>0</v>
      </c>
      <c r="AF41" s="299">
        <v>19755.98</v>
      </c>
      <c r="AG41" s="299">
        <v>3039.44</v>
      </c>
      <c r="AH41" s="299">
        <v>5350.27</v>
      </c>
      <c r="AI41" s="299">
        <v>2675</v>
      </c>
      <c r="AJ41" s="299">
        <v>835</v>
      </c>
      <c r="AK41" s="299">
        <v>10808.91</v>
      </c>
      <c r="AL41" s="299">
        <v>2400</v>
      </c>
      <c r="AM41" s="299">
        <v>17972.849999999999</v>
      </c>
      <c r="AN41" s="299">
        <v>1093.28</v>
      </c>
      <c r="AO41" s="299">
        <v>13798.03</v>
      </c>
      <c r="AP41" s="299">
        <v>14845.25</v>
      </c>
      <c r="AQ41" s="299">
        <v>3224.59</v>
      </c>
      <c r="AR41" s="299">
        <v>34114.980000000003</v>
      </c>
      <c r="AS41" s="299">
        <v>20693.560000000001</v>
      </c>
      <c r="AT41" s="299">
        <v>0</v>
      </c>
      <c r="AU41" s="299">
        <v>20117.23</v>
      </c>
      <c r="AV41" s="299">
        <v>3179.97</v>
      </c>
      <c r="AW41" s="299">
        <v>3059.32</v>
      </c>
      <c r="AX41" s="299">
        <v>67981.279999999999</v>
      </c>
      <c r="AY41" s="299">
        <v>10896.2</v>
      </c>
      <c r="AZ41" s="299">
        <v>10763.4</v>
      </c>
      <c r="BA41" s="299">
        <v>17457.87</v>
      </c>
      <c r="BB41" s="299">
        <v>0</v>
      </c>
      <c r="BC41" s="299">
        <v>0</v>
      </c>
      <c r="BD41" s="299">
        <v>0</v>
      </c>
      <c r="BE41" s="299">
        <f t="shared" si="2"/>
        <v>945850.89999999991</v>
      </c>
      <c r="BF41" s="299">
        <f t="shared" si="3"/>
        <v>-5845.2399999999907</v>
      </c>
      <c r="BG41" s="299">
        <v>-27355.349999999908</v>
      </c>
      <c r="BH41" s="299">
        <f t="shared" si="4"/>
        <v>-33200.589999999895</v>
      </c>
      <c r="BI41" s="299">
        <v>0</v>
      </c>
      <c r="BJ41" s="299">
        <v>0</v>
      </c>
      <c r="BK41" s="299">
        <f t="shared" si="5"/>
        <v>0</v>
      </c>
      <c r="BL41" s="299">
        <v>0</v>
      </c>
      <c r="BM41" s="299">
        <v>0</v>
      </c>
      <c r="BN41" s="299">
        <f t="shared" si="6"/>
        <v>0</v>
      </c>
      <c r="BO41" s="299">
        <f t="shared" si="7"/>
        <v>0</v>
      </c>
      <c r="BP41" s="299">
        <v>0</v>
      </c>
      <c r="BQ41" s="299">
        <f t="shared" si="8"/>
        <v>0</v>
      </c>
      <c r="BR41" s="299">
        <v>13139.869999999999</v>
      </c>
      <c r="BS41" s="299">
        <v>-46340.460000000021</v>
      </c>
      <c r="BT41" s="299">
        <v>0</v>
      </c>
      <c r="BU41" s="299">
        <f t="shared" si="9"/>
        <v>-33200.589999999895</v>
      </c>
      <c r="BV41" s="299">
        <v>5237.5</v>
      </c>
      <c r="BW41" s="299">
        <v>0</v>
      </c>
      <c r="BX41" s="299">
        <v>0</v>
      </c>
      <c r="BY41" s="299">
        <f t="shared" si="10"/>
        <v>5237.5</v>
      </c>
      <c r="BZ41" s="299">
        <v>0</v>
      </c>
      <c r="CA41" s="299">
        <v>11334.23</v>
      </c>
      <c r="CB41" s="299">
        <v>0</v>
      </c>
      <c r="CC41" s="299">
        <v>0</v>
      </c>
      <c r="CD41" s="299">
        <f t="shared" si="11"/>
        <v>11334.23</v>
      </c>
      <c r="CE41" s="299">
        <f t="shared" si="12"/>
        <v>-6096.73</v>
      </c>
      <c r="CF41" s="299">
        <v>7786.02</v>
      </c>
      <c r="CG41" s="299">
        <f t="shared" si="13"/>
        <v>1689.2900000000009</v>
      </c>
      <c r="CH41" s="299">
        <v>1689.2900000000009</v>
      </c>
      <c r="CI41" s="299">
        <v>0</v>
      </c>
      <c r="CJ41" s="299">
        <f t="shared" si="14"/>
        <v>1689.2900000000009</v>
      </c>
    </row>
    <row r="42" spans="1:88" ht="13.8">
      <c r="A42" s="252" t="s">
        <v>1377</v>
      </c>
      <c r="B42" s="288">
        <v>2208</v>
      </c>
      <c r="C42" s="288" t="s">
        <v>743</v>
      </c>
      <c r="D42" s="248" t="s">
        <v>704</v>
      </c>
      <c r="E42" s="380" t="str">
        <f t="shared" si="15"/>
        <v>30EP2208</v>
      </c>
      <c r="F42" s="299">
        <v>1046950.93</v>
      </c>
      <c r="G42" s="299">
        <v>0</v>
      </c>
      <c r="H42" s="299">
        <v>13965.63</v>
      </c>
      <c r="I42" s="299">
        <v>0</v>
      </c>
      <c r="J42" s="299">
        <v>53675</v>
      </c>
      <c r="K42" s="299">
        <v>44039</v>
      </c>
      <c r="L42" s="299">
        <v>0</v>
      </c>
      <c r="M42" s="299">
        <v>12401.1</v>
      </c>
      <c r="N42" s="299">
        <v>32535.73</v>
      </c>
      <c r="O42" s="299">
        <v>27080.5</v>
      </c>
      <c r="P42" s="299">
        <v>9096</v>
      </c>
      <c r="Q42" s="299">
        <v>0</v>
      </c>
      <c r="R42" s="299">
        <v>16982.5</v>
      </c>
      <c r="S42" s="299">
        <v>12635.55</v>
      </c>
      <c r="T42" s="299">
        <v>0</v>
      </c>
      <c r="U42" s="299">
        <v>0</v>
      </c>
      <c r="V42" s="299">
        <v>0</v>
      </c>
      <c r="W42" s="299">
        <v>0</v>
      </c>
      <c r="X42" s="299">
        <v>0</v>
      </c>
      <c r="Y42" s="299">
        <f t="shared" si="1"/>
        <v>1269361.9400000002</v>
      </c>
      <c r="Z42" s="299">
        <v>620569.15</v>
      </c>
      <c r="AA42" s="299">
        <v>7057.68</v>
      </c>
      <c r="AB42" s="299">
        <v>155584.62</v>
      </c>
      <c r="AC42" s="299">
        <v>37438.1</v>
      </c>
      <c r="AD42" s="299">
        <v>89560.98</v>
      </c>
      <c r="AE42" s="299">
        <v>0</v>
      </c>
      <c r="AF42" s="299">
        <v>29864.26</v>
      </c>
      <c r="AG42" s="299">
        <v>14727.6</v>
      </c>
      <c r="AH42" s="299">
        <v>2706.2</v>
      </c>
      <c r="AI42" s="299">
        <v>4700</v>
      </c>
      <c r="AJ42" s="299">
        <v>0</v>
      </c>
      <c r="AK42" s="299">
        <v>17131.48</v>
      </c>
      <c r="AL42" s="299">
        <v>6462.72</v>
      </c>
      <c r="AM42" s="299">
        <v>30237.91</v>
      </c>
      <c r="AN42" s="299">
        <v>9119.36</v>
      </c>
      <c r="AO42" s="299">
        <v>19953.310000000001</v>
      </c>
      <c r="AP42" s="299">
        <v>25199.5</v>
      </c>
      <c r="AQ42" s="299">
        <v>1493</v>
      </c>
      <c r="AR42" s="299">
        <v>34225.4</v>
      </c>
      <c r="AS42" s="299">
        <v>32904.019999999997</v>
      </c>
      <c r="AT42" s="299">
        <v>0</v>
      </c>
      <c r="AU42" s="299">
        <v>7750.01</v>
      </c>
      <c r="AV42" s="299">
        <v>5871.31</v>
      </c>
      <c r="AW42" s="299">
        <v>0</v>
      </c>
      <c r="AX42" s="299">
        <v>75476.3</v>
      </c>
      <c r="AY42" s="299">
        <v>37227.99</v>
      </c>
      <c r="AZ42" s="299">
        <v>16070.86</v>
      </c>
      <c r="BA42" s="299">
        <v>19247.32</v>
      </c>
      <c r="BB42" s="299">
        <v>0</v>
      </c>
      <c r="BC42" s="299">
        <v>0</v>
      </c>
      <c r="BD42" s="299">
        <v>5299</v>
      </c>
      <c r="BE42" s="299">
        <f t="shared" si="2"/>
        <v>1305878.0800000003</v>
      </c>
      <c r="BF42" s="299">
        <f t="shared" si="3"/>
        <v>-36516.14000000013</v>
      </c>
      <c r="BG42" s="299">
        <v>73103.499999999898</v>
      </c>
      <c r="BH42" s="299">
        <f t="shared" si="4"/>
        <v>36587.359999999768</v>
      </c>
      <c r="BI42" s="299">
        <v>155702.16</v>
      </c>
      <c r="BJ42" s="299">
        <v>10159.83</v>
      </c>
      <c r="BK42" s="299">
        <f t="shared" si="5"/>
        <v>165861.99</v>
      </c>
      <c r="BL42" s="299">
        <v>110220.86</v>
      </c>
      <c r="BM42" s="299">
        <v>32858.050000000003</v>
      </c>
      <c r="BN42" s="299">
        <f t="shared" si="6"/>
        <v>143078.91</v>
      </c>
      <c r="BO42" s="299">
        <f t="shared" si="7"/>
        <v>22783.079999999987</v>
      </c>
      <c r="BP42" s="299">
        <v>45078.43</v>
      </c>
      <c r="BQ42" s="299">
        <f t="shared" si="8"/>
        <v>67861.50999999998</v>
      </c>
      <c r="BR42" s="299">
        <v>0</v>
      </c>
      <c r="BS42" s="299">
        <v>31674.360000000248</v>
      </c>
      <c r="BT42" s="299">
        <v>72774.509999999966</v>
      </c>
      <c r="BU42" s="299">
        <f t="shared" si="9"/>
        <v>104448.86999999975</v>
      </c>
      <c r="BV42" s="299">
        <v>6416.91</v>
      </c>
      <c r="BW42" s="299">
        <v>0</v>
      </c>
      <c r="BX42" s="299">
        <v>0</v>
      </c>
      <c r="BY42" s="299">
        <f t="shared" si="10"/>
        <v>6416.91</v>
      </c>
      <c r="BZ42" s="299">
        <v>0</v>
      </c>
      <c r="CA42" s="299">
        <v>0</v>
      </c>
      <c r="CB42" s="299">
        <v>0</v>
      </c>
      <c r="CC42" s="299">
        <v>3243.4</v>
      </c>
      <c r="CD42" s="299">
        <f t="shared" si="11"/>
        <v>3243.4</v>
      </c>
      <c r="CE42" s="299">
        <f t="shared" si="12"/>
        <v>3173.5099999999998</v>
      </c>
      <c r="CF42" s="299">
        <v>14944.75</v>
      </c>
      <c r="CG42" s="299">
        <f t="shared" si="13"/>
        <v>18118.259999999998</v>
      </c>
      <c r="CH42" s="299">
        <v>17583.829999999998</v>
      </c>
      <c r="CI42" s="299">
        <v>534.42999999999995</v>
      </c>
      <c r="CJ42" s="299">
        <f t="shared" si="14"/>
        <v>18118.259999999998</v>
      </c>
    </row>
    <row r="43" spans="1:88" ht="13.8">
      <c r="A43" s="252" t="s">
        <v>1377</v>
      </c>
      <c r="B43" s="288">
        <v>3065</v>
      </c>
      <c r="C43" s="288" t="s">
        <v>744</v>
      </c>
      <c r="D43" s="248" t="s">
        <v>704</v>
      </c>
      <c r="E43" s="380" t="str">
        <f t="shared" si="15"/>
        <v>30EP3065</v>
      </c>
      <c r="F43" s="299">
        <v>601547.89</v>
      </c>
      <c r="G43" s="299">
        <v>0</v>
      </c>
      <c r="H43" s="299">
        <v>48000.959999999999</v>
      </c>
      <c r="I43" s="299">
        <v>0</v>
      </c>
      <c r="J43" s="299">
        <v>22325</v>
      </c>
      <c r="K43" s="299">
        <v>30575</v>
      </c>
      <c r="L43" s="299">
        <v>0</v>
      </c>
      <c r="M43" s="299">
        <v>2313.75</v>
      </c>
      <c r="N43" s="299">
        <v>16731.54</v>
      </c>
      <c r="O43" s="299">
        <v>7583.21</v>
      </c>
      <c r="P43" s="299">
        <v>0</v>
      </c>
      <c r="Q43" s="299">
        <v>0</v>
      </c>
      <c r="R43" s="299">
        <v>20642.41</v>
      </c>
      <c r="S43" s="299">
        <v>3124.42</v>
      </c>
      <c r="T43" s="299">
        <v>0</v>
      </c>
      <c r="U43" s="299">
        <v>0</v>
      </c>
      <c r="V43" s="299">
        <v>0</v>
      </c>
      <c r="W43" s="299">
        <v>0</v>
      </c>
      <c r="X43" s="299">
        <v>0</v>
      </c>
      <c r="Y43" s="299">
        <f t="shared" si="1"/>
        <v>752844.18</v>
      </c>
      <c r="Z43" s="299">
        <v>376290.36</v>
      </c>
      <c r="AA43" s="299">
        <v>313.27</v>
      </c>
      <c r="AB43" s="299">
        <v>136635.48000000001</v>
      </c>
      <c r="AC43" s="299">
        <v>0</v>
      </c>
      <c r="AD43" s="299">
        <v>27021.599999999999</v>
      </c>
      <c r="AE43" s="299">
        <v>24025.439999999999</v>
      </c>
      <c r="AF43" s="299">
        <v>37571.730000000003</v>
      </c>
      <c r="AG43" s="299">
        <v>2625.18</v>
      </c>
      <c r="AH43" s="299">
        <v>1864.9</v>
      </c>
      <c r="AI43" s="299">
        <v>1154</v>
      </c>
      <c r="AJ43" s="299">
        <v>0</v>
      </c>
      <c r="AK43" s="299">
        <v>7096.8</v>
      </c>
      <c r="AL43" s="299">
        <v>3547.92</v>
      </c>
      <c r="AM43" s="299">
        <v>16396.39</v>
      </c>
      <c r="AN43" s="299">
        <v>3798.98</v>
      </c>
      <c r="AO43" s="299">
        <v>10154.77</v>
      </c>
      <c r="AP43" s="299">
        <v>14720.5</v>
      </c>
      <c r="AQ43" s="299">
        <v>1477.47</v>
      </c>
      <c r="AR43" s="299">
        <v>27091.8</v>
      </c>
      <c r="AS43" s="299">
        <v>27646.09</v>
      </c>
      <c r="AT43" s="299">
        <v>0</v>
      </c>
      <c r="AU43" s="299">
        <v>3908.81</v>
      </c>
      <c r="AV43" s="299">
        <v>2884.34</v>
      </c>
      <c r="AW43" s="299">
        <v>962.72</v>
      </c>
      <c r="AX43" s="299">
        <v>11155.37</v>
      </c>
      <c r="AY43" s="299">
        <v>0</v>
      </c>
      <c r="AZ43" s="299">
        <v>1884.22</v>
      </c>
      <c r="BA43" s="299">
        <v>7191.21</v>
      </c>
      <c r="BB43" s="299">
        <v>0</v>
      </c>
      <c r="BC43" s="299">
        <v>0</v>
      </c>
      <c r="BD43" s="299">
        <v>0</v>
      </c>
      <c r="BE43" s="299">
        <f t="shared" si="2"/>
        <v>747419.35</v>
      </c>
      <c r="BF43" s="299">
        <f t="shared" si="3"/>
        <v>5424.8300000000745</v>
      </c>
      <c r="BG43" s="299">
        <v>-5013.720000000144</v>
      </c>
      <c r="BH43" s="299">
        <f t="shared" si="4"/>
        <v>411.10999999993055</v>
      </c>
      <c r="BI43" s="299">
        <v>0</v>
      </c>
      <c r="BJ43" s="299">
        <v>0</v>
      </c>
      <c r="BK43" s="299">
        <f t="shared" si="5"/>
        <v>0</v>
      </c>
      <c r="BL43" s="299">
        <v>0</v>
      </c>
      <c r="BM43" s="299">
        <v>0</v>
      </c>
      <c r="BN43" s="299">
        <f t="shared" si="6"/>
        <v>0</v>
      </c>
      <c r="BO43" s="299">
        <f t="shared" si="7"/>
        <v>0</v>
      </c>
      <c r="BP43" s="299">
        <v>0</v>
      </c>
      <c r="BQ43" s="299">
        <f t="shared" si="8"/>
        <v>0</v>
      </c>
      <c r="BR43" s="299">
        <v>850</v>
      </c>
      <c r="BS43" s="299">
        <v>-438.89000000018586</v>
      </c>
      <c r="BT43" s="299">
        <v>0</v>
      </c>
      <c r="BU43" s="299">
        <f t="shared" si="9"/>
        <v>411.10999999993055</v>
      </c>
      <c r="BV43" s="299">
        <v>5068.75</v>
      </c>
      <c r="BW43" s="299">
        <v>0</v>
      </c>
      <c r="BX43" s="299">
        <v>0</v>
      </c>
      <c r="BY43" s="299">
        <f t="shared" si="10"/>
        <v>5068.75</v>
      </c>
      <c r="BZ43" s="299">
        <v>0</v>
      </c>
      <c r="CA43" s="299">
        <v>4824.5200000000004</v>
      </c>
      <c r="CB43" s="299">
        <v>0</v>
      </c>
      <c r="CC43" s="299">
        <v>244.23</v>
      </c>
      <c r="CD43" s="299">
        <f t="shared" si="11"/>
        <v>5068.75</v>
      </c>
      <c r="CE43" s="299">
        <f t="shared" si="12"/>
        <v>0</v>
      </c>
      <c r="CF43" s="299">
        <v>4.0023540037736893E-13</v>
      </c>
      <c r="CG43" s="299">
        <f t="shared" si="13"/>
        <v>4.0023540037736893E-13</v>
      </c>
      <c r="CH43" s="299">
        <v>4.0023540037736893E-13</v>
      </c>
      <c r="CI43" s="299">
        <v>0</v>
      </c>
      <c r="CJ43" s="299">
        <f t="shared" si="14"/>
        <v>4.0023540037736893E-13</v>
      </c>
    </row>
    <row r="44" spans="1:88" ht="13.8">
      <c r="A44" s="252" t="s">
        <v>1377</v>
      </c>
      <c r="B44" s="288">
        <v>3014</v>
      </c>
      <c r="C44" s="288" t="s">
        <v>745</v>
      </c>
      <c r="D44" s="248" t="s">
        <v>704</v>
      </c>
      <c r="E44" s="380" t="str">
        <f t="shared" si="15"/>
        <v>30EP3014</v>
      </c>
      <c r="F44" s="299">
        <v>2190768.0499999998</v>
      </c>
      <c r="G44" s="299">
        <v>0</v>
      </c>
      <c r="H44" s="299">
        <v>86410.81</v>
      </c>
      <c r="I44" s="299">
        <v>0</v>
      </c>
      <c r="J44" s="299">
        <v>97380</v>
      </c>
      <c r="K44" s="299">
        <v>87238</v>
      </c>
      <c r="L44" s="299">
        <v>0</v>
      </c>
      <c r="M44" s="299">
        <v>959.93</v>
      </c>
      <c r="N44" s="299">
        <v>118693.23</v>
      </c>
      <c r="O44" s="299">
        <v>37087.69</v>
      </c>
      <c r="P44" s="299">
        <v>4789.2</v>
      </c>
      <c r="Q44" s="299">
        <v>0</v>
      </c>
      <c r="R44" s="299">
        <v>37728.04</v>
      </c>
      <c r="S44" s="299">
        <v>3339.01</v>
      </c>
      <c r="T44" s="299">
        <v>0</v>
      </c>
      <c r="U44" s="299">
        <v>0</v>
      </c>
      <c r="V44" s="299">
        <v>0</v>
      </c>
      <c r="W44" s="299">
        <v>0</v>
      </c>
      <c r="X44" s="299">
        <v>0</v>
      </c>
      <c r="Y44" s="299">
        <f t="shared" si="1"/>
        <v>2664393.96</v>
      </c>
      <c r="Z44" s="299">
        <v>1464352.5</v>
      </c>
      <c r="AA44" s="299">
        <v>0</v>
      </c>
      <c r="AB44" s="299">
        <v>565530.15</v>
      </c>
      <c r="AC44" s="299">
        <v>35036.94</v>
      </c>
      <c r="AD44" s="299">
        <v>100761.12</v>
      </c>
      <c r="AE44" s="299">
        <v>0</v>
      </c>
      <c r="AF44" s="299">
        <v>95952.74</v>
      </c>
      <c r="AG44" s="299">
        <v>8813.84</v>
      </c>
      <c r="AH44" s="299">
        <v>6280.59</v>
      </c>
      <c r="AI44" s="299">
        <v>12168.16</v>
      </c>
      <c r="AJ44" s="299">
        <v>0</v>
      </c>
      <c r="AK44" s="299">
        <v>29839.26</v>
      </c>
      <c r="AL44" s="299">
        <v>0</v>
      </c>
      <c r="AM44" s="299">
        <v>56958.84</v>
      </c>
      <c r="AN44" s="299">
        <v>4385.5</v>
      </c>
      <c r="AO44" s="299">
        <v>33504.14</v>
      </c>
      <c r="AP44" s="299">
        <v>74370</v>
      </c>
      <c r="AQ44" s="299">
        <v>26681.85</v>
      </c>
      <c r="AR44" s="299">
        <v>73104.06</v>
      </c>
      <c r="AS44" s="299">
        <v>37789.740000000005</v>
      </c>
      <c r="AT44" s="299">
        <v>0</v>
      </c>
      <c r="AU44" s="299">
        <v>8903.9699999999993</v>
      </c>
      <c r="AV44" s="299">
        <v>11381.79</v>
      </c>
      <c r="AW44" s="299">
        <v>0</v>
      </c>
      <c r="AX44" s="299">
        <v>127027.61</v>
      </c>
      <c r="AY44" s="299">
        <v>90</v>
      </c>
      <c r="AZ44" s="299">
        <v>1272.7</v>
      </c>
      <c r="BA44" s="299">
        <v>8701.2099999999991</v>
      </c>
      <c r="BB44" s="299">
        <v>0</v>
      </c>
      <c r="BC44" s="299">
        <v>0</v>
      </c>
      <c r="BD44" s="299">
        <v>0</v>
      </c>
      <c r="BE44" s="299">
        <f t="shared" si="2"/>
        <v>2782906.7100000004</v>
      </c>
      <c r="BF44" s="299">
        <f t="shared" si="3"/>
        <v>-118512.75000000047</v>
      </c>
      <c r="BG44" s="299">
        <v>185919.45999999973</v>
      </c>
      <c r="BH44" s="299">
        <f t="shared" si="4"/>
        <v>67406.709999999264</v>
      </c>
      <c r="BI44" s="299">
        <v>0</v>
      </c>
      <c r="BJ44" s="299">
        <v>0</v>
      </c>
      <c r="BK44" s="299">
        <f t="shared" si="5"/>
        <v>0</v>
      </c>
      <c r="BL44" s="299">
        <v>0</v>
      </c>
      <c r="BM44" s="299">
        <v>0</v>
      </c>
      <c r="BN44" s="299">
        <f t="shared" si="6"/>
        <v>0</v>
      </c>
      <c r="BO44" s="299">
        <f t="shared" si="7"/>
        <v>0</v>
      </c>
      <c r="BP44" s="299">
        <v>0</v>
      </c>
      <c r="BQ44" s="299">
        <f t="shared" si="8"/>
        <v>0</v>
      </c>
      <c r="BR44" s="299">
        <v>6633.74</v>
      </c>
      <c r="BS44" s="299">
        <v>60772.969999999732</v>
      </c>
      <c r="BT44" s="299">
        <v>0</v>
      </c>
      <c r="BU44" s="299">
        <f t="shared" si="9"/>
        <v>67406.709999999264</v>
      </c>
      <c r="BV44" s="299">
        <v>8657.5</v>
      </c>
      <c r="BW44" s="299">
        <v>0</v>
      </c>
      <c r="BX44" s="299">
        <v>0</v>
      </c>
      <c r="BY44" s="299">
        <f t="shared" si="10"/>
        <v>8657.5</v>
      </c>
      <c r="BZ44" s="299">
        <v>0</v>
      </c>
      <c r="CA44" s="299">
        <v>21038.18</v>
      </c>
      <c r="CB44" s="299">
        <v>0</v>
      </c>
      <c r="CC44" s="299">
        <v>0</v>
      </c>
      <c r="CD44" s="299">
        <f t="shared" si="11"/>
        <v>21038.18</v>
      </c>
      <c r="CE44" s="299">
        <f t="shared" si="12"/>
        <v>-12380.68</v>
      </c>
      <c r="CF44" s="299">
        <v>12380.679999999998</v>
      </c>
      <c r="CG44" s="299">
        <f t="shared" si="13"/>
        <v>0</v>
      </c>
      <c r="CH44" s="299">
        <v>0</v>
      </c>
      <c r="CI44" s="299">
        <v>0</v>
      </c>
      <c r="CJ44" s="299">
        <f t="shared" si="14"/>
        <v>0</v>
      </c>
    </row>
    <row r="45" spans="1:88" ht="13.8">
      <c r="A45" s="252" t="s">
        <v>1377</v>
      </c>
      <c r="B45" s="288">
        <v>2321</v>
      </c>
      <c r="C45" s="288" t="s">
        <v>746</v>
      </c>
      <c r="D45" s="248" t="s">
        <v>704</v>
      </c>
      <c r="E45" s="380" t="str">
        <f t="shared" si="15"/>
        <v>30EP2321</v>
      </c>
      <c r="F45" s="299">
        <v>2350869.5</v>
      </c>
      <c r="G45" s="299">
        <v>0</v>
      </c>
      <c r="H45" s="299">
        <v>260080.03</v>
      </c>
      <c r="I45" s="299">
        <v>0</v>
      </c>
      <c r="J45" s="299">
        <v>150009.5</v>
      </c>
      <c r="K45" s="299">
        <v>98375</v>
      </c>
      <c r="L45" s="299">
        <v>2862</v>
      </c>
      <c r="M45" s="299">
        <v>0</v>
      </c>
      <c r="N45" s="299">
        <v>86976.79</v>
      </c>
      <c r="O45" s="299">
        <v>32543.54</v>
      </c>
      <c r="P45" s="299">
        <v>5030</v>
      </c>
      <c r="Q45" s="299">
        <v>0</v>
      </c>
      <c r="R45" s="299">
        <v>29497.95</v>
      </c>
      <c r="S45" s="299">
        <v>5492.8</v>
      </c>
      <c r="T45" s="299">
        <v>0</v>
      </c>
      <c r="U45" s="299">
        <v>0</v>
      </c>
      <c r="V45" s="299">
        <v>0</v>
      </c>
      <c r="W45" s="299">
        <v>0</v>
      </c>
      <c r="X45" s="299">
        <v>0</v>
      </c>
      <c r="Y45" s="299">
        <f t="shared" si="1"/>
        <v>3021737.11</v>
      </c>
      <c r="Z45" s="299">
        <v>1251352.22</v>
      </c>
      <c r="AA45" s="299">
        <v>37043.949999999997</v>
      </c>
      <c r="AB45" s="299">
        <v>711723.66</v>
      </c>
      <c r="AC45" s="299">
        <v>41246.58</v>
      </c>
      <c r="AD45" s="299">
        <v>169541.59</v>
      </c>
      <c r="AE45" s="299">
        <v>94251.78</v>
      </c>
      <c r="AF45" s="299">
        <v>50296.05</v>
      </c>
      <c r="AG45" s="299">
        <v>11175.14</v>
      </c>
      <c r="AH45" s="299">
        <v>15561.14</v>
      </c>
      <c r="AI45" s="299">
        <v>0</v>
      </c>
      <c r="AJ45" s="299">
        <v>7751.51</v>
      </c>
      <c r="AK45" s="299">
        <v>12226.27</v>
      </c>
      <c r="AL45" s="299">
        <v>7682.81</v>
      </c>
      <c r="AM45" s="299">
        <v>55300.78</v>
      </c>
      <c r="AN45" s="299">
        <v>13730.66</v>
      </c>
      <c r="AO45" s="299">
        <v>36390.17</v>
      </c>
      <c r="AP45" s="299">
        <v>62160</v>
      </c>
      <c r="AQ45" s="299">
        <v>14029.9</v>
      </c>
      <c r="AR45" s="299">
        <v>151192.63</v>
      </c>
      <c r="AS45" s="299">
        <v>62387.820000000007</v>
      </c>
      <c r="AT45" s="299">
        <v>0</v>
      </c>
      <c r="AU45" s="299">
        <v>12399.16</v>
      </c>
      <c r="AV45" s="299">
        <v>12265.63</v>
      </c>
      <c r="AW45" s="299">
        <v>0</v>
      </c>
      <c r="AX45" s="299">
        <v>49324.73</v>
      </c>
      <c r="AY45" s="299">
        <v>93674.08</v>
      </c>
      <c r="AZ45" s="299">
        <v>2400</v>
      </c>
      <c r="BA45" s="299">
        <v>12662.77</v>
      </c>
      <c r="BB45" s="299">
        <v>0</v>
      </c>
      <c r="BC45" s="299">
        <v>0</v>
      </c>
      <c r="BD45" s="299">
        <v>0</v>
      </c>
      <c r="BE45" s="299">
        <f t="shared" si="2"/>
        <v>2987771.0299999993</v>
      </c>
      <c r="BF45" s="299">
        <f t="shared" si="3"/>
        <v>33966.08000000054</v>
      </c>
      <c r="BG45" s="299">
        <v>275300.25999999896</v>
      </c>
      <c r="BH45" s="299">
        <f t="shared" si="4"/>
        <v>309266.3399999995</v>
      </c>
      <c r="BI45" s="299">
        <v>9106.75</v>
      </c>
      <c r="BJ45" s="299">
        <v>27733.27</v>
      </c>
      <c r="BK45" s="299">
        <f t="shared" si="5"/>
        <v>36840.020000000004</v>
      </c>
      <c r="BL45" s="299">
        <v>4336</v>
      </c>
      <c r="BM45" s="299">
        <v>29647.33</v>
      </c>
      <c r="BN45" s="299">
        <f t="shared" si="6"/>
        <v>33983.33</v>
      </c>
      <c r="BO45" s="299">
        <f t="shared" si="7"/>
        <v>2856.6900000000023</v>
      </c>
      <c r="BP45" s="299">
        <v>1853.2000000000003</v>
      </c>
      <c r="BQ45" s="299">
        <f t="shared" si="8"/>
        <v>4709.8900000000031</v>
      </c>
      <c r="BR45" s="299">
        <v>0</v>
      </c>
      <c r="BS45" s="299">
        <v>309266.33999999904</v>
      </c>
      <c r="BT45" s="299">
        <v>4709.8900000000031</v>
      </c>
      <c r="BU45" s="299">
        <f t="shared" si="9"/>
        <v>313976.22999999952</v>
      </c>
      <c r="BV45" s="299">
        <v>9040</v>
      </c>
      <c r="BW45" s="299">
        <v>0</v>
      </c>
      <c r="BX45" s="299">
        <v>0</v>
      </c>
      <c r="BY45" s="299">
        <f t="shared" si="10"/>
        <v>9040</v>
      </c>
      <c r="BZ45" s="299">
        <v>0</v>
      </c>
      <c r="CA45" s="299">
        <v>3318</v>
      </c>
      <c r="CB45" s="299">
        <v>0</v>
      </c>
      <c r="CC45" s="299">
        <v>8671.99</v>
      </c>
      <c r="CD45" s="299">
        <f t="shared" si="11"/>
        <v>11989.99</v>
      </c>
      <c r="CE45" s="299">
        <f t="shared" si="12"/>
        <v>-2949.99</v>
      </c>
      <c r="CF45" s="299">
        <v>3957.4599999999991</v>
      </c>
      <c r="CG45" s="299">
        <f t="shared" si="13"/>
        <v>1007.4699999999993</v>
      </c>
      <c r="CH45" s="299">
        <v>1007.4699999999993</v>
      </c>
      <c r="CI45" s="299">
        <v>0</v>
      </c>
      <c r="CJ45" s="299">
        <f t="shared" si="14"/>
        <v>1007.4699999999993</v>
      </c>
    </row>
    <row r="46" spans="1:88" ht="13.8">
      <c r="A46" s="252" t="s">
        <v>1377</v>
      </c>
      <c r="B46" s="288">
        <v>2011</v>
      </c>
      <c r="C46" s="288" t="s">
        <v>747</v>
      </c>
      <c r="D46" s="248" t="s">
        <v>704</v>
      </c>
      <c r="E46" s="380" t="str">
        <f t="shared" si="15"/>
        <v>30EP2011</v>
      </c>
      <c r="F46" s="299">
        <v>507769.87</v>
      </c>
      <c r="G46" s="299">
        <v>0</v>
      </c>
      <c r="H46" s="299">
        <v>-9919.92</v>
      </c>
      <c r="I46" s="299">
        <v>0</v>
      </c>
      <c r="J46" s="299">
        <v>10605</v>
      </c>
      <c r="K46" s="299">
        <v>30501</v>
      </c>
      <c r="L46" s="299">
        <v>0</v>
      </c>
      <c r="M46" s="299">
        <v>5099.92</v>
      </c>
      <c r="N46" s="299">
        <v>16456.16</v>
      </c>
      <c r="O46" s="299">
        <v>7296.09</v>
      </c>
      <c r="P46" s="299">
        <v>14220</v>
      </c>
      <c r="Q46" s="299">
        <v>3610.5</v>
      </c>
      <c r="R46" s="299">
        <v>3890.24</v>
      </c>
      <c r="S46" s="299">
        <v>86.45</v>
      </c>
      <c r="T46" s="299">
        <v>0</v>
      </c>
      <c r="U46" s="299">
        <v>0</v>
      </c>
      <c r="V46" s="299">
        <v>0</v>
      </c>
      <c r="W46" s="299">
        <v>0</v>
      </c>
      <c r="X46" s="299">
        <v>0</v>
      </c>
      <c r="Y46" s="299">
        <f t="shared" si="1"/>
        <v>589615.30999999994</v>
      </c>
      <c r="Z46" s="299">
        <v>225893.25</v>
      </c>
      <c r="AA46" s="299">
        <v>0</v>
      </c>
      <c r="AB46" s="299">
        <v>83979.3</v>
      </c>
      <c r="AC46" s="299">
        <v>269.7</v>
      </c>
      <c r="AD46" s="299">
        <v>27866.57</v>
      </c>
      <c r="AE46" s="299">
        <v>0</v>
      </c>
      <c r="AF46" s="299">
        <v>11423.31</v>
      </c>
      <c r="AG46" s="299">
        <v>23608</v>
      </c>
      <c r="AH46" s="299">
        <v>3290.94</v>
      </c>
      <c r="AI46" s="299">
        <v>1875</v>
      </c>
      <c r="AJ46" s="299">
        <v>355</v>
      </c>
      <c r="AK46" s="299">
        <v>6412.94</v>
      </c>
      <c r="AL46" s="299">
        <v>2136.31</v>
      </c>
      <c r="AM46" s="299">
        <v>16782.66</v>
      </c>
      <c r="AN46" s="299">
        <v>987.87</v>
      </c>
      <c r="AO46" s="299">
        <v>13577.25</v>
      </c>
      <c r="AP46" s="299">
        <v>15344.25</v>
      </c>
      <c r="AQ46" s="299">
        <v>13367.33</v>
      </c>
      <c r="AR46" s="299">
        <v>21598.33</v>
      </c>
      <c r="AS46" s="299">
        <v>17202.769999999997</v>
      </c>
      <c r="AT46" s="299">
        <v>0</v>
      </c>
      <c r="AU46" s="299">
        <v>2919.79</v>
      </c>
      <c r="AV46" s="299">
        <v>2440.9299999999998</v>
      </c>
      <c r="AW46" s="299">
        <v>991.25</v>
      </c>
      <c r="AX46" s="299">
        <v>25711.96</v>
      </c>
      <c r="AY46" s="299">
        <v>53673.4</v>
      </c>
      <c r="AZ46" s="299">
        <v>9412.5</v>
      </c>
      <c r="BA46" s="299">
        <v>100068.76</v>
      </c>
      <c r="BB46" s="299">
        <v>0</v>
      </c>
      <c r="BC46" s="299">
        <v>0</v>
      </c>
      <c r="BD46" s="299">
        <v>0</v>
      </c>
      <c r="BE46" s="299">
        <f t="shared" si="2"/>
        <v>681189.37</v>
      </c>
      <c r="BF46" s="299">
        <f t="shared" si="3"/>
        <v>-91574.060000000056</v>
      </c>
      <c r="BG46" s="299">
        <v>29553.110000000008</v>
      </c>
      <c r="BH46" s="299">
        <f t="shared" si="4"/>
        <v>-62020.950000000048</v>
      </c>
      <c r="BI46" s="299">
        <v>0</v>
      </c>
      <c r="BJ46" s="299">
        <v>0</v>
      </c>
      <c r="BK46" s="299">
        <f t="shared" si="5"/>
        <v>0</v>
      </c>
      <c r="BL46" s="299">
        <v>0</v>
      </c>
      <c r="BM46" s="299">
        <v>0</v>
      </c>
      <c r="BN46" s="299">
        <f t="shared" si="6"/>
        <v>0</v>
      </c>
      <c r="BO46" s="299">
        <f t="shared" si="7"/>
        <v>0</v>
      </c>
      <c r="BP46" s="299">
        <v>0</v>
      </c>
      <c r="BQ46" s="299">
        <f t="shared" si="8"/>
        <v>0</v>
      </c>
      <c r="BR46" s="299">
        <v>2986.46</v>
      </c>
      <c r="BS46" s="299">
        <v>-65007.410000000047</v>
      </c>
      <c r="BT46" s="299">
        <v>0</v>
      </c>
      <c r="BU46" s="299">
        <f t="shared" si="9"/>
        <v>-62020.950000000048</v>
      </c>
      <c r="BV46" s="299">
        <v>4978.75</v>
      </c>
      <c r="BW46" s="299">
        <v>0</v>
      </c>
      <c r="BX46" s="299">
        <v>0</v>
      </c>
      <c r="BY46" s="299">
        <f t="shared" si="10"/>
        <v>4978.75</v>
      </c>
      <c r="BZ46" s="299">
        <v>0</v>
      </c>
      <c r="CA46" s="299">
        <v>0</v>
      </c>
      <c r="CB46" s="299">
        <v>0</v>
      </c>
      <c r="CC46" s="299">
        <v>0</v>
      </c>
      <c r="CD46" s="299">
        <f t="shared" si="11"/>
        <v>0</v>
      </c>
      <c r="CE46" s="299">
        <f t="shared" si="12"/>
        <v>4978.75</v>
      </c>
      <c r="CF46" s="299">
        <v>6126.97</v>
      </c>
      <c r="CG46" s="299">
        <f t="shared" si="13"/>
        <v>11105.720000000001</v>
      </c>
      <c r="CH46" s="299">
        <v>11105.720000000001</v>
      </c>
      <c r="CI46" s="299">
        <v>0</v>
      </c>
      <c r="CJ46" s="299">
        <f t="shared" si="14"/>
        <v>11105.720000000001</v>
      </c>
    </row>
    <row r="47" spans="1:88" ht="13.8">
      <c r="A47" s="252" t="s">
        <v>1377</v>
      </c>
      <c r="B47" s="288">
        <v>2012</v>
      </c>
      <c r="C47" s="288" t="s">
        <v>748</v>
      </c>
      <c r="D47" s="248" t="s">
        <v>704</v>
      </c>
      <c r="E47" s="380" t="str">
        <f t="shared" si="15"/>
        <v>30EP2012</v>
      </c>
      <c r="F47" s="299">
        <v>620123.47</v>
      </c>
      <c r="G47" s="299">
        <v>0</v>
      </c>
      <c r="H47" s="299">
        <v>33857.42</v>
      </c>
      <c r="I47" s="299">
        <v>0</v>
      </c>
      <c r="J47" s="299">
        <v>28785</v>
      </c>
      <c r="K47" s="299">
        <v>21537</v>
      </c>
      <c r="L47" s="299">
        <v>0</v>
      </c>
      <c r="M47" s="299">
        <v>0</v>
      </c>
      <c r="N47" s="299">
        <v>79618.13</v>
      </c>
      <c r="O47" s="299">
        <v>10558.65</v>
      </c>
      <c r="P47" s="299">
        <v>1350</v>
      </c>
      <c r="Q47" s="299">
        <v>1526.49</v>
      </c>
      <c r="R47" s="299">
        <v>8585.4</v>
      </c>
      <c r="S47" s="299">
        <v>2133.21</v>
      </c>
      <c r="T47" s="299">
        <v>0</v>
      </c>
      <c r="U47" s="299">
        <v>0</v>
      </c>
      <c r="V47" s="299">
        <v>0</v>
      </c>
      <c r="W47" s="299">
        <v>0</v>
      </c>
      <c r="X47" s="299">
        <v>0</v>
      </c>
      <c r="Y47" s="299">
        <f t="shared" si="1"/>
        <v>808074.77</v>
      </c>
      <c r="Z47" s="299">
        <v>360674.09</v>
      </c>
      <c r="AA47" s="299">
        <v>4706.68</v>
      </c>
      <c r="AB47" s="299">
        <v>141820.32</v>
      </c>
      <c r="AC47" s="299">
        <v>10860.56</v>
      </c>
      <c r="AD47" s="299">
        <v>44299.7</v>
      </c>
      <c r="AE47" s="299">
        <v>0</v>
      </c>
      <c r="AF47" s="299">
        <v>68.459999999999994</v>
      </c>
      <c r="AG47" s="299">
        <v>2527.6999999999998</v>
      </c>
      <c r="AH47" s="299">
        <v>2129</v>
      </c>
      <c r="AI47" s="299">
        <v>1925</v>
      </c>
      <c r="AJ47" s="299">
        <v>178.75</v>
      </c>
      <c r="AK47" s="299">
        <v>3739.86</v>
      </c>
      <c r="AL47" s="299">
        <v>1414</v>
      </c>
      <c r="AM47" s="299">
        <v>8613.56</v>
      </c>
      <c r="AN47" s="299">
        <v>630.85</v>
      </c>
      <c r="AO47" s="299">
        <v>18406.89</v>
      </c>
      <c r="AP47" s="299">
        <v>20209.5</v>
      </c>
      <c r="AQ47" s="299">
        <v>18334.419999999998</v>
      </c>
      <c r="AR47" s="299">
        <v>27143.040000000001</v>
      </c>
      <c r="AS47" s="299">
        <v>18433.830000000002</v>
      </c>
      <c r="AT47" s="299">
        <v>0</v>
      </c>
      <c r="AU47" s="299">
        <v>3662.92</v>
      </c>
      <c r="AV47" s="299">
        <v>2666.27</v>
      </c>
      <c r="AW47" s="299">
        <v>220.66</v>
      </c>
      <c r="AX47" s="299">
        <v>26860.28</v>
      </c>
      <c r="AY47" s="299">
        <v>2332.1999999999998</v>
      </c>
      <c r="AZ47" s="299">
        <v>19415.82</v>
      </c>
      <c r="BA47" s="299">
        <v>24916.98</v>
      </c>
      <c r="BB47" s="299">
        <v>0</v>
      </c>
      <c r="BC47" s="299">
        <v>0</v>
      </c>
      <c r="BD47" s="299">
        <v>9000</v>
      </c>
      <c r="BE47" s="299">
        <f t="shared" si="2"/>
        <v>775191.34</v>
      </c>
      <c r="BF47" s="299">
        <f t="shared" si="3"/>
        <v>32883.430000000051</v>
      </c>
      <c r="BG47" s="299">
        <v>163532.3600000001</v>
      </c>
      <c r="BH47" s="299">
        <f t="shared" si="4"/>
        <v>196415.79000000015</v>
      </c>
      <c r="BI47" s="299">
        <v>0</v>
      </c>
      <c r="BJ47" s="299">
        <v>0</v>
      </c>
      <c r="BK47" s="299">
        <f t="shared" si="5"/>
        <v>0</v>
      </c>
      <c r="BL47" s="299">
        <v>0</v>
      </c>
      <c r="BM47" s="299">
        <v>0</v>
      </c>
      <c r="BN47" s="299">
        <f t="shared" si="6"/>
        <v>0</v>
      </c>
      <c r="BO47" s="299">
        <f t="shared" si="7"/>
        <v>0</v>
      </c>
      <c r="BP47" s="299">
        <v>0</v>
      </c>
      <c r="BQ47" s="299">
        <f t="shared" si="8"/>
        <v>0</v>
      </c>
      <c r="BR47" s="299">
        <v>9812.36</v>
      </c>
      <c r="BS47" s="299">
        <v>186603.43000000028</v>
      </c>
      <c r="BT47" s="299">
        <v>0</v>
      </c>
      <c r="BU47" s="299">
        <f t="shared" si="9"/>
        <v>196415.79000000015</v>
      </c>
      <c r="BV47" s="299">
        <v>4967.5</v>
      </c>
      <c r="BW47" s="299">
        <v>4416.6000000000004</v>
      </c>
      <c r="BX47" s="299">
        <v>9000</v>
      </c>
      <c r="BY47" s="299">
        <f t="shared" si="10"/>
        <v>18384.099999999999</v>
      </c>
      <c r="BZ47" s="299">
        <v>0</v>
      </c>
      <c r="CA47" s="299">
        <v>17512.900000000001</v>
      </c>
      <c r="CB47" s="299">
        <v>0</v>
      </c>
      <c r="CC47" s="299">
        <v>13092.3</v>
      </c>
      <c r="CD47" s="299">
        <f t="shared" si="11"/>
        <v>30605.200000000001</v>
      </c>
      <c r="CE47" s="299">
        <f t="shared" si="12"/>
        <v>-12221.100000000002</v>
      </c>
      <c r="CF47" s="299">
        <v>17845.690000000002</v>
      </c>
      <c r="CG47" s="299">
        <f t="shared" si="13"/>
        <v>5624.59</v>
      </c>
      <c r="CH47" s="299">
        <v>5624.5900000000038</v>
      </c>
      <c r="CI47" s="299">
        <v>0</v>
      </c>
      <c r="CJ47" s="299">
        <f t="shared" si="14"/>
        <v>5624.5900000000038</v>
      </c>
    </row>
    <row r="48" spans="1:88" ht="13.8">
      <c r="A48" s="252" t="s">
        <v>1377</v>
      </c>
      <c r="B48" s="288">
        <v>2068</v>
      </c>
      <c r="C48" s="288" t="s">
        <v>749</v>
      </c>
      <c r="D48" s="248" t="s">
        <v>704</v>
      </c>
      <c r="E48" s="380" t="str">
        <f t="shared" si="15"/>
        <v>30EP2068</v>
      </c>
      <c r="F48" s="299">
        <v>661986.68999999994</v>
      </c>
      <c r="G48" s="299">
        <v>0</v>
      </c>
      <c r="H48" s="299">
        <v>16641.62</v>
      </c>
      <c r="I48" s="299">
        <v>0</v>
      </c>
      <c r="J48" s="299">
        <v>61575</v>
      </c>
      <c r="K48" s="299">
        <v>27820</v>
      </c>
      <c r="L48" s="299">
        <v>0</v>
      </c>
      <c r="M48" s="299">
        <v>6480</v>
      </c>
      <c r="N48" s="299">
        <v>3839.15</v>
      </c>
      <c r="O48" s="299">
        <v>2418.7600000000002</v>
      </c>
      <c r="P48" s="299">
        <v>9200</v>
      </c>
      <c r="Q48" s="299">
        <v>0</v>
      </c>
      <c r="R48" s="299">
        <v>787</v>
      </c>
      <c r="S48" s="299">
        <v>1764.27</v>
      </c>
      <c r="T48" s="299">
        <v>0</v>
      </c>
      <c r="U48" s="299">
        <v>0</v>
      </c>
      <c r="V48" s="299">
        <v>0</v>
      </c>
      <c r="W48" s="299">
        <v>0</v>
      </c>
      <c r="X48" s="299">
        <v>0</v>
      </c>
      <c r="Y48" s="299">
        <f t="shared" si="1"/>
        <v>792512.49</v>
      </c>
      <c r="Z48" s="299">
        <v>252532.55</v>
      </c>
      <c r="AA48" s="299">
        <v>117442.44</v>
      </c>
      <c r="AB48" s="299">
        <v>243319.96</v>
      </c>
      <c r="AC48" s="299">
        <v>30811.59</v>
      </c>
      <c r="AD48" s="299">
        <v>48611.81</v>
      </c>
      <c r="AE48" s="299">
        <v>0</v>
      </c>
      <c r="AF48" s="299">
        <v>0</v>
      </c>
      <c r="AG48" s="299">
        <v>2992.11</v>
      </c>
      <c r="AH48" s="299">
        <v>1273.5</v>
      </c>
      <c r="AI48" s="299">
        <v>2225</v>
      </c>
      <c r="AJ48" s="299">
        <v>285</v>
      </c>
      <c r="AK48" s="299">
        <v>9499.75</v>
      </c>
      <c r="AL48" s="299">
        <v>1831.63</v>
      </c>
      <c r="AM48" s="299">
        <v>3710</v>
      </c>
      <c r="AN48" s="299">
        <v>6797</v>
      </c>
      <c r="AO48" s="299">
        <v>18627.13</v>
      </c>
      <c r="AP48" s="299">
        <v>12100.75</v>
      </c>
      <c r="AQ48" s="299">
        <v>4335.84</v>
      </c>
      <c r="AR48" s="299">
        <v>27642.61</v>
      </c>
      <c r="AS48" s="299">
        <v>28022.049999999996</v>
      </c>
      <c r="AT48" s="299">
        <v>0</v>
      </c>
      <c r="AU48" s="299">
        <v>8880.7199999999993</v>
      </c>
      <c r="AV48" s="299">
        <v>2722.74</v>
      </c>
      <c r="AW48" s="299">
        <v>842.84</v>
      </c>
      <c r="AX48" s="299">
        <v>51928.4</v>
      </c>
      <c r="AY48" s="299">
        <v>0</v>
      </c>
      <c r="AZ48" s="299">
        <v>17827.5</v>
      </c>
      <c r="BA48" s="299">
        <v>22214.63</v>
      </c>
      <c r="BB48" s="299">
        <v>0</v>
      </c>
      <c r="BC48" s="299">
        <v>0</v>
      </c>
      <c r="BD48" s="299">
        <v>0</v>
      </c>
      <c r="BE48" s="299">
        <f t="shared" si="2"/>
        <v>916477.54999999981</v>
      </c>
      <c r="BF48" s="299">
        <f t="shared" si="3"/>
        <v>-123965.05999999982</v>
      </c>
      <c r="BG48" s="299">
        <v>-58976.639999999905</v>
      </c>
      <c r="BH48" s="299">
        <f t="shared" si="4"/>
        <v>-182941.69999999972</v>
      </c>
      <c r="BI48" s="299">
        <v>0</v>
      </c>
      <c r="BJ48" s="299">
        <v>0</v>
      </c>
      <c r="BK48" s="299">
        <f t="shared" si="5"/>
        <v>0</v>
      </c>
      <c r="BL48" s="299">
        <v>0</v>
      </c>
      <c r="BM48" s="299">
        <v>0</v>
      </c>
      <c r="BN48" s="299">
        <f t="shared" si="6"/>
        <v>0</v>
      </c>
      <c r="BO48" s="299">
        <f t="shared" si="7"/>
        <v>0</v>
      </c>
      <c r="BP48" s="299">
        <v>0</v>
      </c>
      <c r="BQ48" s="299">
        <f t="shared" si="8"/>
        <v>0</v>
      </c>
      <c r="BR48" s="299">
        <v>9063.58</v>
      </c>
      <c r="BS48" s="299">
        <v>-192005.27999999959</v>
      </c>
      <c r="BT48" s="299">
        <v>0</v>
      </c>
      <c r="BU48" s="299">
        <f t="shared" si="9"/>
        <v>-182941.69999999972</v>
      </c>
      <c r="BV48" s="299">
        <v>4978.75</v>
      </c>
      <c r="BW48" s="299">
        <v>0</v>
      </c>
      <c r="BX48" s="299">
        <v>0</v>
      </c>
      <c r="BY48" s="299">
        <f t="shared" si="10"/>
        <v>4978.75</v>
      </c>
      <c r="BZ48" s="299">
        <v>0</v>
      </c>
      <c r="CA48" s="299">
        <v>2349.75</v>
      </c>
      <c r="CB48" s="299">
        <v>0</v>
      </c>
      <c r="CC48" s="299">
        <v>0</v>
      </c>
      <c r="CD48" s="299">
        <f t="shared" si="11"/>
        <v>2349.75</v>
      </c>
      <c r="CE48" s="299">
        <f t="shared" si="12"/>
        <v>2629</v>
      </c>
      <c r="CF48" s="299">
        <v>2632.1000000000022</v>
      </c>
      <c r="CG48" s="299">
        <f t="shared" si="13"/>
        <v>5261.1000000000022</v>
      </c>
      <c r="CH48" s="299">
        <v>5261.1000000000022</v>
      </c>
      <c r="CI48" s="299">
        <v>0</v>
      </c>
      <c r="CJ48" s="299">
        <f t="shared" si="14"/>
        <v>5261.1000000000022</v>
      </c>
    </row>
    <row r="49" spans="1:88" ht="13.8">
      <c r="A49" s="252" t="s">
        <v>1377</v>
      </c>
      <c r="B49" s="288">
        <v>2328</v>
      </c>
      <c r="C49" s="288" t="s">
        <v>750</v>
      </c>
      <c r="D49" s="248" t="s">
        <v>704</v>
      </c>
      <c r="E49" s="380" t="str">
        <f t="shared" si="15"/>
        <v>30EP2328</v>
      </c>
      <c r="F49" s="299">
        <v>1403957.89</v>
      </c>
      <c r="G49" s="299">
        <v>0</v>
      </c>
      <c r="H49" s="299">
        <v>112729.49</v>
      </c>
      <c r="I49" s="299">
        <v>0</v>
      </c>
      <c r="J49" s="299">
        <v>60187</v>
      </c>
      <c r="K49" s="299">
        <v>66157.64</v>
      </c>
      <c r="L49" s="299">
        <v>0</v>
      </c>
      <c r="M49" s="299">
        <v>30898.33</v>
      </c>
      <c r="N49" s="299">
        <v>16242.72</v>
      </c>
      <c r="O49" s="299">
        <v>31279.75</v>
      </c>
      <c r="P49" s="299">
        <v>6750</v>
      </c>
      <c r="Q49" s="299">
        <v>0</v>
      </c>
      <c r="R49" s="299">
        <v>51541.73</v>
      </c>
      <c r="S49" s="299">
        <v>273622.37</v>
      </c>
      <c r="T49" s="299">
        <v>0</v>
      </c>
      <c r="U49" s="299">
        <v>0</v>
      </c>
      <c r="V49" s="299">
        <v>0</v>
      </c>
      <c r="W49" s="299">
        <v>0</v>
      </c>
      <c r="X49" s="299">
        <v>0</v>
      </c>
      <c r="Y49" s="299">
        <f t="shared" si="1"/>
        <v>2053366.92</v>
      </c>
      <c r="Z49" s="299">
        <v>906019.7</v>
      </c>
      <c r="AA49" s="299">
        <v>1243.29</v>
      </c>
      <c r="AB49" s="299">
        <v>341491.34</v>
      </c>
      <c r="AC49" s="299">
        <v>40339.93</v>
      </c>
      <c r="AD49" s="299">
        <v>108440.51</v>
      </c>
      <c r="AE49" s="299">
        <v>0</v>
      </c>
      <c r="AF49" s="299">
        <v>23222.17</v>
      </c>
      <c r="AG49" s="299">
        <v>7792.26</v>
      </c>
      <c r="AH49" s="299">
        <v>6019.2</v>
      </c>
      <c r="AI49" s="299">
        <v>5103.3</v>
      </c>
      <c r="AJ49" s="299">
        <v>0</v>
      </c>
      <c r="AK49" s="299">
        <v>38884.17</v>
      </c>
      <c r="AL49" s="299">
        <v>34114.050000000003</v>
      </c>
      <c r="AM49" s="299">
        <v>49216.86</v>
      </c>
      <c r="AN49" s="299">
        <v>2711.23</v>
      </c>
      <c r="AO49" s="299">
        <v>43534.53</v>
      </c>
      <c r="AP49" s="299">
        <v>55195.81</v>
      </c>
      <c r="AQ49" s="299">
        <v>13876.75</v>
      </c>
      <c r="AR49" s="299">
        <v>168705.67</v>
      </c>
      <c r="AS49" s="299">
        <v>18014.52</v>
      </c>
      <c r="AT49" s="299">
        <v>0</v>
      </c>
      <c r="AU49" s="299">
        <v>9381.19</v>
      </c>
      <c r="AV49" s="299">
        <v>7888.91</v>
      </c>
      <c r="AW49" s="299">
        <v>9035.14</v>
      </c>
      <c r="AX49" s="299">
        <v>104737.04</v>
      </c>
      <c r="AY49" s="299">
        <v>15587.59</v>
      </c>
      <c r="AZ49" s="299">
        <v>7999.54</v>
      </c>
      <c r="BA49" s="299">
        <v>18452.41</v>
      </c>
      <c r="BB49" s="299">
        <v>0</v>
      </c>
      <c r="BC49" s="299">
        <v>0</v>
      </c>
      <c r="BD49" s="299">
        <v>0</v>
      </c>
      <c r="BE49" s="299">
        <f t="shared" si="2"/>
        <v>2037007.1099999999</v>
      </c>
      <c r="BF49" s="299">
        <f t="shared" si="3"/>
        <v>16359.810000000056</v>
      </c>
      <c r="BG49" s="299">
        <v>127486.24000000017</v>
      </c>
      <c r="BH49" s="299">
        <f t="shared" si="4"/>
        <v>143846.05000000022</v>
      </c>
      <c r="BI49" s="299">
        <v>0</v>
      </c>
      <c r="BJ49" s="299">
        <v>0</v>
      </c>
      <c r="BK49" s="299">
        <f t="shared" si="5"/>
        <v>0</v>
      </c>
      <c r="BL49" s="299">
        <v>0</v>
      </c>
      <c r="BM49" s="299">
        <v>0</v>
      </c>
      <c r="BN49" s="299">
        <f t="shared" si="6"/>
        <v>0</v>
      </c>
      <c r="BO49" s="299">
        <f t="shared" si="7"/>
        <v>0</v>
      </c>
      <c r="BP49" s="299">
        <v>0</v>
      </c>
      <c r="BQ49" s="299">
        <f t="shared" si="8"/>
        <v>0</v>
      </c>
      <c r="BR49" s="299">
        <v>11965</v>
      </c>
      <c r="BS49" s="299">
        <v>131881.05000000022</v>
      </c>
      <c r="BT49" s="299">
        <v>0</v>
      </c>
      <c r="BU49" s="299">
        <f t="shared" si="9"/>
        <v>143846.05000000022</v>
      </c>
      <c r="BV49" s="299">
        <v>7003.75</v>
      </c>
      <c r="BW49" s="299">
        <v>0</v>
      </c>
      <c r="BX49" s="299">
        <v>0</v>
      </c>
      <c r="BY49" s="299">
        <f t="shared" si="10"/>
        <v>7003.75</v>
      </c>
      <c r="BZ49" s="299">
        <v>0</v>
      </c>
      <c r="CA49" s="299">
        <v>0</v>
      </c>
      <c r="CB49" s="299">
        <v>0</v>
      </c>
      <c r="CC49" s="299">
        <v>6273.3</v>
      </c>
      <c r="CD49" s="299">
        <f t="shared" si="11"/>
        <v>6273.3</v>
      </c>
      <c r="CE49" s="299">
        <f t="shared" si="12"/>
        <v>730.44999999999982</v>
      </c>
      <c r="CF49" s="299">
        <v>14091.759999999998</v>
      </c>
      <c r="CG49" s="299">
        <f t="shared" si="13"/>
        <v>14822.21</v>
      </c>
      <c r="CH49" s="299">
        <v>14822.21</v>
      </c>
      <c r="CI49" s="299">
        <v>0</v>
      </c>
      <c r="CJ49" s="299">
        <f t="shared" si="14"/>
        <v>14822.21</v>
      </c>
    </row>
    <row r="50" spans="1:88" ht="13.8">
      <c r="A50" s="252" t="s">
        <v>1377</v>
      </c>
      <c r="B50" s="288">
        <v>7025</v>
      </c>
      <c r="C50" s="288" t="s">
        <v>751</v>
      </c>
      <c r="D50" s="248" t="s">
        <v>726</v>
      </c>
      <c r="E50" s="380" t="str">
        <f t="shared" si="15"/>
        <v>30ES7025</v>
      </c>
      <c r="F50" s="299">
        <v>2151527.71</v>
      </c>
      <c r="G50" s="299">
        <v>387919.4</v>
      </c>
      <c r="H50" s="299">
        <v>2430819.61</v>
      </c>
      <c r="I50" s="299">
        <v>0</v>
      </c>
      <c r="J50" s="299">
        <v>101470</v>
      </c>
      <c r="K50" s="299">
        <v>21556.93</v>
      </c>
      <c r="L50" s="299">
        <v>0</v>
      </c>
      <c r="M50" s="299">
        <v>52288.82</v>
      </c>
      <c r="N50" s="299">
        <v>7314.61</v>
      </c>
      <c r="O50" s="299">
        <v>20185.05</v>
      </c>
      <c r="P50" s="299">
        <v>0</v>
      </c>
      <c r="Q50" s="299">
        <v>21497</v>
      </c>
      <c r="R50" s="299">
        <v>760.6</v>
      </c>
      <c r="S50" s="299">
        <v>10858.35</v>
      </c>
      <c r="T50" s="299">
        <v>0</v>
      </c>
      <c r="U50" s="299">
        <v>0</v>
      </c>
      <c r="V50" s="299">
        <v>0</v>
      </c>
      <c r="W50" s="299">
        <v>0</v>
      </c>
      <c r="X50" s="299">
        <v>0</v>
      </c>
      <c r="Y50" s="299">
        <f t="shared" si="1"/>
        <v>5206198.0799999991</v>
      </c>
      <c r="Z50" s="299">
        <v>1670245.09</v>
      </c>
      <c r="AA50" s="299">
        <v>14092.51</v>
      </c>
      <c r="AB50" s="299">
        <v>2351655.89</v>
      </c>
      <c r="AC50" s="299">
        <v>83982.95</v>
      </c>
      <c r="AD50" s="299">
        <v>183644.27</v>
      </c>
      <c r="AE50" s="299">
        <v>4370.3500000000004</v>
      </c>
      <c r="AF50" s="299">
        <v>134862.93</v>
      </c>
      <c r="AG50" s="299">
        <v>23782.43</v>
      </c>
      <c r="AH50" s="299">
        <v>15267.15</v>
      </c>
      <c r="AI50" s="299">
        <v>0</v>
      </c>
      <c r="AJ50" s="299">
        <v>0</v>
      </c>
      <c r="AK50" s="299">
        <v>75862.47</v>
      </c>
      <c r="AL50" s="299">
        <v>7986.47</v>
      </c>
      <c r="AM50" s="299">
        <v>110261.25</v>
      </c>
      <c r="AN50" s="299">
        <v>8783.5</v>
      </c>
      <c r="AO50" s="299">
        <v>80221.8</v>
      </c>
      <c r="AP50" s="299">
        <v>0</v>
      </c>
      <c r="AQ50" s="299">
        <v>52061.39</v>
      </c>
      <c r="AR50" s="299">
        <v>64686.31</v>
      </c>
      <c r="AS50" s="299">
        <v>66029.320000000007</v>
      </c>
      <c r="AT50" s="299">
        <v>5542.83</v>
      </c>
      <c r="AU50" s="299">
        <v>36669.65</v>
      </c>
      <c r="AV50" s="299">
        <v>12405.05</v>
      </c>
      <c r="AW50" s="299">
        <v>0</v>
      </c>
      <c r="AX50" s="299">
        <v>120039.13</v>
      </c>
      <c r="AY50" s="299">
        <v>81686.3</v>
      </c>
      <c r="AZ50" s="299">
        <v>361899.1</v>
      </c>
      <c r="BA50" s="299">
        <v>43159.29</v>
      </c>
      <c r="BB50" s="299">
        <v>0</v>
      </c>
      <c r="BC50" s="299">
        <v>4619.34</v>
      </c>
      <c r="BD50" s="299">
        <v>30684.05</v>
      </c>
      <c r="BE50" s="299">
        <f t="shared" si="2"/>
        <v>5644500.8199999975</v>
      </c>
      <c r="BF50" s="299">
        <f t="shared" si="3"/>
        <v>-438302.73999999836</v>
      </c>
      <c r="BG50" s="299">
        <v>-201459.88000000169</v>
      </c>
      <c r="BH50" s="299">
        <f t="shared" si="4"/>
        <v>-639762.62000000011</v>
      </c>
      <c r="BI50" s="299">
        <v>0</v>
      </c>
      <c r="BJ50" s="299">
        <v>0</v>
      </c>
      <c r="BK50" s="299">
        <f t="shared" si="5"/>
        <v>0</v>
      </c>
      <c r="BL50" s="299">
        <v>0</v>
      </c>
      <c r="BM50" s="299">
        <v>0</v>
      </c>
      <c r="BN50" s="299">
        <f t="shared" si="6"/>
        <v>0</v>
      </c>
      <c r="BO50" s="299">
        <f t="shared" si="7"/>
        <v>0</v>
      </c>
      <c r="BP50" s="299">
        <v>0</v>
      </c>
      <c r="BQ50" s="299">
        <f t="shared" si="8"/>
        <v>0</v>
      </c>
      <c r="BR50" s="299">
        <v>5604.73</v>
      </c>
      <c r="BS50" s="299">
        <v>-645367.34999999916</v>
      </c>
      <c r="BT50" s="299">
        <v>0</v>
      </c>
      <c r="BU50" s="299">
        <f t="shared" si="9"/>
        <v>-639762.62000000011</v>
      </c>
      <c r="BV50" s="299">
        <v>12859.38</v>
      </c>
      <c r="BW50" s="299">
        <v>156348.74</v>
      </c>
      <c r="BX50" s="299">
        <v>21497</v>
      </c>
      <c r="BY50" s="299">
        <f t="shared" si="10"/>
        <v>190705.12</v>
      </c>
      <c r="BZ50" s="299">
        <v>0</v>
      </c>
      <c r="CA50" s="299">
        <v>111767.51</v>
      </c>
      <c r="CB50" s="299">
        <v>80456.240000000005</v>
      </c>
      <c r="CC50" s="299">
        <v>0</v>
      </c>
      <c r="CD50" s="299">
        <f t="shared" si="11"/>
        <v>192223.75</v>
      </c>
      <c r="CE50" s="299">
        <f t="shared" si="12"/>
        <v>-1518.6300000000047</v>
      </c>
      <c r="CF50" s="299">
        <v>1518.6299999999992</v>
      </c>
      <c r="CG50" s="299">
        <f t="shared" si="13"/>
        <v>-5.4569682106375694E-12</v>
      </c>
      <c r="CH50" s="299">
        <v>-1.8189894035458565E-12</v>
      </c>
      <c r="CI50" s="299">
        <v>0</v>
      </c>
      <c r="CJ50" s="299">
        <f t="shared" si="14"/>
        <v>-1.8189894035458565E-12</v>
      </c>
    </row>
    <row r="51" spans="1:88" ht="13.8">
      <c r="A51" s="252" t="s">
        <v>1377</v>
      </c>
      <c r="B51" s="288">
        <v>2016</v>
      </c>
      <c r="C51" s="288" t="s">
        <v>752</v>
      </c>
      <c r="D51" s="248" t="s">
        <v>704</v>
      </c>
      <c r="E51" s="380" t="str">
        <f t="shared" si="15"/>
        <v>30EP2016</v>
      </c>
      <c r="F51" s="299">
        <v>811942.32</v>
      </c>
      <c r="G51" s="299">
        <v>0</v>
      </c>
      <c r="H51" s="299">
        <v>52853.57</v>
      </c>
      <c r="I51" s="299">
        <v>0</v>
      </c>
      <c r="J51" s="299">
        <v>43470</v>
      </c>
      <c r="K51" s="299">
        <v>37737</v>
      </c>
      <c r="L51" s="299">
        <v>0</v>
      </c>
      <c r="M51" s="299">
        <v>3197.5</v>
      </c>
      <c r="N51" s="299">
        <v>45729.29</v>
      </c>
      <c r="O51" s="299">
        <v>19784.39</v>
      </c>
      <c r="P51" s="299">
        <v>0</v>
      </c>
      <c r="Q51" s="299">
        <v>1067.04</v>
      </c>
      <c r="R51" s="299">
        <v>21150.76</v>
      </c>
      <c r="S51" s="299">
        <v>20358.46</v>
      </c>
      <c r="T51" s="299">
        <v>0</v>
      </c>
      <c r="U51" s="299">
        <v>0</v>
      </c>
      <c r="V51" s="299">
        <v>0</v>
      </c>
      <c r="W51" s="299">
        <v>0</v>
      </c>
      <c r="X51" s="299">
        <v>0</v>
      </c>
      <c r="Y51" s="299">
        <f t="shared" si="1"/>
        <v>1057290.33</v>
      </c>
      <c r="Z51" s="299">
        <v>526438.9</v>
      </c>
      <c r="AA51" s="299">
        <v>13267.68</v>
      </c>
      <c r="AB51" s="299">
        <v>191130.03</v>
      </c>
      <c r="AC51" s="299">
        <v>11281.25</v>
      </c>
      <c r="AD51" s="299">
        <v>33475.5</v>
      </c>
      <c r="AE51" s="299">
        <v>0</v>
      </c>
      <c r="AF51" s="299">
        <v>28567.3</v>
      </c>
      <c r="AG51" s="299">
        <v>5003.32</v>
      </c>
      <c r="AH51" s="299">
        <v>1364.12</v>
      </c>
      <c r="AI51" s="299">
        <v>3350</v>
      </c>
      <c r="AJ51" s="299">
        <v>771.25</v>
      </c>
      <c r="AK51" s="299">
        <v>26855.79</v>
      </c>
      <c r="AL51" s="299">
        <v>1639</v>
      </c>
      <c r="AM51" s="299">
        <v>4021.62</v>
      </c>
      <c r="AN51" s="299">
        <v>3335.07</v>
      </c>
      <c r="AO51" s="299">
        <v>14052.81</v>
      </c>
      <c r="AP51" s="299">
        <v>16217.5</v>
      </c>
      <c r="AQ51" s="299">
        <v>3330.96</v>
      </c>
      <c r="AR51" s="299">
        <v>50631.17</v>
      </c>
      <c r="AS51" s="299">
        <v>30028.800000000003</v>
      </c>
      <c r="AT51" s="299">
        <v>0</v>
      </c>
      <c r="AU51" s="299">
        <v>4800.5600000000004</v>
      </c>
      <c r="AV51" s="299">
        <v>3921.94</v>
      </c>
      <c r="AW51" s="299">
        <v>4861.07</v>
      </c>
      <c r="AX51" s="299">
        <v>61869.19</v>
      </c>
      <c r="AY51" s="299">
        <v>0</v>
      </c>
      <c r="AZ51" s="299">
        <v>18434.25</v>
      </c>
      <c r="BA51" s="299">
        <v>8851.26</v>
      </c>
      <c r="BB51" s="299">
        <v>0</v>
      </c>
      <c r="BC51" s="299">
        <v>1261.47</v>
      </c>
      <c r="BD51" s="299">
        <v>3336</v>
      </c>
      <c r="BE51" s="299">
        <f t="shared" si="2"/>
        <v>1072097.81</v>
      </c>
      <c r="BF51" s="299">
        <f t="shared" si="3"/>
        <v>-14807.479999999981</v>
      </c>
      <c r="BG51" s="299">
        <v>15612.940000000264</v>
      </c>
      <c r="BH51" s="299">
        <f t="shared" si="4"/>
        <v>805.46000000028289</v>
      </c>
      <c r="BI51" s="299">
        <v>0</v>
      </c>
      <c r="BJ51" s="299">
        <v>0</v>
      </c>
      <c r="BK51" s="299">
        <f t="shared" si="5"/>
        <v>0</v>
      </c>
      <c r="BL51" s="299">
        <v>0</v>
      </c>
      <c r="BM51" s="299">
        <v>0</v>
      </c>
      <c r="BN51" s="299">
        <f t="shared" si="6"/>
        <v>0</v>
      </c>
      <c r="BO51" s="299">
        <f t="shared" si="7"/>
        <v>0</v>
      </c>
      <c r="BP51" s="299">
        <v>0</v>
      </c>
      <c r="BQ51" s="299">
        <f t="shared" si="8"/>
        <v>0</v>
      </c>
      <c r="BR51" s="299">
        <v>2148.86</v>
      </c>
      <c r="BS51" s="299">
        <v>-1343.3999999997172</v>
      </c>
      <c r="BT51" s="299">
        <v>0</v>
      </c>
      <c r="BU51" s="299">
        <f t="shared" si="9"/>
        <v>805.46000000028289</v>
      </c>
      <c r="BV51" s="299">
        <v>5496.25</v>
      </c>
      <c r="BW51" s="299">
        <v>0</v>
      </c>
      <c r="BX51" s="299">
        <v>0</v>
      </c>
      <c r="BY51" s="299">
        <f t="shared" si="10"/>
        <v>5496.25</v>
      </c>
      <c r="BZ51" s="299">
        <v>0</v>
      </c>
      <c r="CA51" s="299">
        <v>28416.98</v>
      </c>
      <c r="CB51" s="299">
        <v>0</v>
      </c>
      <c r="CC51" s="299">
        <v>0</v>
      </c>
      <c r="CD51" s="299">
        <f t="shared" si="11"/>
        <v>28416.98</v>
      </c>
      <c r="CE51" s="299">
        <f t="shared" si="12"/>
        <v>-22920.73</v>
      </c>
      <c r="CF51" s="299">
        <v>23976.840000000004</v>
      </c>
      <c r="CG51" s="299">
        <f t="shared" si="13"/>
        <v>1056.1100000000042</v>
      </c>
      <c r="CH51" s="299">
        <v>1056.1100000000006</v>
      </c>
      <c r="CI51" s="299">
        <v>0</v>
      </c>
      <c r="CJ51" s="299">
        <f t="shared" si="14"/>
        <v>1056.1100000000006</v>
      </c>
    </row>
    <row r="52" spans="1:88" ht="13.8">
      <c r="A52" s="252" t="s">
        <v>1377</v>
      </c>
      <c r="B52" s="288">
        <v>3310</v>
      </c>
      <c r="C52" s="288" t="s">
        <v>753</v>
      </c>
      <c r="D52" s="248" t="s">
        <v>704</v>
      </c>
      <c r="E52" s="380" t="str">
        <f t="shared" si="15"/>
        <v>30EP3310</v>
      </c>
      <c r="F52" s="299">
        <v>1051800.9099999999</v>
      </c>
      <c r="G52" s="299">
        <v>0</v>
      </c>
      <c r="H52" s="299">
        <v>60514.47</v>
      </c>
      <c r="I52" s="299">
        <v>0</v>
      </c>
      <c r="J52" s="299">
        <v>27855</v>
      </c>
      <c r="K52" s="299">
        <v>63236.19</v>
      </c>
      <c r="L52" s="299">
        <v>0</v>
      </c>
      <c r="M52" s="299">
        <v>9096.4</v>
      </c>
      <c r="N52" s="299">
        <v>100409.43</v>
      </c>
      <c r="O52" s="299">
        <v>36271.99</v>
      </c>
      <c r="P52" s="299">
        <v>2096</v>
      </c>
      <c r="Q52" s="299">
        <v>0</v>
      </c>
      <c r="R52" s="299">
        <v>16873.71</v>
      </c>
      <c r="S52" s="299">
        <v>8118.72</v>
      </c>
      <c r="T52" s="299">
        <v>0</v>
      </c>
      <c r="U52" s="299">
        <v>0</v>
      </c>
      <c r="V52" s="299">
        <v>0</v>
      </c>
      <c r="W52" s="299">
        <v>0</v>
      </c>
      <c r="X52" s="299">
        <v>0</v>
      </c>
      <c r="Y52" s="299">
        <f t="shared" si="1"/>
        <v>1376272.8199999996</v>
      </c>
      <c r="Z52" s="299">
        <v>631052.59</v>
      </c>
      <c r="AA52" s="299">
        <v>21004.74</v>
      </c>
      <c r="AB52" s="299">
        <v>295236.8</v>
      </c>
      <c r="AC52" s="299">
        <v>38361.370000000003</v>
      </c>
      <c r="AD52" s="299">
        <v>66560.33</v>
      </c>
      <c r="AE52" s="299">
        <v>0</v>
      </c>
      <c r="AF52" s="299">
        <v>23861.18</v>
      </c>
      <c r="AG52" s="299">
        <v>1477.42</v>
      </c>
      <c r="AH52" s="299">
        <v>6251.25</v>
      </c>
      <c r="AI52" s="299">
        <v>5150</v>
      </c>
      <c r="AJ52" s="299">
        <v>0</v>
      </c>
      <c r="AK52" s="299">
        <v>14071.09</v>
      </c>
      <c r="AL52" s="299">
        <v>2876.92</v>
      </c>
      <c r="AM52" s="299">
        <v>3305.13</v>
      </c>
      <c r="AN52" s="299">
        <v>8510.42</v>
      </c>
      <c r="AO52" s="299">
        <v>27375.25</v>
      </c>
      <c r="AP52" s="299">
        <v>4715.55</v>
      </c>
      <c r="AQ52" s="299">
        <v>10003.950000000001</v>
      </c>
      <c r="AR52" s="299">
        <v>33308.85</v>
      </c>
      <c r="AS52" s="299">
        <v>33639.910000000003</v>
      </c>
      <c r="AT52" s="299">
        <v>0</v>
      </c>
      <c r="AU52" s="299">
        <v>12742.15</v>
      </c>
      <c r="AV52" s="299">
        <v>5694.73</v>
      </c>
      <c r="AW52" s="299">
        <v>16971.13</v>
      </c>
      <c r="AX52" s="299">
        <v>83703.86</v>
      </c>
      <c r="AY52" s="299">
        <v>3674.95</v>
      </c>
      <c r="AZ52" s="299">
        <v>20872.16</v>
      </c>
      <c r="BA52" s="299">
        <v>21747.79</v>
      </c>
      <c r="BB52" s="299">
        <v>0</v>
      </c>
      <c r="BC52" s="299">
        <v>0</v>
      </c>
      <c r="BD52" s="299">
        <v>15621.13</v>
      </c>
      <c r="BE52" s="299">
        <f t="shared" si="2"/>
        <v>1407790.6499999992</v>
      </c>
      <c r="BF52" s="299">
        <f t="shared" si="3"/>
        <v>-31517.829999999609</v>
      </c>
      <c r="BG52" s="299">
        <v>-6840.1400000001986</v>
      </c>
      <c r="BH52" s="299">
        <f t="shared" si="4"/>
        <v>-38357.969999999805</v>
      </c>
      <c r="BI52" s="299">
        <v>105430.77</v>
      </c>
      <c r="BJ52" s="299">
        <v>49528.59</v>
      </c>
      <c r="BK52" s="299">
        <f t="shared" si="5"/>
        <v>154959.35999999999</v>
      </c>
      <c r="BL52" s="299">
        <v>141065.51999999999</v>
      </c>
      <c r="BM52" s="299">
        <v>12911.4</v>
      </c>
      <c r="BN52" s="299">
        <f t="shared" si="6"/>
        <v>153976.91999999998</v>
      </c>
      <c r="BO52" s="299">
        <f t="shared" si="7"/>
        <v>982.44000000000233</v>
      </c>
      <c r="BP52" s="299">
        <v>-50429.450000000004</v>
      </c>
      <c r="BQ52" s="299">
        <f t="shared" si="8"/>
        <v>-49447.01</v>
      </c>
      <c r="BR52" s="299">
        <v>413.96</v>
      </c>
      <c r="BS52" s="299">
        <v>-60330.150000000271</v>
      </c>
      <c r="BT52" s="299">
        <v>-27888.790000000066</v>
      </c>
      <c r="BU52" s="299">
        <f t="shared" si="9"/>
        <v>-87804.979999999807</v>
      </c>
      <c r="BV52" s="299">
        <v>0</v>
      </c>
      <c r="BW52" s="299">
        <v>0</v>
      </c>
      <c r="BX52" s="299">
        <v>0</v>
      </c>
      <c r="BY52" s="299">
        <f t="shared" si="10"/>
        <v>0</v>
      </c>
      <c r="BZ52" s="299">
        <v>0</v>
      </c>
      <c r="CA52" s="299">
        <v>0</v>
      </c>
      <c r="CB52" s="299">
        <v>0</v>
      </c>
      <c r="CC52" s="299">
        <v>0</v>
      </c>
      <c r="CD52" s="299">
        <f t="shared" si="11"/>
        <v>0</v>
      </c>
      <c r="CE52" s="299">
        <f t="shared" si="12"/>
        <v>0</v>
      </c>
      <c r="CF52" s="299">
        <v>0</v>
      </c>
      <c r="CG52" s="299">
        <f t="shared" si="13"/>
        <v>0</v>
      </c>
      <c r="CH52" s="299">
        <v>0</v>
      </c>
      <c r="CI52" s="299">
        <v>0</v>
      </c>
      <c r="CJ52" s="299">
        <f t="shared" si="14"/>
        <v>0</v>
      </c>
    </row>
    <row r="53" spans="1:88" ht="13.8">
      <c r="A53" s="252" t="s">
        <v>1377</v>
      </c>
      <c r="B53" s="288">
        <v>3068</v>
      </c>
      <c r="C53" s="288" t="s">
        <v>754</v>
      </c>
      <c r="D53" s="248" t="s">
        <v>704</v>
      </c>
      <c r="E53" s="380" t="str">
        <f t="shared" si="15"/>
        <v>30EP3068</v>
      </c>
      <c r="F53" s="299">
        <v>607885.94999999995</v>
      </c>
      <c r="G53" s="299">
        <v>0</v>
      </c>
      <c r="H53" s="299">
        <v>17365.28</v>
      </c>
      <c r="I53" s="299">
        <v>0</v>
      </c>
      <c r="J53" s="299">
        <v>15150</v>
      </c>
      <c r="K53" s="299">
        <v>24573</v>
      </c>
      <c r="L53" s="299">
        <v>0</v>
      </c>
      <c r="M53" s="299">
        <v>2944.27</v>
      </c>
      <c r="N53" s="299">
        <v>17329.87</v>
      </c>
      <c r="O53" s="299">
        <v>7180.42</v>
      </c>
      <c r="P53" s="299">
        <v>0</v>
      </c>
      <c r="Q53" s="299">
        <v>1096</v>
      </c>
      <c r="R53" s="299">
        <v>572.09</v>
      </c>
      <c r="S53" s="299">
        <v>9576.76</v>
      </c>
      <c r="T53" s="299">
        <v>0</v>
      </c>
      <c r="U53" s="299">
        <v>0</v>
      </c>
      <c r="V53" s="299">
        <v>0</v>
      </c>
      <c r="W53" s="299">
        <v>0</v>
      </c>
      <c r="X53" s="299">
        <v>0</v>
      </c>
      <c r="Y53" s="299">
        <f t="shared" si="1"/>
        <v>703673.64</v>
      </c>
      <c r="Z53" s="299">
        <v>367081.84</v>
      </c>
      <c r="AA53" s="299">
        <v>3013.78</v>
      </c>
      <c r="AB53" s="299">
        <v>137607.49</v>
      </c>
      <c r="AC53" s="299">
        <v>36589.56</v>
      </c>
      <c r="AD53" s="299">
        <v>33405.279999999999</v>
      </c>
      <c r="AE53" s="299">
        <v>26658.2</v>
      </c>
      <c r="AF53" s="299">
        <v>23579.9</v>
      </c>
      <c r="AG53" s="299">
        <v>3864.5</v>
      </c>
      <c r="AH53" s="299">
        <v>2580.1999999999998</v>
      </c>
      <c r="AI53" s="299">
        <v>2175</v>
      </c>
      <c r="AJ53" s="299">
        <v>125</v>
      </c>
      <c r="AK53" s="299">
        <v>7454.01</v>
      </c>
      <c r="AL53" s="299">
        <v>2834.13</v>
      </c>
      <c r="AM53" s="299">
        <v>1376.4</v>
      </c>
      <c r="AN53" s="299">
        <v>2824.83</v>
      </c>
      <c r="AO53" s="299">
        <v>8837.5400000000009</v>
      </c>
      <c r="AP53" s="299">
        <v>19960</v>
      </c>
      <c r="AQ53" s="299">
        <v>3050.38</v>
      </c>
      <c r="AR53" s="299">
        <v>19499.39</v>
      </c>
      <c r="AS53" s="299">
        <v>27380.41</v>
      </c>
      <c r="AT53" s="299">
        <v>0</v>
      </c>
      <c r="AU53" s="299">
        <v>2757.99</v>
      </c>
      <c r="AV53" s="299">
        <v>2671.94</v>
      </c>
      <c r="AW53" s="299">
        <v>200</v>
      </c>
      <c r="AX53" s="299">
        <v>8240.7099999999991</v>
      </c>
      <c r="AY53" s="299">
        <v>0</v>
      </c>
      <c r="AZ53" s="299">
        <v>0</v>
      </c>
      <c r="BA53" s="299">
        <v>9321.39</v>
      </c>
      <c r="BB53" s="299">
        <v>0</v>
      </c>
      <c r="BC53" s="299">
        <v>3470.7</v>
      </c>
      <c r="BD53" s="299">
        <v>6768.6</v>
      </c>
      <c r="BE53" s="299">
        <f t="shared" si="2"/>
        <v>763329.16999999993</v>
      </c>
      <c r="BF53" s="299">
        <f t="shared" si="3"/>
        <v>-59655.529999999912</v>
      </c>
      <c r="BG53" s="299">
        <v>-25467.799999999857</v>
      </c>
      <c r="BH53" s="299">
        <f t="shared" si="4"/>
        <v>-85123.329999999769</v>
      </c>
      <c r="BI53" s="299">
        <v>0</v>
      </c>
      <c r="BJ53" s="299">
        <v>0</v>
      </c>
      <c r="BK53" s="299">
        <f t="shared" si="5"/>
        <v>0</v>
      </c>
      <c r="BL53" s="299">
        <v>0</v>
      </c>
      <c r="BM53" s="299">
        <v>0</v>
      </c>
      <c r="BN53" s="299">
        <f t="shared" si="6"/>
        <v>0</v>
      </c>
      <c r="BO53" s="299">
        <f t="shared" si="7"/>
        <v>0</v>
      </c>
      <c r="BP53" s="299">
        <v>0</v>
      </c>
      <c r="BQ53" s="299">
        <f t="shared" si="8"/>
        <v>0</v>
      </c>
      <c r="BR53" s="299">
        <v>0</v>
      </c>
      <c r="BS53" s="299">
        <v>-85123.329999999769</v>
      </c>
      <c r="BT53" s="299">
        <v>0</v>
      </c>
      <c r="BU53" s="299">
        <f t="shared" si="9"/>
        <v>-85123.329999999769</v>
      </c>
      <c r="BV53" s="299">
        <v>5113.75</v>
      </c>
      <c r="BW53" s="299">
        <v>0</v>
      </c>
      <c r="BX53" s="299">
        <v>0</v>
      </c>
      <c r="BY53" s="299">
        <f t="shared" si="10"/>
        <v>5113.75</v>
      </c>
      <c r="BZ53" s="299">
        <v>0</v>
      </c>
      <c r="CA53" s="299">
        <v>3007.93</v>
      </c>
      <c r="CB53" s="299">
        <v>0</v>
      </c>
      <c r="CC53" s="299">
        <v>1945.04</v>
      </c>
      <c r="CD53" s="299">
        <f t="shared" si="11"/>
        <v>4952.9699999999993</v>
      </c>
      <c r="CE53" s="299">
        <f t="shared" si="12"/>
        <v>160.78000000000065</v>
      </c>
      <c r="CF53" s="299">
        <v>5226.25</v>
      </c>
      <c r="CG53" s="299">
        <f t="shared" si="13"/>
        <v>5387.0300000000007</v>
      </c>
      <c r="CH53" s="299">
        <v>5387.0300000000007</v>
      </c>
      <c r="CI53" s="299">
        <v>0</v>
      </c>
      <c r="CJ53" s="299">
        <f t="shared" si="14"/>
        <v>5387.0300000000007</v>
      </c>
    </row>
    <row r="54" spans="1:88" ht="13.8">
      <c r="A54" s="252" t="s">
        <v>1377</v>
      </c>
      <c r="B54" s="288">
        <v>2315</v>
      </c>
      <c r="C54" s="288" t="s">
        <v>755</v>
      </c>
      <c r="D54" s="248" t="s">
        <v>704</v>
      </c>
      <c r="E54" s="380" t="str">
        <f t="shared" si="15"/>
        <v>30EP2315</v>
      </c>
      <c r="F54" s="299">
        <v>3111395.32</v>
      </c>
      <c r="G54" s="299">
        <v>0</v>
      </c>
      <c r="H54" s="299">
        <v>144561.26999999999</v>
      </c>
      <c r="I54" s="299">
        <v>9000</v>
      </c>
      <c r="J54" s="299">
        <v>174223</v>
      </c>
      <c r="K54" s="299">
        <v>104794.4</v>
      </c>
      <c r="L54" s="299">
        <v>0</v>
      </c>
      <c r="M54" s="299">
        <v>42264.43</v>
      </c>
      <c r="N54" s="299">
        <v>139470.32999999999</v>
      </c>
      <c r="O54" s="299">
        <v>71029.41</v>
      </c>
      <c r="P54" s="299">
        <v>0</v>
      </c>
      <c r="Q54" s="299">
        <v>10936.5</v>
      </c>
      <c r="R54" s="299">
        <v>120796.07</v>
      </c>
      <c r="S54" s="299">
        <v>16717.900000000001</v>
      </c>
      <c r="T54" s="299">
        <v>0</v>
      </c>
      <c r="U54" s="299">
        <v>0</v>
      </c>
      <c r="V54" s="299">
        <v>0</v>
      </c>
      <c r="W54" s="299">
        <v>0</v>
      </c>
      <c r="X54" s="299">
        <v>0</v>
      </c>
      <c r="Y54" s="299">
        <f t="shared" si="1"/>
        <v>3945188.63</v>
      </c>
      <c r="Z54" s="299">
        <v>1875208.49</v>
      </c>
      <c r="AA54" s="299">
        <v>0</v>
      </c>
      <c r="AB54" s="299">
        <v>760443.61</v>
      </c>
      <c r="AC54" s="299">
        <v>74740.2</v>
      </c>
      <c r="AD54" s="299">
        <v>144127.78</v>
      </c>
      <c r="AE54" s="299">
        <v>0</v>
      </c>
      <c r="AF54" s="299">
        <v>134922.9</v>
      </c>
      <c r="AG54" s="299">
        <v>16895.8</v>
      </c>
      <c r="AH54" s="299">
        <v>13387.98</v>
      </c>
      <c r="AI54" s="299">
        <v>13125</v>
      </c>
      <c r="AJ54" s="299">
        <v>177.5</v>
      </c>
      <c r="AK54" s="299">
        <v>27137.17</v>
      </c>
      <c r="AL54" s="299">
        <v>7678.2</v>
      </c>
      <c r="AM54" s="299">
        <v>41153.660000000003</v>
      </c>
      <c r="AN54" s="299">
        <v>10355.370000000001</v>
      </c>
      <c r="AO54" s="299">
        <v>65615.19</v>
      </c>
      <c r="AP54" s="299">
        <v>131535</v>
      </c>
      <c r="AQ54" s="299">
        <v>16108.67</v>
      </c>
      <c r="AR54" s="299">
        <v>121447.78</v>
      </c>
      <c r="AS54" s="299">
        <v>79426.25</v>
      </c>
      <c r="AT54" s="299">
        <v>0</v>
      </c>
      <c r="AU54" s="299">
        <v>22244.07</v>
      </c>
      <c r="AV54" s="299">
        <v>16301.96</v>
      </c>
      <c r="AW54" s="299">
        <v>22952.35</v>
      </c>
      <c r="AX54" s="299">
        <v>179338.81</v>
      </c>
      <c r="AY54" s="299">
        <v>35427.78</v>
      </c>
      <c r="AZ54" s="299">
        <v>25376.9</v>
      </c>
      <c r="BA54" s="299">
        <v>28175.59</v>
      </c>
      <c r="BB54" s="299">
        <v>0</v>
      </c>
      <c r="BC54" s="299">
        <v>0</v>
      </c>
      <c r="BD54" s="299">
        <v>0</v>
      </c>
      <c r="BE54" s="299">
        <f t="shared" si="2"/>
        <v>3863304.0099999993</v>
      </c>
      <c r="BF54" s="299">
        <f t="shared" si="3"/>
        <v>81884.620000000577</v>
      </c>
      <c r="BG54" s="299">
        <v>142715.32999999958</v>
      </c>
      <c r="BH54" s="299">
        <f t="shared" si="4"/>
        <v>224599.95000000016</v>
      </c>
      <c r="BI54" s="299">
        <v>0</v>
      </c>
      <c r="BJ54" s="299">
        <v>0</v>
      </c>
      <c r="BK54" s="299">
        <f t="shared" si="5"/>
        <v>0</v>
      </c>
      <c r="BL54" s="299">
        <v>0</v>
      </c>
      <c r="BM54" s="299">
        <v>0</v>
      </c>
      <c r="BN54" s="299">
        <f t="shared" si="6"/>
        <v>0</v>
      </c>
      <c r="BO54" s="299">
        <f t="shared" si="7"/>
        <v>0</v>
      </c>
      <c r="BP54" s="299">
        <v>0</v>
      </c>
      <c r="BQ54" s="299">
        <f t="shared" si="8"/>
        <v>0</v>
      </c>
      <c r="BR54" s="299">
        <v>41402</v>
      </c>
      <c r="BS54" s="299">
        <v>183197.95000000062</v>
      </c>
      <c r="BT54" s="299">
        <v>0</v>
      </c>
      <c r="BU54" s="299">
        <f t="shared" si="9"/>
        <v>224599.95000000016</v>
      </c>
      <c r="BV54" s="299">
        <v>9933.7000000000007</v>
      </c>
      <c r="BW54" s="299">
        <v>0</v>
      </c>
      <c r="BX54" s="299">
        <v>0</v>
      </c>
      <c r="BY54" s="299">
        <f t="shared" si="10"/>
        <v>9933.7000000000007</v>
      </c>
      <c r="BZ54" s="299">
        <v>0</v>
      </c>
      <c r="CA54" s="299">
        <v>0</v>
      </c>
      <c r="CB54" s="299">
        <v>0</v>
      </c>
      <c r="CC54" s="299">
        <v>10819.03</v>
      </c>
      <c r="CD54" s="299">
        <f t="shared" si="11"/>
        <v>10819.03</v>
      </c>
      <c r="CE54" s="299">
        <f t="shared" si="12"/>
        <v>-885.32999999999993</v>
      </c>
      <c r="CF54" s="299">
        <v>17096.100000000006</v>
      </c>
      <c r="CG54" s="299">
        <f t="shared" si="13"/>
        <v>16210.770000000006</v>
      </c>
      <c r="CH54" s="299">
        <v>16210.770000000006</v>
      </c>
      <c r="CI54" s="299">
        <v>0</v>
      </c>
      <c r="CJ54" s="299">
        <f t="shared" si="14"/>
        <v>16210.770000000006</v>
      </c>
    </row>
    <row r="55" spans="1:88" ht="13.8">
      <c r="A55" s="252" t="s">
        <v>1377</v>
      </c>
      <c r="B55" s="288">
        <v>2018</v>
      </c>
      <c r="C55" s="288" t="s">
        <v>756</v>
      </c>
      <c r="D55" s="248" t="s">
        <v>704</v>
      </c>
      <c r="E55" s="380" t="str">
        <f t="shared" si="15"/>
        <v>30EP2018</v>
      </c>
      <c r="F55" s="299" t="e">
        <v>#N/A</v>
      </c>
      <c r="G55" s="299" t="e">
        <v>#N/A</v>
      </c>
      <c r="H55" s="299" t="e">
        <v>#N/A</v>
      </c>
      <c r="I55" s="299" t="e">
        <v>#N/A</v>
      </c>
      <c r="J55" s="299" t="e">
        <v>#N/A</v>
      </c>
      <c r="K55" s="299" t="e">
        <v>#N/A</v>
      </c>
      <c r="L55" s="299" t="e">
        <v>#N/A</v>
      </c>
      <c r="M55" s="299" t="e">
        <v>#N/A</v>
      </c>
      <c r="N55" s="299" t="e">
        <v>#N/A</v>
      </c>
      <c r="O55" s="299" t="e">
        <v>#N/A</v>
      </c>
      <c r="P55" s="299" t="e">
        <v>#N/A</v>
      </c>
      <c r="Q55" s="299" t="e">
        <v>#N/A</v>
      </c>
      <c r="R55" s="299" t="e">
        <v>#N/A</v>
      </c>
      <c r="S55" s="299" t="e">
        <v>#N/A</v>
      </c>
      <c r="T55" s="299" t="e">
        <v>#N/A</v>
      </c>
      <c r="U55" s="299" t="e">
        <v>#N/A</v>
      </c>
      <c r="V55" s="299" t="e">
        <v>#N/A</v>
      </c>
      <c r="W55" s="299" t="e">
        <v>#N/A</v>
      </c>
      <c r="X55" s="299" t="e">
        <v>#N/A</v>
      </c>
      <c r="Y55" s="299" t="e">
        <f t="shared" si="1"/>
        <v>#N/A</v>
      </c>
      <c r="Z55" s="299" t="e">
        <v>#N/A</v>
      </c>
      <c r="AA55" s="299" t="e">
        <v>#N/A</v>
      </c>
      <c r="AB55" s="299" t="e">
        <v>#N/A</v>
      </c>
      <c r="AC55" s="299" t="e">
        <v>#N/A</v>
      </c>
      <c r="AD55" s="299" t="e">
        <v>#N/A</v>
      </c>
      <c r="AE55" s="299" t="e">
        <v>#N/A</v>
      </c>
      <c r="AF55" s="299" t="e">
        <v>#N/A</v>
      </c>
      <c r="AG55" s="299" t="e">
        <v>#N/A</v>
      </c>
      <c r="AH55" s="299" t="e">
        <v>#N/A</v>
      </c>
      <c r="AI55" s="299" t="e">
        <v>#N/A</v>
      </c>
      <c r="AJ55" s="299" t="e">
        <v>#N/A</v>
      </c>
      <c r="AK55" s="299" t="e">
        <v>#N/A</v>
      </c>
      <c r="AL55" s="299" t="e">
        <v>#N/A</v>
      </c>
      <c r="AM55" s="299" t="e">
        <v>#N/A</v>
      </c>
      <c r="AN55" s="299" t="e">
        <v>#N/A</v>
      </c>
      <c r="AO55" s="299" t="e">
        <v>#N/A</v>
      </c>
      <c r="AP55" s="299" t="e">
        <v>#N/A</v>
      </c>
      <c r="AQ55" s="299" t="e">
        <v>#N/A</v>
      </c>
      <c r="AR55" s="299" t="e">
        <v>#N/A</v>
      </c>
      <c r="AS55" s="299" t="e">
        <v>#N/A</v>
      </c>
      <c r="AT55" s="299" t="e">
        <v>#N/A</v>
      </c>
      <c r="AU55" s="299" t="e">
        <v>#N/A</v>
      </c>
      <c r="AV55" s="299" t="e">
        <v>#N/A</v>
      </c>
      <c r="AW55" s="299" t="e">
        <v>#N/A</v>
      </c>
      <c r="AX55" s="299" t="e">
        <v>#N/A</v>
      </c>
      <c r="AY55" s="299" t="e">
        <v>#N/A</v>
      </c>
      <c r="AZ55" s="299" t="e">
        <v>#N/A</v>
      </c>
      <c r="BA55" s="299" t="e">
        <v>#N/A</v>
      </c>
      <c r="BB55" s="299" t="e">
        <v>#N/A</v>
      </c>
      <c r="BC55" s="299" t="e">
        <v>#N/A</v>
      </c>
      <c r="BD55" s="299" t="e">
        <v>#N/A</v>
      </c>
      <c r="BE55" s="299" t="e">
        <f t="shared" si="2"/>
        <v>#N/A</v>
      </c>
      <c r="BF55" s="299" t="e">
        <f t="shared" si="3"/>
        <v>#N/A</v>
      </c>
      <c r="BG55" s="299" t="e">
        <v>#N/A</v>
      </c>
      <c r="BH55" s="299" t="e">
        <f t="shared" si="4"/>
        <v>#N/A</v>
      </c>
      <c r="BI55" s="299" t="e">
        <v>#N/A</v>
      </c>
      <c r="BJ55" s="299" t="e">
        <v>#N/A</v>
      </c>
      <c r="BK55" s="299" t="e">
        <f t="shared" si="5"/>
        <v>#N/A</v>
      </c>
      <c r="BL55" s="299" t="e">
        <v>#N/A</v>
      </c>
      <c r="BM55" s="299" t="e">
        <v>#N/A</v>
      </c>
      <c r="BN55" s="299" t="e">
        <f t="shared" si="6"/>
        <v>#N/A</v>
      </c>
      <c r="BO55" s="299" t="e">
        <f t="shared" si="7"/>
        <v>#N/A</v>
      </c>
      <c r="BP55" s="299" t="e">
        <v>#N/A</v>
      </c>
      <c r="BQ55" s="299" t="e">
        <f t="shared" si="8"/>
        <v>#N/A</v>
      </c>
      <c r="BR55" s="299" t="e">
        <v>#N/A</v>
      </c>
      <c r="BS55" s="299" t="e">
        <v>#N/A</v>
      </c>
      <c r="BT55" s="299" t="e">
        <v>#N/A</v>
      </c>
      <c r="BU55" s="299" t="e">
        <f t="shared" si="9"/>
        <v>#N/A</v>
      </c>
      <c r="BV55" s="299" t="e">
        <v>#N/A</v>
      </c>
      <c r="BW55" s="299" t="e">
        <v>#N/A</v>
      </c>
      <c r="BX55" s="299" t="e">
        <v>#N/A</v>
      </c>
      <c r="BY55" s="299" t="e">
        <f t="shared" si="10"/>
        <v>#N/A</v>
      </c>
      <c r="BZ55" s="299" t="e">
        <v>#N/A</v>
      </c>
      <c r="CA55" s="299" t="e">
        <v>#N/A</v>
      </c>
      <c r="CB55" s="299" t="e">
        <v>#N/A</v>
      </c>
      <c r="CC55" s="299" t="e">
        <v>#N/A</v>
      </c>
      <c r="CD55" s="299" t="e">
        <f t="shared" si="11"/>
        <v>#N/A</v>
      </c>
      <c r="CE55" s="299" t="e">
        <f t="shared" si="12"/>
        <v>#N/A</v>
      </c>
      <c r="CF55" s="299" t="e">
        <v>#N/A</v>
      </c>
      <c r="CG55" s="299" t="e">
        <f t="shared" si="13"/>
        <v>#N/A</v>
      </c>
      <c r="CH55" s="299" t="e">
        <v>#N/A</v>
      </c>
      <c r="CI55" s="299" t="e">
        <v>#N/A</v>
      </c>
      <c r="CJ55" s="299" t="e">
        <f t="shared" si="14"/>
        <v>#N/A</v>
      </c>
    </row>
    <row r="56" spans="1:88" ht="13.8">
      <c r="A56" s="252" t="s">
        <v>1377</v>
      </c>
      <c r="B56" s="288">
        <v>3035</v>
      </c>
      <c r="C56" s="288" t="s">
        <v>757</v>
      </c>
      <c r="D56" s="248" t="s">
        <v>704</v>
      </c>
      <c r="E56" s="380" t="str">
        <f t="shared" si="15"/>
        <v>30EP3035</v>
      </c>
      <c r="F56" s="299">
        <v>776960.88</v>
      </c>
      <c r="G56" s="299">
        <v>0</v>
      </c>
      <c r="H56" s="299">
        <v>4258.07</v>
      </c>
      <c r="I56" s="299">
        <v>0</v>
      </c>
      <c r="J56" s="299">
        <v>23425</v>
      </c>
      <c r="K56" s="299">
        <v>37617</v>
      </c>
      <c r="L56" s="299">
        <v>0</v>
      </c>
      <c r="M56" s="299">
        <v>0</v>
      </c>
      <c r="N56" s="299">
        <v>16669.36</v>
      </c>
      <c r="O56" s="299">
        <v>59.4</v>
      </c>
      <c r="P56" s="299">
        <v>0</v>
      </c>
      <c r="Q56" s="299">
        <v>0</v>
      </c>
      <c r="R56" s="299">
        <v>22518.95</v>
      </c>
      <c r="S56" s="299">
        <v>18284.509999999998</v>
      </c>
      <c r="T56" s="299">
        <v>0</v>
      </c>
      <c r="U56" s="299">
        <v>0</v>
      </c>
      <c r="V56" s="299">
        <v>0</v>
      </c>
      <c r="W56" s="299">
        <v>0</v>
      </c>
      <c r="X56" s="299">
        <v>0</v>
      </c>
      <c r="Y56" s="299">
        <f t="shared" si="1"/>
        <v>899793.16999999993</v>
      </c>
      <c r="Z56" s="299">
        <v>425180.66</v>
      </c>
      <c r="AA56" s="299">
        <v>7641.24</v>
      </c>
      <c r="AB56" s="299">
        <v>160480.73000000001</v>
      </c>
      <c r="AC56" s="299">
        <v>8403.3799999999992</v>
      </c>
      <c r="AD56" s="299">
        <v>65224.27</v>
      </c>
      <c r="AE56" s="299">
        <v>0</v>
      </c>
      <c r="AF56" s="299">
        <v>31386.44</v>
      </c>
      <c r="AG56" s="299">
        <v>16562.22</v>
      </c>
      <c r="AH56" s="299">
        <v>10045.799999999999</v>
      </c>
      <c r="AI56" s="299">
        <v>2019.55</v>
      </c>
      <c r="AJ56" s="299">
        <v>0</v>
      </c>
      <c r="AK56" s="299">
        <v>9672.1200000000008</v>
      </c>
      <c r="AL56" s="299">
        <v>2850</v>
      </c>
      <c r="AM56" s="299">
        <v>20003.22</v>
      </c>
      <c r="AN56" s="299">
        <v>10726.09</v>
      </c>
      <c r="AO56" s="299">
        <v>18078.439999999999</v>
      </c>
      <c r="AP56" s="299">
        <v>18088.75</v>
      </c>
      <c r="AQ56" s="299">
        <v>6564.79</v>
      </c>
      <c r="AR56" s="299">
        <v>40093.18</v>
      </c>
      <c r="AS56" s="299">
        <v>17739.650000000001</v>
      </c>
      <c r="AT56" s="299">
        <v>0</v>
      </c>
      <c r="AU56" s="299">
        <v>15534.13</v>
      </c>
      <c r="AV56" s="299">
        <v>3943.49</v>
      </c>
      <c r="AW56" s="299">
        <v>0</v>
      </c>
      <c r="AX56" s="299">
        <v>26754.31</v>
      </c>
      <c r="AY56" s="299">
        <v>0</v>
      </c>
      <c r="AZ56" s="299">
        <v>8510</v>
      </c>
      <c r="BA56" s="299">
        <v>17937.91</v>
      </c>
      <c r="BB56" s="299">
        <v>0</v>
      </c>
      <c r="BC56" s="299">
        <v>0</v>
      </c>
      <c r="BD56" s="299">
        <v>1810</v>
      </c>
      <c r="BE56" s="299">
        <f t="shared" si="2"/>
        <v>945250.37000000011</v>
      </c>
      <c r="BF56" s="299">
        <f t="shared" si="3"/>
        <v>-45457.200000000186</v>
      </c>
      <c r="BG56" s="299">
        <v>111438.42000000027</v>
      </c>
      <c r="BH56" s="299">
        <f t="shared" si="4"/>
        <v>65981.220000000088</v>
      </c>
      <c r="BI56" s="299">
        <v>0</v>
      </c>
      <c r="BJ56" s="299">
        <v>0</v>
      </c>
      <c r="BK56" s="299">
        <f t="shared" si="5"/>
        <v>0</v>
      </c>
      <c r="BL56" s="299">
        <v>0</v>
      </c>
      <c r="BM56" s="299">
        <v>0</v>
      </c>
      <c r="BN56" s="299">
        <f t="shared" si="6"/>
        <v>0</v>
      </c>
      <c r="BO56" s="299">
        <f t="shared" si="7"/>
        <v>0</v>
      </c>
      <c r="BP56" s="299">
        <v>0</v>
      </c>
      <c r="BQ56" s="299">
        <f t="shared" si="8"/>
        <v>0</v>
      </c>
      <c r="BR56" s="299">
        <v>1429.5</v>
      </c>
      <c r="BS56" s="299">
        <v>64551.720000000205</v>
      </c>
      <c r="BT56" s="299">
        <v>0</v>
      </c>
      <c r="BU56" s="299">
        <f t="shared" si="9"/>
        <v>65981.220000000088</v>
      </c>
      <c r="BV56" s="299">
        <v>5541.25</v>
      </c>
      <c r="BW56" s="299">
        <v>0</v>
      </c>
      <c r="BX56" s="299">
        <v>0</v>
      </c>
      <c r="BY56" s="299">
        <f t="shared" si="10"/>
        <v>5541.25</v>
      </c>
      <c r="BZ56" s="299">
        <v>0</v>
      </c>
      <c r="CA56" s="299">
        <v>4386</v>
      </c>
      <c r="CB56" s="299">
        <v>0</v>
      </c>
      <c r="CC56" s="299">
        <v>0</v>
      </c>
      <c r="CD56" s="299">
        <f t="shared" si="11"/>
        <v>4386</v>
      </c>
      <c r="CE56" s="299">
        <f t="shared" si="12"/>
        <v>1155.25</v>
      </c>
      <c r="CF56" s="299">
        <v>2676.84</v>
      </c>
      <c r="CG56" s="299">
        <f t="shared" si="13"/>
        <v>3832.09</v>
      </c>
      <c r="CH56" s="299">
        <v>3832.09</v>
      </c>
      <c r="CI56" s="299">
        <v>0</v>
      </c>
      <c r="CJ56" s="299">
        <f t="shared" si="14"/>
        <v>3832.09</v>
      </c>
    </row>
    <row r="57" spans="1:88" ht="13.8">
      <c r="A57" s="252" t="s">
        <v>1377</v>
      </c>
      <c r="B57" s="288">
        <v>2205</v>
      </c>
      <c r="C57" s="288" t="s">
        <v>758</v>
      </c>
      <c r="D57" s="248" t="s">
        <v>704</v>
      </c>
      <c r="E57" s="380" t="str">
        <f t="shared" si="15"/>
        <v>30EP2205</v>
      </c>
      <c r="F57" s="299">
        <v>529332.5</v>
      </c>
      <c r="G57" s="299">
        <v>0</v>
      </c>
      <c r="H57" s="299">
        <v>27238.240000000002</v>
      </c>
      <c r="I57" s="299">
        <v>0</v>
      </c>
      <c r="J57" s="299">
        <v>23075</v>
      </c>
      <c r="K57" s="299">
        <v>32179.93</v>
      </c>
      <c r="L57" s="299">
        <v>3850</v>
      </c>
      <c r="M57" s="299">
        <v>3675.59</v>
      </c>
      <c r="N57" s="299">
        <v>4933.2700000000004</v>
      </c>
      <c r="O57" s="299">
        <v>10261.75</v>
      </c>
      <c r="P57" s="299">
        <v>200</v>
      </c>
      <c r="Q57" s="299">
        <v>0</v>
      </c>
      <c r="R57" s="299">
        <v>3141.56</v>
      </c>
      <c r="S57" s="299">
        <v>7879.86</v>
      </c>
      <c r="T57" s="299">
        <v>0</v>
      </c>
      <c r="U57" s="299">
        <v>0</v>
      </c>
      <c r="V57" s="299">
        <v>0</v>
      </c>
      <c r="W57" s="299">
        <v>0</v>
      </c>
      <c r="X57" s="299">
        <v>0</v>
      </c>
      <c r="Y57" s="299">
        <f t="shared" si="1"/>
        <v>645767.70000000007</v>
      </c>
      <c r="Z57" s="299">
        <v>215550.38</v>
      </c>
      <c r="AA57" s="299">
        <v>580.07000000000005</v>
      </c>
      <c r="AB57" s="299">
        <v>153840.97</v>
      </c>
      <c r="AC57" s="299">
        <v>0</v>
      </c>
      <c r="AD57" s="299">
        <v>44888.62</v>
      </c>
      <c r="AE57" s="299">
        <v>0</v>
      </c>
      <c r="AF57" s="299">
        <v>4836.49</v>
      </c>
      <c r="AG57" s="299">
        <v>2096.6999999999998</v>
      </c>
      <c r="AH57" s="299">
        <v>1440.3</v>
      </c>
      <c r="AI57" s="299">
        <v>1227</v>
      </c>
      <c r="AJ57" s="299">
        <v>0</v>
      </c>
      <c r="AK57" s="299">
        <v>6982.82</v>
      </c>
      <c r="AL57" s="299">
        <v>2684.16</v>
      </c>
      <c r="AM57" s="299">
        <v>18787.36</v>
      </c>
      <c r="AN57" s="299">
        <v>4012.8</v>
      </c>
      <c r="AO57" s="299">
        <v>17272.07</v>
      </c>
      <c r="AP57" s="299">
        <v>21581.75</v>
      </c>
      <c r="AQ57" s="299">
        <v>5333.14</v>
      </c>
      <c r="AR57" s="299">
        <v>18975.259999999998</v>
      </c>
      <c r="AS57" s="299">
        <v>22697.37</v>
      </c>
      <c r="AT57" s="299">
        <v>0</v>
      </c>
      <c r="AU57" s="299">
        <v>3954.96</v>
      </c>
      <c r="AV57" s="299">
        <v>2367.12</v>
      </c>
      <c r="AW57" s="299">
        <v>7144.48</v>
      </c>
      <c r="AX57" s="299">
        <v>24864.61</v>
      </c>
      <c r="AY57" s="299">
        <v>431.48</v>
      </c>
      <c r="AZ57" s="299">
        <v>3711.8</v>
      </c>
      <c r="BA57" s="299">
        <v>59313.65</v>
      </c>
      <c r="BB57" s="299">
        <v>0</v>
      </c>
      <c r="BC57" s="299">
        <v>0</v>
      </c>
      <c r="BD57" s="299">
        <v>0</v>
      </c>
      <c r="BE57" s="299">
        <f t="shared" si="2"/>
        <v>644575.36</v>
      </c>
      <c r="BF57" s="299">
        <f t="shared" si="3"/>
        <v>1192.3400000000838</v>
      </c>
      <c r="BG57" s="299">
        <v>-15071.609999999637</v>
      </c>
      <c r="BH57" s="299">
        <f t="shared" si="4"/>
        <v>-13879.269999999553</v>
      </c>
      <c r="BI57" s="299">
        <v>0</v>
      </c>
      <c r="BJ57" s="299">
        <v>0</v>
      </c>
      <c r="BK57" s="299">
        <f t="shared" si="5"/>
        <v>0</v>
      </c>
      <c r="BL57" s="299">
        <v>0</v>
      </c>
      <c r="BM57" s="299">
        <v>0</v>
      </c>
      <c r="BN57" s="299">
        <f t="shared" si="6"/>
        <v>0</v>
      </c>
      <c r="BO57" s="299">
        <f t="shared" si="7"/>
        <v>0</v>
      </c>
      <c r="BP57" s="299">
        <v>0</v>
      </c>
      <c r="BQ57" s="299">
        <f t="shared" si="8"/>
        <v>0</v>
      </c>
      <c r="BR57" s="299">
        <v>0</v>
      </c>
      <c r="BS57" s="299">
        <v>-13879.269999999669</v>
      </c>
      <c r="BT57" s="299">
        <v>0</v>
      </c>
      <c r="BU57" s="299">
        <f t="shared" si="9"/>
        <v>-13879.269999999553</v>
      </c>
      <c r="BV57" s="299">
        <v>5012.5</v>
      </c>
      <c r="BW57" s="299">
        <v>0</v>
      </c>
      <c r="BX57" s="299">
        <v>0</v>
      </c>
      <c r="BY57" s="299">
        <f t="shared" si="10"/>
        <v>5012.5</v>
      </c>
      <c r="BZ57" s="299">
        <v>0</v>
      </c>
      <c r="CA57" s="299">
        <v>15056.98</v>
      </c>
      <c r="CB57" s="299">
        <v>0</v>
      </c>
      <c r="CC57" s="299">
        <v>0</v>
      </c>
      <c r="CD57" s="299">
        <f t="shared" si="11"/>
        <v>15056.98</v>
      </c>
      <c r="CE57" s="299">
        <f t="shared" si="12"/>
        <v>-10044.48</v>
      </c>
      <c r="CF57" s="299">
        <v>23981.950000000004</v>
      </c>
      <c r="CG57" s="299">
        <f t="shared" si="13"/>
        <v>13937.470000000005</v>
      </c>
      <c r="CH57" s="299">
        <v>13937.460000000003</v>
      </c>
      <c r="CI57" s="299">
        <v>1.0000000000218279E-2</v>
      </c>
      <c r="CJ57" s="299">
        <f t="shared" si="14"/>
        <v>13937.470000000003</v>
      </c>
    </row>
    <row r="58" spans="1:88" ht="13.8">
      <c r="A58" s="252" t="s">
        <v>1377</v>
      </c>
      <c r="B58" s="288">
        <v>2211</v>
      </c>
      <c r="C58" s="288" t="s">
        <v>759</v>
      </c>
      <c r="D58" s="248" t="s">
        <v>704</v>
      </c>
      <c r="E58" s="380" t="str">
        <f t="shared" si="15"/>
        <v>30EP2211</v>
      </c>
      <c r="F58" s="299">
        <v>1420856.76</v>
      </c>
      <c r="G58" s="299">
        <v>0</v>
      </c>
      <c r="H58" s="299">
        <v>34181.300000000003</v>
      </c>
      <c r="I58" s="299">
        <v>0</v>
      </c>
      <c r="J58" s="299">
        <v>48330</v>
      </c>
      <c r="K58" s="299">
        <v>56399.93</v>
      </c>
      <c r="L58" s="299">
        <v>0</v>
      </c>
      <c r="M58" s="299">
        <v>23887.5</v>
      </c>
      <c r="N58" s="299">
        <v>9182.17</v>
      </c>
      <c r="O58" s="299">
        <v>0</v>
      </c>
      <c r="P58" s="299">
        <v>4320</v>
      </c>
      <c r="Q58" s="299">
        <v>0</v>
      </c>
      <c r="R58" s="299">
        <v>1242.5</v>
      </c>
      <c r="S58" s="299">
        <v>2833.09</v>
      </c>
      <c r="T58" s="299">
        <v>0</v>
      </c>
      <c r="U58" s="299">
        <v>0</v>
      </c>
      <c r="V58" s="299">
        <v>0</v>
      </c>
      <c r="W58" s="299">
        <v>0</v>
      </c>
      <c r="X58" s="299">
        <v>0</v>
      </c>
      <c r="Y58" s="299">
        <f t="shared" si="1"/>
        <v>1601233.25</v>
      </c>
      <c r="Z58" s="299">
        <v>838806.35</v>
      </c>
      <c r="AA58" s="299">
        <v>0</v>
      </c>
      <c r="AB58" s="299">
        <v>308056.39</v>
      </c>
      <c r="AC58" s="299">
        <v>37438.1</v>
      </c>
      <c r="AD58" s="299">
        <v>57455.519999999997</v>
      </c>
      <c r="AE58" s="299">
        <v>0</v>
      </c>
      <c r="AF58" s="299">
        <v>0</v>
      </c>
      <c r="AG58" s="299">
        <v>5289.82</v>
      </c>
      <c r="AH58" s="299">
        <v>4814</v>
      </c>
      <c r="AI58" s="299">
        <v>6661.96</v>
      </c>
      <c r="AJ58" s="299">
        <v>0</v>
      </c>
      <c r="AK58" s="299">
        <v>13396.76</v>
      </c>
      <c r="AL58" s="299">
        <v>153.38</v>
      </c>
      <c r="AM58" s="299">
        <v>31711.48</v>
      </c>
      <c r="AN58" s="299">
        <v>7191.94</v>
      </c>
      <c r="AO58" s="299">
        <v>22103.94</v>
      </c>
      <c r="AP58" s="299">
        <v>37462.5</v>
      </c>
      <c r="AQ58" s="299">
        <v>4974.45</v>
      </c>
      <c r="AR58" s="299">
        <v>26983.91</v>
      </c>
      <c r="AS58" s="299">
        <v>51351.48</v>
      </c>
      <c r="AT58" s="299">
        <v>0</v>
      </c>
      <c r="AU58" s="299">
        <v>8415.4</v>
      </c>
      <c r="AV58" s="299">
        <v>7401.21</v>
      </c>
      <c r="AW58" s="299">
        <v>0</v>
      </c>
      <c r="AX58" s="299">
        <v>65438.9</v>
      </c>
      <c r="AY58" s="299">
        <v>33707.949999999997</v>
      </c>
      <c r="AZ58" s="299">
        <v>27244.1</v>
      </c>
      <c r="BA58" s="299">
        <v>13927.54</v>
      </c>
      <c r="BB58" s="299">
        <v>0</v>
      </c>
      <c r="BC58" s="299">
        <v>0</v>
      </c>
      <c r="BD58" s="299">
        <v>0</v>
      </c>
      <c r="BE58" s="299">
        <f t="shared" si="2"/>
        <v>1609987.0799999996</v>
      </c>
      <c r="BF58" s="299">
        <f t="shared" si="3"/>
        <v>-8753.8299999996088</v>
      </c>
      <c r="BG58" s="299">
        <v>94808.660000000295</v>
      </c>
      <c r="BH58" s="299">
        <f t="shared" si="4"/>
        <v>86054.830000000686</v>
      </c>
      <c r="BI58" s="299">
        <v>89902.09</v>
      </c>
      <c r="BJ58" s="299">
        <v>18895.11</v>
      </c>
      <c r="BK58" s="299">
        <f t="shared" si="5"/>
        <v>108797.2</v>
      </c>
      <c r="BL58" s="299">
        <v>76975.8</v>
      </c>
      <c r="BM58" s="299">
        <v>19636.07</v>
      </c>
      <c r="BN58" s="299">
        <f t="shared" si="6"/>
        <v>96611.87</v>
      </c>
      <c r="BO58" s="299">
        <f t="shared" si="7"/>
        <v>12185.330000000002</v>
      </c>
      <c r="BP58" s="299">
        <v>-43955</v>
      </c>
      <c r="BQ58" s="299">
        <f t="shared" si="8"/>
        <v>-31769.67</v>
      </c>
      <c r="BR58" s="299">
        <v>13933</v>
      </c>
      <c r="BS58" s="299">
        <v>50023.660000000702</v>
      </c>
      <c r="BT58" s="299">
        <v>-9671.5</v>
      </c>
      <c r="BU58" s="299">
        <f t="shared" si="9"/>
        <v>54285.160000000687</v>
      </c>
      <c r="BV58" s="299">
        <v>7172.5</v>
      </c>
      <c r="BW58" s="299">
        <v>0</v>
      </c>
      <c r="BX58" s="299">
        <v>0</v>
      </c>
      <c r="BY58" s="299">
        <f t="shared" si="10"/>
        <v>7172.5</v>
      </c>
      <c r="BZ58" s="299">
        <v>0</v>
      </c>
      <c r="CA58" s="299">
        <v>1259.6600000000001</v>
      </c>
      <c r="CB58" s="299">
        <v>2531</v>
      </c>
      <c r="CC58" s="299">
        <v>4641.5</v>
      </c>
      <c r="CD58" s="299">
        <f t="shared" si="11"/>
        <v>8432.16</v>
      </c>
      <c r="CE58" s="299">
        <f t="shared" si="12"/>
        <v>-1259.6599999999999</v>
      </c>
      <c r="CF58" s="299">
        <v>1259.6600000000017</v>
      </c>
      <c r="CG58" s="299">
        <f t="shared" si="13"/>
        <v>1.8189894035458565E-12</v>
      </c>
      <c r="CH58" s="299">
        <v>1.8189894035458565E-12</v>
      </c>
      <c r="CI58" s="299">
        <v>0</v>
      </c>
      <c r="CJ58" s="299">
        <f t="shared" si="14"/>
        <v>1.8189894035458565E-12</v>
      </c>
    </row>
    <row r="59" spans="1:88" ht="13.8">
      <c r="A59" s="252" t="s">
        <v>1377</v>
      </c>
      <c r="B59" s="288">
        <v>1003</v>
      </c>
      <c r="C59" s="288" t="s">
        <v>760</v>
      </c>
      <c r="D59" s="248" t="s">
        <v>720</v>
      </c>
      <c r="E59" s="380" t="str">
        <f t="shared" si="15"/>
        <v>30EN1003</v>
      </c>
      <c r="F59" s="299">
        <v>479093.99</v>
      </c>
      <c r="G59" s="299">
        <v>0</v>
      </c>
      <c r="H59" s="299">
        <v>6311.65</v>
      </c>
      <c r="I59" s="299">
        <v>0</v>
      </c>
      <c r="J59" s="299">
        <v>0</v>
      </c>
      <c r="K59" s="299">
        <v>0</v>
      </c>
      <c r="L59" s="299">
        <v>0</v>
      </c>
      <c r="M59" s="299">
        <v>0</v>
      </c>
      <c r="N59" s="299">
        <v>2674.61</v>
      </c>
      <c r="O59" s="299">
        <v>11162.87</v>
      </c>
      <c r="P59" s="299">
        <v>0</v>
      </c>
      <c r="Q59" s="299">
        <v>0</v>
      </c>
      <c r="R59" s="299">
        <v>0</v>
      </c>
      <c r="S59" s="299">
        <v>0</v>
      </c>
      <c r="T59" s="299">
        <v>0</v>
      </c>
      <c r="U59" s="299">
        <v>0</v>
      </c>
      <c r="V59" s="299">
        <v>0</v>
      </c>
      <c r="W59" s="299">
        <v>0</v>
      </c>
      <c r="X59" s="299">
        <v>0</v>
      </c>
      <c r="Y59" s="299">
        <f t="shared" si="1"/>
        <v>499243.12</v>
      </c>
      <c r="Z59" s="299">
        <v>253223.59</v>
      </c>
      <c r="AA59" s="299">
        <v>0</v>
      </c>
      <c r="AB59" s="299">
        <v>165574.91</v>
      </c>
      <c r="AC59" s="299">
        <v>9347.65</v>
      </c>
      <c r="AD59" s="299">
        <v>25876.3</v>
      </c>
      <c r="AE59" s="299">
        <v>21199.3</v>
      </c>
      <c r="AF59" s="299">
        <v>2416.6</v>
      </c>
      <c r="AG59" s="299">
        <v>1791.41</v>
      </c>
      <c r="AH59" s="299">
        <v>3197.3</v>
      </c>
      <c r="AI59" s="299">
        <v>0</v>
      </c>
      <c r="AJ59" s="299">
        <v>0</v>
      </c>
      <c r="AK59" s="299">
        <v>2037.44</v>
      </c>
      <c r="AL59" s="299">
        <v>2150.02</v>
      </c>
      <c r="AM59" s="299">
        <v>8766.11</v>
      </c>
      <c r="AN59" s="299">
        <v>755.66</v>
      </c>
      <c r="AO59" s="299">
        <v>5269.11</v>
      </c>
      <c r="AP59" s="299">
        <v>4341.3</v>
      </c>
      <c r="AQ59" s="299">
        <v>3704.74</v>
      </c>
      <c r="AR59" s="299">
        <v>2051.1999999999998</v>
      </c>
      <c r="AS59" s="299">
        <v>4334.83</v>
      </c>
      <c r="AT59" s="299">
        <v>0</v>
      </c>
      <c r="AU59" s="299">
        <v>806.53</v>
      </c>
      <c r="AV59" s="299">
        <v>991.9</v>
      </c>
      <c r="AW59" s="299">
        <v>0</v>
      </c>
      <c r="AX59" s="299">
        <v>8455.68</v>
      </c>
      <c r="AY59" s="299">
        <v>0</v>
      </c>
      <c r="AZ59" s="299">
        <v>0</v>
      </c>
      <c r="BA59" s="299">
        <v>4551.5</v>
      </c>
      <c r="BB59" s="299">
        <v>0</v>
      </c>
      <c r="BC59" s="299">
        <v>0</v>
      </c>
      <c r="BD59" s="299">
        <v>0</v>
      </c>
      <c r="BE59" s="299">
        <f t="shared" si="2"/>
        <v>530843.07999999996</v>
      </c>
      <c r="BF59" s="299">
        <f t="shared" si="3"/>
        <v>-31599.959999999963</v>
      </c>
      <c r="BG59" s="299">
        <v>-53622.170000000071</v>
      </c>
      <c r="BH59" s="299">
        <f t="shared" si="4"/>
        <v>-85222.130000000034</v>
      </c>
      <c r="BI59" s="299">
        <v>284786.15000000002</v>
      </c>
      <c r="BJ59" s="299">
        <v>472826.91</v>
      </c>
      <c r="BK59" s="299">
        <f t="shared" si="5"/>
        <v>757613.06</v>
      </c>
      <c r="BL59" s="299">
        <v>609046.98</v>
      </c>
      <c r="BM59" s="299">
        <v>124506.6</v>
      </c>
      <c r="BN59" s="299">
        <f t="shared" si="6"/>
        <v>733553.58</v>
      </c>
      <c r="BO59" s="299">
        <f t="shared" si="7"/>
        <v>24059.480000000098</v>
      </c>
      <c r="BP59" s="299">
        <v>466403.37</v>
      </c>
      <c r="BQ59" s="299">
        <f t="shared" si="8"/>
        <v>490462.85000000009</v>
      </c>
      <c r="BR59" s="299">
        <v>1000</v>
      </c>
      <c r="BS59" s="299">
        <v>-86222.130000000034</v>
      </c>
      <c r="BT59" s="299">
        <v>490462.85000000009</v>
      </c>
      <c r="BU59" s="299">
        <f t="shared" si="9"/>
        <v>405240.72000000009</v>
      </c>
      <c r="BV59" s="299">
        <v>4742.5</v>
      </c>
      <c r="BW59" s="299">
        <v>0</v>
      </c>
      <c r="BX59" s="299">
        <v>0</v>
      </c>
      <c r="BY59" s="299">
        <f t="shared" si="10"/>
        <v>4742.5</v>
      </c>
      <c r="BZ59" s="299">
        <v>0</v>
      </c>
      <c r="CA59" s="299">
        <v>5292.96</v>
      </c>
      <c r="CB59" s="299">
        <v>0</v>
      </c>
      <c r="CC59" s="299">
        <v>7886.83</v>
      </c>
      <c r="CD59" s="299">
        <f t="shared" si="11"/>
        <v>13179.79</v>
      </c>
      <c r="CE59" s="299">
        <f t="shared" si="12"/>
        <v>-8437.2900000000009</v>
      </c>
      <c r="CF59" s="299">
        <v>27353.35</v>
      </c>
      <c r="CG59" s="299">
        <f t="shared" si="13"/>
        <v>18916.059999999998</v>
      </c>
      <c r="CH59" s="299">
        <v>18916.059999999998</v>
      </c>
      <c r="CI59" s="299">
        <v>0</v>
      </c>
      <c r="CJ59" s="299">
        <f t="shared" si="14"/>
        <v>18916.059999999998</v>
      </c>
    </row>
    <row r="60" spans="1:88" ht="13.8">
      <c r="A60" s="252" t="s">
        <v>1377</v>
      </c>
      <c r="B60" s="288">
        <v>3071</v>
      </c>
      <c r="C60" s="288" t="s">
        <v>761</v>
      </c>
      <c r="D60" s="248" t="s">
        <v>704</v>
      </c>
      <c r="E60" s="380" t="str">
        <f t="shared" si="15"/>
        <v>30EP3071</v>
      </c>
      <c r="F60" s="299">
        <v>1050148.43</v>
      </c>
      <c r="G60" s="299">
        <v>0</v>
      </c>
      <c r="H60" s="299">
        <v>72397.850000000006</v>
      </c>
      <c r="I60" s="299">
        <v>0</v>
      </c>
      <c r="J60" s="299">
        <v>34445</v>
      </c>
      <c r="K60" s="299">
        <v>48497.2</v>
      </c>
      <c r="L60" s="299">
        <v>0</v>
      </c>
      <c r="M60" s="299">
        <v>6920.64</v>
      </c>
      <c r="N60" s="299">
        <v>66719.009999999995</v>
      </c>
      <c r="O60" s="299">
        <v>0</v>
      </c>
      <c r="P60" s="299">
        <v>0</v>
      </c>
      <c r="Q60" s="299">
        <v>1691.36</v>
      </c>
      <c r="R60" s="299">
        <v>20535.54</v>
      </c>
      <c r="S60" s="299">
        <v>2245.5</v>
      </c>
      <c r="T60" s="299">
        <v>0</v>
      </c>
      <c r="U60" s="299">
        <v>0</v>
      </c>
      <c r="V60" s="299">
        <v>0</v>
      </c>
      <c r="W60" s="299">
        <v>0</v>
      </c>
      <c r="X60" s="299">
        <v>0</v>
      </c>
      <c r="Y60" s="299">
        <f t="shared" si="1"/>
        <v>1303600.53</v>
      </c>
      <c r="Z60" s="299">
        <v>696363.82</v>
      </c>
      <c r="AA60" s="299">
        <v>4506.4399999999996</v>
      </c>
      <c r="AB60" s="299">
        <v>282835.82</v>
      </c>
      <c r="AC60" s="299">
        <v>32703.84</v>
      </c>
      <c r="AD60" s="299">
        <v>38949.620000000003</v>
      </c>
      <c r="AE60" s="299">
        <v>0</v>
      </c>
      <c r="AF60" s="299">
        <v>53715.15</v>
      </c>
      <c r="AG60" s="299">
        <v>4502</v>
      </c>
      <c r="AH60" s="299">
        <v>2822.93</v>
      </c>
      <c r="AI60" s="299">
        <v>2428</v>
      </c>
      <c r="AJ60" s="299">
        <v>0</v>
      </c>
      <c r="AK60" s="299">
        <v>16643.509999999998</v>
      </c>
      <c r="AL60" s="299">
        <v>1435</v>
      </c>
      <c r="AM60" s="299">
        <v>483.79</v>
      </c>
      <c r="AN60" s="299">
        <v>2653.82</v>
      </c>
      <c r="AO60" s="299">
        <v>18778.72</v>
      </c>
      <c r="AP60" s="299">
        <v>22330.25</v>
      </c>
      <c r="AQ60" s="299">
        <v>6338.86</v>
      </c>
      <c r="AR60" s="299">
        <v>43079.17</v>
      </c>
      <c r="AS60" s="299">
        <v>36565.58</v>
      </c>
      <c r="AT60" s="299">
        <v>0</v>
      </c>
      <c r="AU60" s="299">
        <v>10499.2</v>
      </c>
      <c r="AV60" s="299">
        <v>5802.97</v>
      </c>
      <c r="AW60" s="299">
        <v>1577.86</v>
      </c>
      <c r="AX60" s="299">
        <v>43699.42</v>
      </c>
      <c r="AY60" s="299">
        <v>1483.26</v>
      </c>
      <c r="AZ60" s="299">
        <v>5134.6899999999996</v>
      </c>
      <c r="BA60" s="299">
        <v>10554.8</v>
      </c>
      <c r="BB60" s="299">
        <v>0</v>
      </c>
      <c r="BC60" s="299">
        <v>0</v>
      </c>
      <c r="BD60" s="299">
        <v>0</v>
      </c>
      <c r="BE60" s="299">
        <f t="shared" si="2"/>
        <v>1345888.5199999998</v>
      </c>
      <c r="BF60" s="299">
        <f t="shared" si="3"/>
        <v>-42287.989999999758</v>
      </c>
      <c r="BG60" s="299">
        <v>-29356.370000000381</v>
      </c>
      <c r="BH60" s="299">
        <f t="shared" si="4"/>
        <v>-71644.360000000132</v>
      </c>
      <c r="BI60" s="299">
        <v>0</v>
      </c>
      <c r="BJ60" s="299">
        <v>0</v>
      </c>
      <c r="BK60" s="299">
        <f t="shared" si="5"/>
        <v>0</v>
      </c>
      <c r="BL60" s="299">
        <v>0</v>
      </c>
      <c r="BM60" s="299">
        <v>0</v>
      </c>
      <c r="BN60" s="299">
        <f t="shared" si="6"/>
        <v>0</v>
      </c>
      <c r="BO60" s="299">
        <f t="shared" si="7"/>
        <v>0</v>
      </c>
      <c r="BP60" s="299">
        <v>0</v>
      </c>
      <c r="BQ60" s="299">
        <f t="shared" si="8"/>
        <v>0</v>
      </c>
      <c r="BR60" s="299">
        <v>2500</v>
      </c>
      <c r="BS60" s="299">
        <v>-74144.359999999899</v>
      </c>
      <c r="BT60" s="299">
        <v>0</v>
      </c>
      <c r="BU60" s="299">
        <f t="shared" si="9"/>
        <v>-71644.360000000132</v>
      </c>
      <c r="BV60" s="299">
        <v>6250</v>
      </c>
      <c r="BW60" s="299">
        <v>0</v>
      </c>
      <c r="BX60" s="299">
        <v>0</v>
      </c>
      <c r="BY60" s="299">
        <f t="shared" si="10"/>
        <v>6250</v>
      </c>
      <c r="BZ60" s="299">
        <v>0</v>
      </c>
      <c r="CA60" s="299">
        <v>11463.75</v>
      </c>
      <c r="CB60" s="299">
        <v>0</v>
      </c>
      <c r="CC60" s="299">
        <v>0</v>
      </c>
      <c r="CD60" s="299">
        <f t="shared" si="11"/>
        <v>11463.75</v>
      </c>
      <c r="CE60" s="299">
        <f t="shared" si="12"/>
        <v>-5213.75</v>
      </c>
      <c r="CF60" s="299">
        <v>8527.24</v>
      </c>
      <c r="CG60" s="299">
        <f t="shared" si="13"/>
        <v>3313.49</v>
      </c>
      <c r="CH60" s="299">
        <v>-6.9633188104489818E-13</v>
      </c>
      <c r="CI60" s="299">
        <v>3313.4900000000007</v>
      </c>
      <c r="CJ60" s="299">
        <f t="shared" si="14"/>
        <v>3313.49</v>
      </c>
    </row>
    <row r="61" spans="1:88" ht="13.8">
      <c r="A61" s="252" t="s">
        <v>1377</v>
      </c>
      <c r="B61" s="288">
        <v>1002</v>
      </c>
      <c r="C61" s="288" t="s">
        <v>762</v>
      </c>
      <c r="D61" s="248" t="s">
        <v>720</v>
      </c>
      <c r="E61" s="380" t="str">
        <f t="shared" si="15"/>
        <v>30EN1002</v>
      </c>
      <c r="F61" s="299">
        <v>560997.84</v>
      </c>
      <c r="G61" s="299">
        <v>0</v>
      </c>
      <c r="H61" s="299">
        <v>15073.15</v>
      </c>
      <c r="I61" s="299">
        <v>0</v>
      </c>
      <c r="J61" s="299">
        <v>0</v>
      </c>
      <c r="K61" s="299">
        <v>0</v>
      </c>
      <c r="L61" s="299">
        <v>0</v>
      </c>
      <c r="M61" s="299">
        <v>0</v>
      </c>
      <c r="N61" s="299">
        <v>2667.56</v>
      </c>
      <c r="O61" s="299">
        <v>0</v>
      </c>
      <c r="P61" s="299">
        <v>0</v>
      </c>
      <c r="Q61" s="299">
        <v>0</v>
      </c>
      <c r="R61" s="299">
        <v>226150.92</v>
      </c>
      <c r="S61" s="299">
        <v>3774.58</v>
      </c>
      <c r="T61" s="299">
        <v>0</v>
      </c>
      <c r="U61" s="299">
        <v>0</v>
      </c>
      <c r="V61" s="299">
        <v>0</v>
      </c>
      <c r="W61" s="299">
        <v>0</v>
      </c>
      <c r="X61" s="299">
        <v>0</v>
      </c>
      <c r="Y61" s="299">
        <f t="shared" si="1"/>
        <v>808664.05</v>
      </c>
      <c r="Z61" s="299">
        <v>241047.62</v>
      </c>
      <c r="AA61" s="299">
        <v>0</v>
      </c>
      <c r="AB61" s="299">
        <v>235256.83</v>
      </c>
      <c r="AC61" s="299">
        <v>13252.92</v>
      </c>
      <c r="AD61" s="299">
        <v>42675.89</v>
      </c>
      <c r="AE61" s="299">
        <v>17189.8</v>
      </c>
      <c r="AF61" s="299">
        <v>58523.12</v>
      </c>
      <c r="AG61" s="299">
        <v>4190.5</v>
      </c>
      <c r="AH61" s="299">
        <v>3003.19</v>
      </c>
      <c r="AI61" s="299">
        <v>0</v>
      </c>
      <c r="AJ61" s="299">
        <v>0</v>
      </c>
      <c r="AK61" s="299">
        <v>7712.72</v>
      </c>
      <c r="AL61" s="299">
        <v>1439.07</v>
      </c>
      <c r="AM61" s="299">
        <v>20101.55</v>
      </c>
      <c r="AN61" s="299">
        <v>1893.9</v>
      </c>
      <c r="AO61" s="299">
        <v>8864.11</v>
      </c>
      <c r="AP61" s="299">
        <v>10603.75</v>
      </c>
      <c r="AQ61" s="299">
        <v>3410.89</v>
      </c>
      <c r="AR61" s="299">
        <v>5448.85</v>
      </c>
      <c r="AS61" s="299">
        <v>13011.55</v>
      </c>
      <c r="AT61" s="299">
        <v>0</v>
      </c>
      <c r="AU61" s="299">
        <v>7386.56</v>
      </c>
      <c r="AV61" s="299">
        <v>1578.68</v>
      </c>
      <c r="AW61" s="299">
        <v>0</v>
      </c>
      <c r="AX61" s="299">
        <v>2694.2</v>
      </c>
      <c r="AY61" s="299">
        <v>0</v>
      </c>
      <c r="AZ61" s="299">
        <v>0</v>
      </c>
      <c r="BA61" s="299">
        <v>8257.4599999999991</v>
      </c>
      <c r="BB61" s="299">
        <v>0</v>
      </c>
      <c r="BC61" s="299">
        <v>0</v>
      </c>
      <c r="BD61" s="299">
        <v>0</v>
      </c>
      <c r="BE61" s="299">
        <f t="shared" si="2"/>
        <v>707543.15999999992</v>
      </c>
      <c r="BF61" s="299">
        <f t="shared" si="3"/>
        <v>101120.89000000013</v>
      </c>
      <c r="BG61" s="299">
        <v>93981.449999999895</v>
      </c>
      <c r="BH61" s="299">
        <f t="shared" si="4"/>
        <v>195102.34000000003</v>
      </c>
      <c r="BI61" s="299">
        <v>109116.85</v>
      </c>
      <c r="BJ61" s="299">
        <v>255751.04000000001</v>
      </c>
      <c r="BK61" s="299">
        <f t="shared" si="5"/>
        <v>364867.89</v>
      </c>
      <c r="BL61" s="299">
        <v>379975.48</v>
      </c>
      <c r="BM61" s="299">
        <v>70159.61</v>
      </c>
      <c r="BN61" s="299">
        <f t="shared" si="6"/>
        <v>450135.08999999997</v>
      </c>
      <c r="BO61" s="299">
        <f t="shared" si="7"/>
        <v>-85267.199999999953</v>
      </c>
      <c r="BP61" s="299">
        <v>16428.830000000002</v>
      </c>
      <c r="BQ61" s="299">
        <f t="shared" si="8"/>
        <v>-68838.369999999952</v>
      </c>
      <c r="BR61" s="299">
        <v>0</v>
      </c>
      <c r="BS61" s="299">
        <v>160702.93999999989</v>
      </c>
      <c r="BT61" s="299">
        <v>-34438.97</v>
      </c>
      <c r="BU61" s="299">
        <f t="shared" si="9"/>
        <v>126263.97000000007</v>
      </c>
      <c r="BV61" s="299">
        <v>4844.6499999999996</v>
      </c>
      <c r="BW61" s="299">
        <v>0</v>
      </c>
      <c r="BX61" s="299">
        <v>0</v>
      </c>
      <c r="BY61" s="299">
        <f t="shared" si="10"/>
        <v>4844.6499999999996</v>
      </c>
      <c r="BZ61" s="299">
        <v>0</v>
      </c>
      <c r="CA61" s="299">
        <v>0</v>
      </c>
      <c r="CB61" s="299">
        <v>0</v>
      </c>
      <c r="CC61" s="299">
        <v>4663.82</v>
      </c>
      <c r="CD61" s="299">
        <f t="shared" si="11"/>
        <v>4663.82</v>
      </c>
      <c r="CE61" s="299">
        <f t="shared" si="12"/>
        <v>180.82999999999993</v>
      </c>
      <c r="CF61" s="299">
        <v>56732.700000000004</v>
      </c>
      <c r="CG61" s="299">
        <f t="shared" si="13"/>
        <v>56913.530000000006</v>
      </c>
      <c r="CH61" s="299">
        <v>11980.36</v>
      </c>
      <c r="CI61" s="299">
        <v>44933.170000000006</v>
      </c>
      <c r="CJ61" s="299">
        <f t="shared" si="14"/>
        <v>56913.530000000006</v>
      </c>
    </row>
    <row r="62" spans="1:88" ht="13.8">
      <c r="A62" s="252" t="s">
        <v>1377</v>
      </c>
      <c r="B62" s="288">
        <v>2212</v>
      </c>
      <c r="C62" s="288" t="s">
        <v>763</v>
      </c>
      <c r="D62" s="248" t="s">
        <v>704</v>
      </c>
      <c r="E62" s="380" t="str">
        <f t="shared" si="15"/>
        <v>30EP2212</v>
      </c>
      <c r="F62" s="299">
        <v>999290.42</v>
      </c>
      <c r="G62" s="299">
        <v>0</v>
      </c>
      <c r="H62" s="299">
        <v>85175.34</v>
      </c>
      <c r="I62" s="299">
        <v>0</v>
      </c>
      <c r="J62" s="299">
        <v>31370</v>
      </c>
      <c r="K62" s="299">
        <v>54437</v>
      </c>
      <c r="L62" s="299">
        <v>0</v>
      </c>
      <c r="M62" s="299">
        <v>9618.4699999999993</v>
      </c>
      <c r="N62" s="299">
        <v>16504.400000000001</v>
      </c>
      <c r="O62" s="299">
        <v>33036.43</v>
      </c>
      <c r="P62" s="299">
        <v>14260</v>
      </c>
      <c r="Q62" s="299">
        <v>0</v>
      </c>
      <c r="R62" s="299">
        <v>9439.58</v>
      </c>
      <c r="S62" s="299">
        <v>5179.88</v>
      </c>
      <c r="T62" s="299">
        <v>0</v>
      </c>
      <c r="U62" s="299">
        <v>0</v>
      </c>
      <c r="V62" s="299">
        <v>0</v>
      </c>
      <c r="W62" s="299">
        <v>0</v>
      </c>
      <c r="X62" s="299">
        <v>0</v>
      </c>
      <c r="Y62" s="299">
        <f t="shared" si="1"/>
        <v>1258311.5199999998</v>
      </c>
      <c r="Z62" s="299">
        <v>545529.31999999995</v>
      </c>
      <c r="AA62" s="299">
        <v>0</v>
      </c>
      <c r="AB62" s="299">
        <v>265090.07</v>
      </c>
      <c r="AC62" s="299">
        <v>45385.89</v>
      </c>
      <c r="AD62" s="299">
        <v>74965.58</v>
      </c>
      <c r="AE62" s="299">
        <v>48953.06</v>
      </c>
      <c r="AF62" s="299">
        <v>28140.41</v>
      </c>
      <c r="AG62" s="299">
        <v>4054</v>
      </c>
      <c r="AH62" s="299">
        <v>2722</v>
      </c>
      <c r="AI62" s="299">
        <v>4575</v>
      </c>
      <c r="AJ62" s="299">
        <v>0</v>
      </c>
      <c r="AK62" s="299">
        <v>17368.189999999999</v>
      </c>
      <c r="AL62" s="299">
        <v>2869.92</v>
      </c>
      <c r="AM62" s="299">
        <v>3769.2</v>
      </c>
      <c r="AN62" s="299">
        <v>3042.51</v>
      </c>
      <c r="AO62" s="299">
        <v>18933.400000000001</v>
      </c>
      <c r="AP62" s="299">
        <v>38572.5</v>
      </c>
      <c r="AQ62" s="299">
        <v>6014.36</v>
      </c>
      <c r="AR62" s="299">
        <v>37646.18</v>
      </c>
      <c r="AS62" s="299">
        <v>27400.639999999999</v>
      </c>
      <c r="AT62" s="299">
        <v>0</v>
      </c>
      <c r="AU62" s="299">
        <v>4354.71</v>
      </c>
      <c r="AV62" s="299">
        <v>5672.87</v>
      </c>
      <c r="AW62" s="299">
        <v>0</v>
      </c>
      <c r="AX62" s="299">
        <v>28733.77</v>
      </c>
      <c r="AY62" s="299">
        <v>19193.87</v>
      </c>
      <c r="AZ62" s="299">
        <v>383.01</v>
      </c>
      <c r="BA62" s="299">
        <v>15569.76</v>
      </c>
      <c r="BB62" s="299">
        <v>0</v>
      </c>
      <c r="BC62" s="299">
        <v>0</v>
      </c>
      <c r="BD62" s="299">
        <v>0</v>
      </c>
      <c r="BE62" s="299">
        <f t="shared" si="2"/>
        <v>1248940.22</v>
      </c>
      <c r="BF62" s="299">
        <f t="shared" si="3"/>
        <v>9371.2999999998137</v>
      </c>
      <c r="BG62" s="299">
        <v>-46426.36999999985</v>
      </c>
      <c r="BH62" s="299">
        <f t="shared" si="4"/>
        <v>-37055.070000000036</v>
      </c>
      <c r="BI62" s="299">
        <v>0</v>
      </c>
      <c r="BJ62" s="299">
        <v>0</v>
      </c>
      <c r="BK62" s="299">
        <f t="shared" si="5"/>
        <v>0</v>
      </c>
      <c r="BL62" s="299">
        <v>0</v>
      </c>
      <c r="BM62" s="299">
        <v>0</v>
      </c>
      <c r="BN62" s="299">
        <f t="shared" si="6"/>
        <v>0</v>
      </c>
      <c r="BO62" s="299">
        <f t="shared" si="7"/>
        <v>0</v>
      </c>
      <c r="BP62" s="299">
        <v>0</v>
      </c>
      <c r="BQ62" s="299">
        <f t="shared" si="8"/>
        <v>0</v>
      </c>
      <c r="BR62" s="299">
        <v>0</v>
      </c>
      <c r="BS62" s="299">
        <v>-37055.070000000269</v>
      </c>
      <c r="BT62" s="299">
        <v>0</v>
      </c>
      <c r="BU62" s="299">
        <f t="shared" si="9"/>
        <v>-37055.070000000036</v>
      </c>
      <c r="BV62" s="299">
        <v>6025</v>
      </c>
      <c r="BW62" s="299">
        <v>0</v>
      </c>
      <c r="BX62" s="299">
        <v>0</v>
      </c>
      <c r="BY62" s="299">
        <f t="shared" si="10"/>
        <v>6025</v>
      </c>
      <c r="BZ62" s="299">
        <v>0</v>
      </c>
      <c r="CA62" s="299">
        <v>5717</v>
      </c>
      <c r="CB62" s="299">
        <v>0</v>
      </c>
      <c r="CC62" s="299">
        <v>10852.81</v>
      </c>
      <c r="CD62" s="299">
        <f t="shared" si="11"/>
        <v>16569.809999999998</v>
      </c>
      <c r="CE62" s="299">
        <f t="shared" si="12"/>
        <v>-10544.809999999998</v>
      </c>
      <c r="CF62" s="299">
        <v>10544.810000000001</v>
      </c>
      <c r="CG62" s="299">
        <f t="shared" si="13"/>
        <v>0</v>
      </c>
      <c r="CH62" s="299">
        <v>0</v>
      </c>
      <c r="CI62" s="299">
        <v>0</v>
      </c>
      <c r="CJ62" s="299">
        <f t="shared" si="14"/>
        <v>0</v>
      </c>
    </row>
    <row r="63" spans="1:88" ht="13.8">
      <c r="A63" s="252" t="s">
        <v>1377</v>
      </c>
      <c r="B63" s="288">
        <v>1007</v>
      </c>
      <c r="C63" s="288" t="s">
        <v>764</v>
      </c>
      <c r="D63" s="248" t="s">
        <v>720</v>
      </c>
      <c r="E63" s="380" t="str">
        <f t="shared" si="15"/>
        <v>30EN1007</v>
      </c>
      <c r="F63" s="299">
        <v>745854.67</v>
      </c>
      <c r="G63" s="299">
        <v>0</v>
      </c>
      <c r="H63" s="299">
        <v>6237.28</v>
      </c>
      <c r="I63" s="299">
        <v>0</v>
      </c>
      <c r="J63" s="299">
        <v>0</v>
      </c>
      <c r="K63" s="299">
        <v>0</v>
      </c>
      <c r="L63" s="299">
        <v>46500</v>
      </c>
      <c r="M63" s="299">
        <v>0</v>
      </c>
      <c r="N63" s="299">
        <v>2615.5300000000002</v>
      </c>
      <c r="O63" s="299">
        <v>1723.27</v>
      </c>
      <c r="P63" s="299">
        <v>0</v>
      </c>
      <c r="Q63" s="299">
        <v>0</v>
      </c>
      <c r="R63" s="299">
        <v>33639.79</v>
      </c>
      <c r="S63" s="299">
        <v>35592.949999999997</v>
      </c>
      <c r="T63" s="299">
        <v>0</v>
      </c>
      <c r="U63" s="299">
        <v>0</v>
      </c>
      <c r="V63" s="299">
        <v>0</v>
      </c>
      <c r="W63" s="299">
        <v>0</v>
      </c>
      <c r="X63" s="299">
        <v>0</v>
      </c>
      <c r="Y63" s="299">
        <f t="shared" si="1"/>
        <v>872163.49000000011</v>
      </c>
      <c r="Z63" s="299">
        <v>207488.02</v>
      </c>
      <c r="AA63" s="299">
        <v>630.96</v>
      </c>
      <c r="AB63" s="299">
        <v>360190.31</v>
      </c>
      <c r="AC63" s="299">
        <v>14033.2</v>
      </c>
      <c r="AD63" s="299">
        <v>90707.75</v>
      </c>
      <c r="AE63" s="299">
        <v>0</v>
      </c>
      <c r="AF63" s="299">
        <v>0</v>
      </c>
      <c r="AG63" s="299">
        <v>42767.68</v>
      </c>
      <c r="AH63" s="299">
        <v>1220</v>
      </c>
      <c r="AI63" s="299">
        <v>1962.96</v>
      </c>
      <c r="AJ63" s="299">
        <v>0</v>
      </c>
      <c r="AK63" s="299">
        <v>20221.400000000001</v>
      </c>
      <c r="AL63" s="299">
        <v>0</v>
      </c>
      <c r="AM63" s="299">
        <v>17486.28</v>
      </c>
      <c r="AN63" s="299">
        <v>2269.3200000000002</v>
      </c>
      <c r="AO63" s="299">
        <v>11775.51</v>
      </c>
      <c r="AP63" s="299">
        <v>15968</v>
      </c>
      <c r="AQ63" s="299">
        <v>12686.11</v>
      </c>
      <c r="AR63" s="299">
        <v>8810.83</v>
      </c>
      <c r="AS63" s="299">
        <v>12343.779999999999</v>
      </c>
      <c r="AT63" s="299">
        <v>0</v>
      </c>
      <c r="AU63" s="299">
        <v>5836.39</v>
      </c>
      <c r="AV63" s="299">
        <v>4659.1400000000003</v>
      </c>
      <c r="AW63" s="299">
        <v>1248.55</v>
      </c>
      <c r="AX63" s="299">
        <v>6434</v>
      </c>
      <c r="AY63" s="299">
        <v>8052.32</v>
      </c>
      <c r="AZ63" s="299">
        <v>0</v>
      </c>
      <c r="BA63" s="299">
        <v>22474.69</v>
      </c>
      <c r="BB63" s="299">
        <v>0</v>
      </c>
      <c r="BC63" s="299">
        <v>0</v>
      </c>
      <c r="BD63" s="299">
        <v>0</v>
      </c>
      <c r="BE63" s="299">
        <f t="shared" si="2"/>
        <v>869267.2</v>
      </c>
      <c r="BF63" s="299">
        <f t="shared" si="3"/>
        <v>2896.2900000001537</v>
      </c>
      <c r="BG63" s="299">
        <v>-289888.95999999973</v>
      </c>
      <c r="BH63" s="299">
        <f t="shared" si="4"/>
        <v>-286992.66999999958</v>
      </c>
      <c r="BI63" s="299">
        <v>129000</v>
      </c>
      <c r="BJ63" s="299">
        <v>52435.77</v>
      </c>
      <c r="BK63" s="299">
        <f t="shared" si="5"/>
        <v>181435.77</v>
      </c>
      <c r="BL63" s="299">
        <v>131016</v>
      </c>
      <c r="BM63" s="299">
        <v>48357.66</v>
      </c>
      <c r="BN63" s="299">
        <f t="shared" si="6"/>
        <v>179373.66</v>
      </c>
      <c r="BO63" s="299">
        <f t="shared" si="7"/>
        <v>2062.109999999986</v>
      </c>
      <c r="BP63" s="299">
        <v>16188.20000000003</v>
      </c>
      <c r="BQ63" s="299">
        <f t="shared" si="8"/>
        <v>18250.310000000016</v>
      </c>
      <c r="BR63" s="299">
        <v>0</v>
      </c>
      <c r="BS63" s="299">
        <v>-286992.66999999963</v>
      </c>
      <c r="BT63" s="299">
        <v>18250.310000000016</v>
      </c>
      <c r="BU63" s="299">
        <f t="shared" si="9"/>
        <v>-268742.35999999958</v>
      </c>
      <c r="BV63" s="299">
        <v>4734.3999999999996</v>
      </c>
      <c r="BW63" s="299">
        <v>57786</v>
      </c>
      <c r="BX63" s="299">
        <v>0</v>
      </c>
      <c r="BY63" s="299">
        <f t="shared" si="10"/>
        <v>62520.4</v>
      </c>
      <c r="BZ63" s="299">
        <v>0</v>
      </c>
      <c r="CA63" s="299">
        <v>270249.56</v>
      </c>
      <c r="CB63" s="299">
        <v>0</v>
      </c>
      <c r="CC63" s="299">
        <v>5044.28</v>
      </c>
      <c r="CD63" s="299">
        <f t="shared" si="11"/>
        <v>275293.84000000003</v>
      </c>
      <c r="CE63" s="299">
        <f t="shared" si="12"/>
        <v>-212773.44000000003</v>
      </c>
      <c r="CF63" s="299">
        <v>225182.84999999998</v>
      </c>
      <c r="CG63" s="299">
        <f t="shared" si="13"/>
        <v>12409.409999999945</v>
      </c>
      <c r="CH63" s="299">
        <v>0</v>
      </c>
      <c r="CI63" s="299">
        <v>12409.410000000003</v>
      </c>
      <c r="CJ63" s="299">
        <f t="shared" si="14"/>
        <v>12409.410000000003</v>
      </c>
    </row>
    <row r="64" spans="1:88" ht="13.8">
      <c r="A64" s="252" t="s">
        <v>1377</v>
      </c>
      <c r="B64" s="288">
        <v>3945</v>
      </c>
      <c r="C64" s="288" t="s">
        <v>765</v>
      </c>
      <c r="D64" s="248" t="s">
        <v>704</v>
      </c>
      <c r="E64" s="380" t="str">
        <f t="shared" si="15"/>
        <v>30EP3945</v>
      </c>
      <c r="F64" s="299">
        <v>2580067.71</v>
      </c>
      <c r="G64" s="299">
        <v>0</v>
      </c>
      <c r="H64" s="299">
        <v>200976.05</v>
      </c>
      <c r="I64" s="299">
        <v>0</v>
      </c>
      <c r="J64" s="299">
        <v>235449</v>
      </c>
      <c r="K64" s="299">
        <v>114194.43</v>
      </c>
      <c r="L64" s="299">
        <v>0</v>
      </c>
      <c r="M64" s="299">
        <v>0</v>
      </c>
      <c r="N64" s="299">
        <v>55688.3</v>
      </c>
      <c r="O64" s="299">
        <v>28848.46</v>
      </c>
      <c r="P64" s="299">
        <v>6300</v>
      </c>
      <c r="Q64" s="299">
        <v>0</v>
      </c>
      <c r="R64" s="299">
        <v>18302.73</v>
      </c>
      <c r="S64" s="299">
        <v>4630.7</v>
      </c>
      <c r="T64" s="299">
        <v>0</v>
      </c>
      <c r="U64" s="299">
        <v>0</v>
      </c>
      <c r="V64" s="299">
        <v>0</v>
      </c>
      <c r="W64" s="299">
        <v>0</v>
      </c>
      <c r="X64" s="299">
        <v>0</v>
      </c>
      <c r="Y64" s="299">
        <f t="shared" si="1"/>
        <v>3244457.38</v>
      </c>
      <c r="Z64" s="299">
        <v>1189825.98</v>
      </c>
      <c r="AA64" s="299">
        <v>1222.6600000000001</v>
      </c>
      <c r="AB64" s="299">
        <v>680019.46</v>
      </c>
      <c r="AC64" s="299">
        <v>41308.769999999997</v>
      </c>
      <c r="AD64" s="299">
        <v>153407.39000000001</v>
      </c>
      <c r="AE64" s="299">
        <v>0</v>
      </c>
      <c r="AF64" s="299">
        <v>138424.41</v>
      </c>
      <c r="AG64" s="299">
        <v>11703.84</v>
      </c>
      <c r="AH64" s="299">
        <v>6427.4</v>
      </c>
      <c r="AI64" s="299">
        <v>5888.89</v>
      </c>
      <c r="AJ64" s="299">
        <v>0</v>
      </c>
      <c r="AK64" s="299">
        <v>62266.92</v>
      </c>
      <c r="AL64" s="299">
        <v>6409.73</v>
      </c>
      <c r="AM64" s="299">
        <v>50891.58</v>
      </c>
      <c r="AN64" s="299">
        <v>15288.59</v>
      </c>
      <c r="AO64" s="299">
        <v>50382.37</v>
      </c>
      <c r="AP64" s="299">
        <v>39127.5</v>
      </c>
      <c r="AQ64" s="299">
        <v>42463.65</v>
      </c>
      <c r="AR64" s="299">
        <v>54858.43</v>
      </c>
      <c r="AS64" s="299">
        <v>70420.579999999987</v>
      </c>
      <c r="AT64" s="299">
        <v>0</v>
      </c>
      <c r="AU64" s="299">
        <v>28220.560000000001</v>
      </c>
      <c r="AV64" s="299">
        <v>12700.82</v>
      </c>
      <c r="AW64" s="299">
        <v>19131.52</v>
      </c>
      <c r="AX64" s="299">
        <v>145912.49</v>
      </c>
      <c r="AY64" s="299">
        <v>98638.73</v>
      </c>
      <c r="AZ64" s="299">
        <v>68096.679999999993</v>
      </c>
      <c r="BA64" s="299">
        <v>17102.400000000001</v>
      </c>
      <c r="BB64" s="299">
        <v>0</v>
      </c>
      <c r="BC64" s="299">
        <v>0</v>
      </c>
      <c r="BD64" s="299">
        <v>0</v>
      </c>
      <c r="BE64" s="299">
        <f t="shared" si="2"/>
        <v>3010141.35</v>
      </c>
      <c r="BF64" s="299">
        <f t="shared" si="3"/>
        <v>234316.0299999998</v>
      </c>
      <c r="BG64" s="299">
        <v>59735.980000000076</v>
      </c>
      <c r="BH64" s="299">
        <f t="shared" si="4"/>
        <v>294052.00999999989</v>
      </c>
      <c r="BI64" s="299">
        <v>0</v>
      </c>
      <c r="BJ64" s="299">
        <v>0</v>
      </c>
      <c r="BK64" s="299">
        <f t="shared" si="5"/>
        <v>0</v>
      </c>
      <c r="BL64" s="299">
        <v>0</v>
      </c>
      <c r="BM64" s="299">
        <v>0</v>
      </c>
      <c r="BN64" s="299">
        <f t="shared" si="6"/>
        <v>0</v>
      </c>
      <c r="BO64" s="299">
        <f t="shared" si="7"/>
        <v>0</v>
      </c>
      <c r="BP64" s="299">
        <v>0</v>
      </c>
      <c r="BQ64" s="299">
        <f t="shared" si="8"/>
        <v>0</v>
      </c>
      <c r="BR64" s="299">
        <v>200039</v>
      </c>
      <c r="BS64" s="299">
        <v>94013.009999999893</v>
      </c>
      <c r="BT64" s="299">
        <v>0</v>
      </c>
      <c r="BU64" s="299">
        <f t="shared" si="9"/>
        <v>294052.00999999989</v>
      </c>
      <c r="BV64" s="299">
        <v>8736.25</v>
      </c>
      <c r="BW64" s="299">
        <v>18556.68</v>
      </c>
      <c r="BX64" s="299">
        <v>0</v>
      </c>
      <c r="BY64" s="299">
        <f t="shared" si="10"/>
        <v>27292.93</v>
      </c>
      <c r="BZ64" s="299">
        <v>0</v>
      </c>
      <c r="CA64" s="299">
        <v>18051.68</v>
      </c>
      <c r="CB64" s="299">
        <v>0</v>
      </c>
      <c r="CC64" s="299">
        <v>8175.73</v>
      </c>
      <c r="CD64" s="299">
        <f t="shared" si="11"/>
        <v>26227.41</v>
      </c>
      <c r="CE64" s="299">
        <f t="shared" si="12"/>
        <v>1065.5200000000004</v>
      </c>
      <c r="CF64" s="299">
        <v>161.40000000000146</v>
      </c>
      <c r="CG64" s="299">
        <f t="shared" si="13"/>
        <v>1226.9200000000019</v>
      </c>
      <c r="CH64" s="299">
        <v>1065.5200000000004</v>
      </c>
      <c r="CI64" s="299">
        <v>161.40000000000146</v>
      </c>
      <c r="CJ64" s="299">
        <f t="shared" si="14"/>
        <v>1226.9200000000019</v>
      </c>
    </row>
    <row r="65" spans="1:88" ht="13.8">
      <c r="A65" s="252" t="s">
        <v>1377</v>
      </c>
      <c r="B65" s="288">
        <v>3022</v>
      </c>
      <c r="C65" s="288" t="s">
        <v>766</v>
      </c>
      <c r="D65" s="248" t="s">
        <v>704</v>
      </c>
      <c r="E65" s="380" t="str">
        <f t="shared" si="15"/>
        <v>30EP3022</v>
      </c>
      <c r="F65" s="299">
        <v>1099519.95</v>
      </c>
      <c r="G65" s="299">
        <v>0</v>
      </c>
      <c r="H65" s="299">
        <v>17344.919999999998</v>
      </c>
      <c r="I65" s="299">
        <v>0</v>
      </c>
      <c r="J65" s="299">
        <v>35795</v>
      </c>
      <c r="K65" s="299">
        <v>56383</v>
      </c>
      <c r="L65" s="299">
        <v>1000</v>
      </c>
      <c r="M65" s="299">
        <v>2080</v>
      </c>
      <c r="N65" s="299">
        <v>38167.71</v>
      </c>
      <c r="O65" s="299">
        <v>16559.599999999999</v>
      </c>
      <c r="P65" s="299">
        <v>22878</v>
      </c>
      <c r="Q65" s="299">
        <v>0</v>
      </c>
      <c r="R65" s="299">
        <v>21251.75</v>
      </c>
      <c r="S65" s="299">
        <v>0</v>
      </c>
      <c r="T65" s="299">
        <v>0</v>
      </c>
      <c r="U65" s="299">
        <v>0</v>
      </c>
      <c r="V65" s="299">
        <v>0</v>
      </c>
      <c r="W65" s="299">
        <v>0</v>
      </c>
      <c r="X65" s="299">
        <v>0</v>
      </c>
      <c r="Y65" s="299">
        <f t="shared" si="1"/>
        <v>1310979.93</v>
      </c>
      <c r="Z65" s="299">
        <v>708173.28</v>
      </c>
      <c r="AA65" s="299">
        <v>3109.41</v>
      </c>
      <c r="AB65" s="299">
        <v>197141.35</v>
      </c>
      <c r="AC65" s="299">
        <v>27578.35</v>
      </c>
      <c r="AD65" s="299">
        <v>67152.479999999996</v>
      </c>
      <c r="AE65" s="299">
        <v>42131.26</v>
      </c>
      <c r="AF65" s="299">
        <v>22033.1</v>
      </c>
      <c r="AG65" s="299">
        <v>4438</v>
      </c>
      <c r="AH65" s="299">
        <v>5352.9</v>
      </c>
      <c r="AI65" s="299">
        <v>5200</v>
      </c>
      <c r="AJ65" s="299">
        <v>352.5</v>
      </c>
      <c r="AK65" s="299">
        <v>4524.75</v>
      </c>
      <c r="AL65" s="299">
        <v>2331.04</v>
      </c>
      <c r="AM65" s="299">
        <v>3407.46</v>
      </c>
      <c r="AN65" s="299">
        <v>4846.63</v>
      </c>
      <c r="AO65" s="299">
        <v>28539.29</v>
      </c>
      <c r="AP65" s="299">
        <v>23702.5</v>
      </c>
      <c r="AQ65" s="299">
        <v>5158.09</v>
      </c>
      <c r="AR65" s="299">
        <v>58833.24</v>
      </c>
      <c r="AS65" s="299">
        <v>25146.230000000003</v>
      </c>
      <c r="AT65" s="299">
        <v>0</v>
      </c>
      <c r="AU65" s="299">
        <v>15586.68</v>
      </c>
      <c r="AV65" s="299">
        <v>5784.34</v>
      </c>
      <c r="AW65" s="299">
        <v>2706.75</v>
      </c>
      <c r="AX65" s="299">
        <v>26794.7</v>
      </c>
      <c r="AY65" s="299">
        <v>3582.46</v>
      </c>
      <c r="AZ65" s="299">
        <v>860</v>
      </c>
      <c r="BA65" s="299">
        <v>13706.03</v>
      </c>
      <c r="BB65" s="299">
        <v>0</v>
      </c>
      <c r="BC65" s="299">
        <v>0</v>
      </c>
      <c r="BD65" s="299">
        <v>0</v>
      </c>
      <c r="BE65" s="299">
        <f t="shared" si="2"/>
        <v>1308172.8199999998</v>
      </c>
      <c r="BF65" s="299">
        <f t="shared" si="3"/>
        <v>2807.1100000001024</v>
      </c>
      <c r="BG65" s="299">
        <v>17069.60000000014</v>
      </c>
      <c r="BH65" s="299">
        <f t="shared" si="4"/>
        <v>19876.710000000243</v>
      </c>
      <c r="BI65" s="299">
        <v>0</v>
      </c>
      <c r="BJ65" s="299">
        <v>0</v>
      </c>
      <c r="BK65" s="299">
        <f t="shared" si="5"/>
        <v>0</v>
      </c>
      <c r="BL65" s="299">
        <v>0</v>
      </c>
      <c r="BM65" s="299">
        <v>0</v>
      </c>
      <c r="BN65" s="299">
        <f t="shared" si="6"/>
        <v>0</v>
      </c>
      <c r="BO65" s="299">
        <f t="shared" si="7"/>
        <v>0</v>
      </c>
      <c r="BP65" s="299">
        <v>0</v>
      </c>
      <c r="BQ65" s="299">
        <f t="shared" si="8"/>
        <v>0</v>
      </c>
      <c r="BR65" s="299">
        <v>3029.37</v>
      </c>
      <c r="BS65" s="299">
        <v>16847.340000000244</v>
      </c>
      <c r="BT65" s="299">
        <v>0</v>
      </c>
      <c r="BU65" s="299">
        <f t="shared" si="9"/>
        <v>19876.710000000243</v>
      </c>
      <c r="BV65" s="299">
        <v>6396.25</v>
      </c>
      <c r="BW65" s="299">
        <v>6211.06</v>
      </c>
      <c r="BX65" s="299">
        <v>0</v>
      </c>
      <c r="BY65" s="299">
        <f t="shared" si="10"/>
        <v>12607.310000000001</v>
      </c>
      <c r="BZ65" s="299">
        <v>0</v>
      </c>
      <c r="CA65" s="299">
        <v>0</v>
      </c>
      <c r="CB65" s="299">
        <v>0</v>
      </c>
      <c r="CC65" s="299">
        <v>12882.95</v>
      </c>
      <c r="CD65" s="299">
        <f t="shared" si="11"/>
        <v>12882.95</v>
      </c>
      <c r="CE65" s="299">
        <f t="shared" si="12"/>
        <v>-275.63999999999942</v>
      </c>
      <c r="CF65" s="299">
        <v>8879.7000000000007</v>
      </c>
      <c r="CG65" s="299">
        <f t="shared" si="13"/>
        <v>8604.0600000000013</v>
      </c>
      <c r="CH65" s="299">
        <v>8604.0600000000013</v>
      </c>
      <c r="CI65" s="299">
        <v>0</v>
      </c>
      <c r="CJ65" s="299">
        <f t="shared" si="14"/>
        <v>8604.0600000000013</v>
      </c>
    </row>
    <row r="66" spans="1:88" ht="13.8">
      <c r="A66" s="252" t="s">
        <v>1377</v>
      </c>
      <c r="B66" s="288">
        <v>2442</v>
      </c>
      <c r="C66" s="288" t="s">
        <v>767</v>
      </c>
      <c r="D66" s="248" t="s">
        <v>704</v>
      </c>
      <c r="E66" s="380" t="str">
        <f t="shared" si="15"/>
        <v>30EP2442</v>
      </c>
      <c r="F66" s="299">
        <v>756760.08</v>
      </c>
      <c r="G66" s="299">
        <v>0</v>
      </c>
      <c r="H66" s="299">
        <v>26074.93</v>
      </c>
      <c r="I66" s="299">
        <v>0</v>
      </c>
      <c r="J66" s="299">
        <v>22725</v>
      </c>
      <c r="K66" s="299">
        <v>40419.93</v>
      </c>
      <c r="L66" s="299">
        <v>0</v>
      </c>
      <c r="M66" s="299">
        <v>0</v>
      </c>
      <c r="N66" s="299">
        <v>43952.69</v>
      </c>
      <c r="O66" s="299">
        <v>16841.46</v>
      </c>
      <c r="P66" s="299">
        <v>0</v>
      </c>
      <c r="Q66" s="299">
        <v>0</v>
      </c>
      <c r="R66" s="299">
        <v>15824</v>
      </c>
      <c r="S66" s="299">
        <v>23471.27</v>
      </c>
      <c r="T66" s="299">
        <v>0</v>
      </c>
      <c r="U66" s="299">
        <v>0</v>
      </c>
      <c r="V66" s="299">
        <v>0</v>
      </c>
      <c r="W66" s="299">
        <v>0</v>
      </c>
      <c r="X66" s="299">
        <v>0</v>
      </c>
      <c r="Y66" s="299">
        <f t="shared" si="1"/>
        <v>946069.3600000001</v>
      </c>
      <c r="Z66" s="299">
        <v>477088.27</v>
      </c>
      <c r="AA66" s="299">
        <v>0</v>
      </c>
      <c r="AB66" s="299">
        <v>181695.45</v>
      </c>
      <c r="AC66" s="299">
        <v>6933.22</v>
      </c>
      <c r="AD66" s="299">
        <v>59715.13</v>
      </c>
      <c r="AE66" s="299">
        <v>0</v>
      </c>
      <c r="AF66" s="299">
        <v>6901.45</v>
      </c>
      <c r="AG66" s="299">
        <v>7332.44</v>
      </c>
      <c r="AH66" s="299">
        <v>2934.63</v>
      </c>
      <c r="AI66" s="299">
        <v>3888.07</v>
      </c>
      <c r="AJ66" s="299">
        <v>0</v>
      </c>
      <c r="AK66" s="299">
        <v>3287.2</v>
      </c>
      <c r="AL66" s="299">
        <v>2331.04</v>
      </c>
      <c r="AM66" s="299">
        <v>16974.66</v>
      </c>
      <c r="AN66" s="299">
        <v>4043.23</v>
      </c>
      <c r="AO66" s="299">
        <v>7911.01</v>
      </c>
      <c r="AP66" s="299">
        <v>20459</v>
      </c>
      <c r="AQ66" s="299">
        <v>5668.43</v>
      </c>
      <c r="AR66" s="299">
        <v>53437.36</v>
      </c>
      <c r="AS66" s="299">
        <v>31509.01</v>
      </c>
      <c r="AT66" s="299">
        <v>0</v>
      </c>
      <c r="AU66" s="299">
        <v>16498.759999999998</v>
      </c>
      <c r="AV66" s="299">
        <v>6859.08</v>
      </c>
      <c r="AW66" s="299">
        <v>2644.56</v>
      </c>
      <c r="AX66" s="299">
        <v>61996.2</v>
      </c>
      <c r="AY66" s="299">
        <v>0</v>
      </c>
      <c r="AZ66" s="299">
        <v>3035.67</v>
      </c>
      <c r="BA66" s="299">
        <v>12319.01</v>
      </c>
      <c r="BB66" s="299">
        <v>0</v>
      </c>
      <c r="BC66" s="299">
        <v>0</v>
      </c>
      <c r="BD66" s="299">
        <v>16736.82</v>
      </c>
      <c r="BE66" s="299">
        <f t="shared" si="2"/>
        <v>1012199.6999999998</v>
      </c>
      <c r="BF66" s="299">
        <f t="shared" si="3"/>
        <v>-66130.339999999735</v>
      </c>
      <c r="BG66" s="299">
        <v>132179.76</v>
      </c>
      <c r="BH66" s="299">
        <f t="shared" si="4"/>
        <v>66049.420000000275</v>
      </c>
      <c r="BI66" s="299">
        <v>0</v>
      </c>
      <c r="BJ66" s="299">
        <v>0</v>
      </c>
      <c r="BK66" s="299">
        <f t="shared" si="5"/>
        <v>0</v>
      </c>
      <c r="BL66" s="299">
        <v>0</v>
      </c>
      <c r="BM66" s="299">
        <v>0</v>
      </c>
      <c r="BN66" s="299">
        <f t="shared" si="6"/>
        <v>0</v>
      </c>
      <c r="BO66" s="299">
        <f t="shared" si="7"/>
        <v>0</v>
      </c>
      <c r="BP66" s="299">
        <v>0</v>
      </c>
      <c r="BQ66" s="299">
        <f t="shared" si="8"/>
        <v>0</v>
      </c>
      <c r="BR66" s="299">
        <v>6000</v>
      </c>
      <c r="BS66" s="299">
        <v>60049.420000000275</v>
      </c>
      <c r="BT66" s="299">
        <v>0</v>
      </c>
      <c r="BU66" s="299">
        <f t="shared" si="9"/>
        <v>66049.420000000275</v>
      </c>
      <c r="BV66" s="299">
        <v>5417.5</v>
      </c>
      <c r="BW66" s="299">
        <v>0</v>
      </c>
      <c r="BX66" s="299">
        <v>16736.82</v>
      </c>
      <c r="BY66" s="299">
        <f t="shared" si="10"/>
        <v>22154.32</v>
      </c>
      <c r="BZ66" s="299">
        <v>0</v>
      </c>
      <c r="CA66" s="299">
        <v>16127.41</v>
      </c>
      <c r="CB66" s="299">
        <v>0</v>
      </c>
      <c r="CC66" s="299">
        <v>6026.91</v>
      </c>
      <c r="CD66" s="299">
        <f t="shared" si="11"/>
        <v>22154.32</v>
      </c>
      <c r="CE66" s="299">
        <f t="shared" si="12"/>
        <v>0</v>
      </c>
      <c r="CF66" s="299">
        <v>0</v>
      </c>
      <c r="CG66" s="299">
        <f t="shared" si="13"/>
        <v>0</v>
      </c>
      <c r="CH66" s="299">
        <v>0</v>
      </c>
      <c r="CI66" s="299">
        <v>0</v>
      </c>
      <c r="CJ66" s="299">
        <f t="shared" si="14"/>
        <v>0</v>
      </c>
    </row>
    <row r="67" spans="1:88" ht="13.8">
      <c r="A67" s="252" t="s">
        <v>1377</v>
      </c>
      <c r="B67" s="288">
        <v>2331</v>
      </c>
      <c r="C67" s="288" t="s">
        <v>768</v>
      </c>
      <c r="D67" s="248" t="s">
        <v>704</v>
      </c>
      <c r="E67" s="380" t="str">
        <f t="shared" si="15"/>
        <v>30EP2331</v>
      </c>
      <c r="F67" s="299">
        <v>661612.74</v>
      </c>
      <c r="G67" s="299">
        <v>0</v>
      </c>
      <c r="H67" s="299">
        <v>69964.759999999995</v>
      </c>
      <c r="I67" s="299">
        <v>0</v>
      </c>
      <c r="J67" s="299">
        <v>60255</v>
      </c>
      <c r="K67" s="299">
        <v>15478</v>
      </c>
      <c r="L67" s="299">
        <v>0</v>
      </c>
      <c r="M67" s="299">
        <v>0</v>
      </c>
      <c r="N67" s="299">
        <v>2919.79</v>
      </c>
      <c r="O67" s="299">
        <v>3670.96</v>
      </c>
      <c r="P67" s="299">
        <v>1610</v>
      </c>
      <c r="Q67" s="299">
        <v>922.35</v>
      </c>
      <c r="R67" s="299">
        <v>3999.5</v>
      </c>
      <c r="S67" s="299">
        <v>12633.09</v>
      </c>
      <c r="T67" s="299">
        <v>0</v>
      </c>
      <c r="U67" s="299">
        <v>0</v>
      </c>
      <c r="V67" s="299">
        <v>0</v>
      </c>
      <c r="W67" s="299">
        <v>0</v>
      </c>
      <c r="X67" s="299">
        <v>0</v>
      </c>
      <c r="Y67" s="299">
        <f t="shared" si="1"/>
        <v>833066.19</v>
      </c>
      <c r="Z67" s="299">
        <v>306928.96000000002</v>
      </c>
      <c r="AA67" s="299">
        <v>8454.36</v>
      </c>
      <c r="AB67" s="299">
        <v>241507.29</v>
      </c>
      <c r="AC67" s="299">
        <v>18271.509999999998</v>
      </c>
      <c r="AD67" s="299">
        <v>45552.82</v>
      </c>
      <c r="AE67" s="299">
        <v>19132.16</v>
      </c>
      <c r="AF67" s="299">
        <v>13891.55</v>
      </c>
      <c r="AG67" s="299">
        <v>9773.34</v>
      </c>
      <c r="AH67" s="299">
        <v>2063.39</v>
      </c>
      <c r="AI67" s="299">
        <v>1800</v>
      </c>
      <c r="AJ67" s="299">
        <v>778.75</v>
      </c>
      <c r="AK67" s="299">
        <v>2231.14</v>
      </c>
      <c r="AL67" s="299">
        <v>2013.74</v>
      </c>
      <c r="AM67" s="299">
        <v>7266.58</v>
      </c>
      <c r="AN67" s="299">
        <v>1184.1199999999999</v>
      </c>
      <c r="AO67" s="299">
        <v>11861.27</v>
      </c>
      <c r="AP67" s="299">
        <v>13473</v>
      </c>
      <c r="AQ67" s="299">
        <v>8245.9699999999993</v>
      </c>
      <c r="AR67" s="299">
        <v>47551.47</v>
      </c>
      <c r="AS67" s="299">
        <v>27730.75</v>
      </c>
      <c r="AT67" s="299">
        <v>0</v>
      </c>
      <c r="AU67" s="299">
        <v>5177.53</v>
      </c>
      <c r="AV67" s="299">
        <v>2290.92</v>
      </c>
      <c r="AW67" s="299">
        <v>610.96</v>
      </c>
      <c r="AX67" s="299">
        <v>11474.88</v>
      </c>
      <c r="AY67" s="299">
        <v>0</v>
      </c>
      <c r="AZ67" s="299">
        <v>19320</v>
      </c>
      <c r="BA67" s="299">
        <v>15594.52</v>
      </c>
      <c r="BB67" s="299">
        <v>0</v>
      </c>
      <c r="BC67" s="299">
        <v>0</v>
      </c>
      <c r="BD67" s="299">
        <v>0</v>
      </c>
      <c r="BE67" s="299">
        <f t="shared" si="2"/>
        <v>844180.98</v>
      </c>
      <c r="BF67" s="299">
        <f t="shared" si="3"/>
        <v>-11114.790000000037</v>
      </c>
      <c r="BG67" s="299">
        <v>85230.859999999666</v>
      </c>
      <c r="BH67" s="299">
        <f t="shared" si="4"/>
        <v>74116.069999999629</v>
      </c>
      <c r="BI67" s="299">
        <v>0</v>
      </c>
      <c r="BJ67" s="299">
        <v>0</v>
      </c>
      <c r="BK67" s="299">
        <f t="shared" si="5"/>
        <v>0</v>
      </c>
      <c r="BL67" s="299">
        <v>0</v>
      </c>
      <c r="BM67" s="299">
        <v>0</v>
      </c>
      <c r="BN67" s="299">
        <f t="shared" si="6"/>
        <v>0</v>
      </c>
      <c r="BO67" s="299">
        <f t="shared" si="7"/>
        <v>0</v>
      </c>
      <c r="BP67" s="299">
        <v>0</v>
      </c>
      <c r="BQ67" s="299">
        <f t="shared" si="8"/>
        <v>0</v>
      </c>
      <c r="BR67" s="299">
        <v>8563.92</v>
      </c>
      <c r="BS67" s="299">
        <v>65552.14999999963</v>
      </c>
      <c r="BT67" s="299">
        <v>0</v>
      </c>
      <c r="BU67" s="299">
        <f t="shared" si="9"/>
        <v>74116.069999999629</v>
      </c>
      <c r="BV67" s="299">
        <v>4823.5</v>
      </c>
      <c r="BW67" s="299">
        <v>0</v>
      </c>
      <c r="BX67" s="299">
        <v>0</v>
      </c>
      <c r="BY67" s="299">
        <f t="shared" si="10"/>
        <v>4823.5</v>
      </c>
      <c r="BZ67" s="299">
        <v>0</v>
      </c>
      <c r="CA67" s="299">
        <v>0</v>
      </c>
      <c r="CB67" s="299">
        <v>0</v>
      </c>
      <c r="CC67" s="299">
        <v>0</v>
      </c>
      <c r="CD67" s="299">
        <f t="shared" si="11"/>
        <v>0</v>
      </c>
      <c r="CE67" s="299">
        <f t="shared" si="12"/>
        <v>4823.5</v>
      </c>
      <c r="CF67" s="299">
        <v>971.14999999999964</v>
      </c>
      <c r="CG67" s="299">
        <f t="shared" si="13"/>
        <v>5794.65</v>
      </c>
      <c r="CH67" s="299">
        <v>5794.65</v>
      </c>
      <c r="CI67" s="299">
        <v>0</v>
      </c>
      <c r="CJ67" s="299">
        <f t="shared" si="14"/>
        <v>5794.65</v>
      </c>
    </row>
    <row r="68" spans="1:88" ht="13.8">
      <c r="A68" s="252" t="s">
        <v>1377</v>
      </c>
      <c r="B68" s="288">
        <v>1000</v>
      </c>
      <c r="C68" s="288" t="s">
        <v>1373</v>
      </c>
      <c r="D68" s="248" t="s">
        <v>720</v>
      </c>
      <c r="E68" s="380" t="str">
        <f t="shared" ref="E68:E100" si="16">_xlfn.CONCAT("30",IF(D68="Primary","EP",IF(D68="Nursery","EN","ES")),B68)</f>
        <v>30EN1000</v>
      </c>
      <c r="F68" s="299">
        <v>364031.41</v>
      </c>
      <c r="G68" s="299">
        <v>0</v>
      </c>
      <c r="H68" s="299">
        <v>2047.28</v>
      </c>
      <c r="I68" s="299">
        <v>0</v>
      </c>
      <c r="J68" s="299">
        <v>0</v>
      </c>
      <c r="K68" s="299">
        <v>0</v>
      </c>
      <c r="L68" s="299">
        <v>0</v>
      </c>
      <c r="M68" s="299">
        <v>0</v>
      </c>
      <c r="N68" s="299">
        <v>0</v>
      </c>
      <c r="O68" s="299">
        <v>8718.2000000000007</v>
      </c>
      <c r="P68" s="299">
        <v>0</v>
      </c>
      <c r="Q68" s="299">
        <v>0</v>
      </c>
      <c r="R68" s="299">
        <v>1951</v>
      </c>
      <c r="S68" s="299">
        <v>0</v>
      </c>
      <c r="T68" s="299">
        <v>0</v>
      </c>
      <c r="U68" s="299">
        <v>0</v>
      </c>
      <c r="V68" s="299">
        <v>0</v>
      </c>
      <c r="W68" s="299">
        <v>0</v>
      </c>
      <c r="X68" s="299">
        <v>0</v>
      </c>
      <c r="Y68" s="299">
        <f t="shared" si="1"/>
        <v>376747.89</v>
      </c>
      <c r="Z68" s="299">
        <v>171507.4</v>
      </c>
      <c r="AA68" s="299">
        <v>0</v>
      </c>
      <c r="AB68" s="299">
        <v>105642.97</v>
      </c>
      <c r="AC68" s="299">
        <v>9076.67</v>
      </c>
      <c r="AD68" s="299">
        <v>40523.67</v>
      </c>
      <c r="AE68" s="299">
        <v>5939.76</v>
      </c>
      <c r="AF68" s="299">
        <v>0</v>
      </c>
      <c r="AG68" s="299">
        <v>1548.42</v>
      </c>
      <c r="AH68" s="299">
        <v>0</v>
      </c>
      <c r="AI68" s="299">
        <v>0</v>
      </c>
      <c r="AJ68" s="299">
        <v>0</v>
      </c>
      <c r="AK68" s="299">
        <v>865.41</v>
      </c>
      <c r="AL68" s="299">
        <v>93.2</v>
      </c>
      <c r="AM68" s="299">
        <v>11721.94</v>
      </c>
      <c r="AN68" s="299">
        <v>654.41</v>
      </c>
      <c r="AO68" s="299">
        <v>6056.05</v>
      </c>
      <c r="AP68" s="299">
        <v>0</v>
      </c>
      <c r="AQ68" s="299">
        <v>2078.1999999999998</v>
      </c>
      <c r="AR68" s="299">
        <v>656.99</v>
      </c>
      <c r="AS68" s="299">
        <v>6442.68</v>
      </c>
      <c r="AT68" s="299">
        <v>0</v>
      </c>
      <c r="AU68" s="299">
        <v>3024.4</v>
      </c>
      <c r="AV68" s="299">
        <v>1705.55</v>
      </c>
      <c r="AW68" s="299">
        <v>0</v>
      </c>
      <c r="AX68" s="299">
        <v>3141.6</v>
      </c>
      <c r="AY68" s="299">
        <v>0</v>
      </c>
      <c r="AZ68" s="299">
        <v>0</v>
      </c>
      <c r="BA68" s="299">
        <v>5176.8900000000003</v>
      </c>
      <c r="BB68" s="299">
        <v>0</v>
      </c>
      <c r="BC68" s="299">
        <v>0</v>
      </c>
      <c r="BD68" s="299">
        <v>0</v>
      </c>
      <c r="BE68" s="299">
        <f t="shared" si="2"/>
        <v>375856.2099999999</v>
      </c>
      <c r="BF68" s="299">
        <f t="shared" si="3"/>
        <v>891.68000000010943</v>
      </c>
      <c r="BG68" s="299">
        <v>206678.69999999998</v>
      </c>
      <c r="BH68" s="299">
        <f t="shared" si="4"/>
        <v>207570.38000000009</v>
      </c>
      <c r="BI68" s="299">
        <v>0</v>
      </c>
      <c r="BJ68" s="299">
        <v>0</v>
      </c>
      <c r="BK68" s="299">
        <f t="shared" si="5"/>
        <v>0</v>
      </c>
      <c r="BL68" s="299">
        <v>0</v>
      </c>
      <c r="BM68" s="299">
        <v>0</v>
      </c>
      <c r="BN68" s="299">
        <f t="shared" si="6"/>
        <v>0</v>
      </c>
      <c r="BO68" s="299">
        <f t="shared" si="7"/>
        <v>0</v>
      </c>
      <c r="BP68" s="299">
        <v>0</v>
      </c>
      <c r="BQ68" s="299">
        <f t="shared" si="8"/>
        <v>0</v>
      </c>
      <c r="BR68" s="299">
        <v>0</v>
      </c>
      <c r="BS68" s="299">
        <v>207570.38</v>
      </c>
      <c r="BT68" s="299">
        <v>0</v>
      </c>
      <c r="BU68" s="299">
        <f t="shared" si="9"/>
        <v>207570.38000000009</v>
      </c>
      <c r="BV68" s="299">
        <v>4614.25</v>
      </c>
      <c r="BW68" s="299">
        <v>0</v>
      </c>
      <c r="BX68" s="299">
        <v>0</v>
      </c>
      <c r="BY68" s="299">
        <f t="shared" si="10"/>
        <v>4614.25</v>
      </c>
      <c r="BZ68" s="299">
        <v>0</v>
      </c>
      <c r="CA68" s="299">
        <v>3291.67</v>
      </c>
      <c r="CB68" s="299">
        <v>0</v>
      </c>
      <c r="CC68" s="299">
        <v>0</v>
      </c>
      <c r="CD68" s="299">
        <f t="shared" si="11"/>
        <v>3291.67</v>
      </c>
      <c r="CE68" s="299">
        <f t="shared" si="12"/>
        <v>1322.58</v>
      </c>
      <c r="CF68" s="299">
        <v>4513.09</v>
      </c>
      <c r="CG68" s="299">
        <f t="shared" si="13"/>
        <v>5835.67</v>
      </c>
      <c r="CH68" s="299">
        <v>5835.67</v>
      </c>
      <c r="CI68" s="299">
        <v>0</v>
      </c>
      <c r="CJ68" s="299">
        <f t="shared" si="14"/>
        <v>5835.67</v>
      </c>
    </row>
    <row r="69" spans="1:88" ht="13.8">
      <c r="A69" s="252" t="s">
        <v>1377</v>
      </c>
      <c r="B69" s="288">
        <v>2446</v>
      </c>
      <c r="C69" s="288" t="s">
        <v>1374</v>
      </c>
      <c r="D69" s="248" t="s">
        <v>704</v>
      </c>
      <c r="E69" s="380" t="str">
        <f t="shared" si="16"/>
        <v>30EP2446</v>
      </c>
      <c r="F69" s="299">
        <v>2739687.54</v>
      </c>
      <c r="G69" s="299">
        <v>0</v>
      </c>
      <c r="H69" s="299">
        <v>86092.89</v>
      </c>
      <c r="I69" s="299">
        <v>0</v>
      </c>
      <c r="J69" s="299">
        <v>236205</v>
      </c>
      <c r="K69" s="299">
        <v>91973.39</v>
      </c>
      <c r="L69" s="299">
        <v>1850</v>
      </c>
      <c r="M69" s="299">
        <v>0</v>
      </c>
      <c r="N69" s="299">
        <v>245139.27</v>
      </c>
      <c r="O69" s="299">
        <v>39714.44</v>
      </c>
      <c r="P69" s="299">
        <v>6750</v>
      </c>
      <c r="Q69" s="299">
        <v>0</v>
      </c>
      <c r="R69" s="299">
        <v>31297</v>
      </c>
      <c r="S69" s="299">
        <v>1807.53</v>
      </c>
      <c r="T69" s="299">
        <v>0</v>
      </c>
      <c r="U69" s="299">
        <v>0</v>
      </c>
      <c r="V69" s="299">
        <v>0</v>
      </c>
      <c r="W69" s="299">
        <v>0</v>
      </c>
      <c r="X69" s="299">
        <v>0</v>
      </c>
      <c r="Y69" s="299">
        <f t="shared" ref="Y69:Y127" si="17">SUBTOTAL(9,F69:X69)</f>
        <v>3480517.06</v>
      </c>
      <c r="Z69" s="299">
        <v>1705100.95</v>
      </c>
      <c r="AA69" s="299">
        <v>0</v>
      </c>
      <c r="AB69" s="299">
        <v>641402.03</v>
      </c>
      <c r="AC69" s="299">
        <v>33583.69</v>
      </c>
      <c r="AD69" s="299">
        <v>207269.19</v>
      </c>
      <c r="AE69" s="299">
        <v>86537.64</v>
      </c>
      <c r="AF69" s="299">
        <v>101706.98</v>
      </c>
      <c r="AG69" s="299">
        <v>12826.02</v>
      </c>
      <c r="AH69" s="299">
        <v>11219</v>
      </c>
      <c r="AI69" s="299">
        <v>9950</v>
      </c>
      <c r="AJ69" s="299">
        <v>0</v>
      </c>
      <c r="AK69" s="299">
        <v>30156.05</v>
      </c>
      <c r="AL69" s="299">
        <v>2117.62</v>
      </c>
      <c r="AM69" s="299">
        <v>85560.44</v>
      </c>
      <c r="AN69" s="299">
        <v>5620.79</v>
      </c>
      <c r="AO69" s="299">
        <v>48154.76</v>
      </c>
      <c r="AP69" s="299">
        <v>61050</v>
      </c>
      <c r="AQ69" s="299">
        <v>22308.240000000002</v>
      </c>
      <c r="AR69" s="299">
        <v>46540.009999999995</v>
      </c>
      <c r="AS69" s="299">
        <v>14192.5</v>
      </c>
      <c r="AT69" s="299">
        <v>0</v>
      </c>
      <c r="AU69" s="299">
        <v>27088.400000000001</v>
      </c>
      <c r="AV69" s="299">
        <v>12182.48</v>
      </c>
      <c r="AW69" s="299">
        <v>3685.31</v>
      </c>
      <c r="AX69" s="299">
        <v>88473.700000000012</v>
      </c>
      <c r="AY69" s="299">
        <v>0</v>
      </c>
      <c r="AZ69" s="299">
        <v>2720</v>
      </c>
      <c r="BA69" s="299">
        <v>49707.199999999997</v>
      </c>
      <c r="BB69" s="299">
        <v>0</v>
      </c>
      <c r="BC69" s="299">
        <v>0</v>
      </c>
      <c r="BD69" s="299">
        <v>35735.35</v>
      </c>
      <c r="BE69" s="299">
        <f t="shared" ref="BE69:BE127" si="18">SUBTOTAL(9,Z69:BD69)</f>
        <v>3344888.35</v>
      </c>
      <c r="BF69" s="299">
        <f t="shared" ref="BF69:BF127" si="19">Y69-BE69</f>
        <v>135628.70999999996</v>
      </c>
      <c r="BG69" s="299">
        <v>773128.26999999967</v>
      </c>
      <c r="BH69" s="299">
        <f t="shared" ref="BH69:BH127" si="20">BG69+BF69</f>
        <v>908756.97999999963</v>
      </c>
      <c r="BI69" s="299">
        <v>0</v>
      </c>
      <c r="BJ69" s="299">
        <v>0</v>
      </c>
      <c r="BK69" s="299">
        <f t="shared" ref="BK69:BK127" si="21">SUBTOTAL(9,BI69:BJ69)</f>
        <v>0</v>
      </c>
      <c r="BL69" s="299">
        <v>0</v>
      </c>
      <c r="BM69" s="299">
        <v>0</v>
      </c>
      <c r="BN69" s="299">
        <f t="shared" ref="BN69:BN100" si="22">SUBTOTAL(9,BL69:BM69)</f>
        <v>0</v>
      </c>
      <c r="BO69" s="299">
        <f t="shared" ref="BO69:BO127" si="23">BK69-BN69</f>
        <v>0</v>
      </c>
      <c r="BP69" s="299">
        <v>0</v>
      </c>
      <c r="BQ69" s="299">
        <f t="shared" ref="BQ69:BQ127" si="24">SUBTOTAL(9,BO69:BP69)</f>
        <v>0</v>
      </c>
      <c r="BR69" s="299">
        <v>168230</v>
      </c>
      <c r="BS69" s="299">
        <v>694197.18999999971</v>
      </c>
      <c r="BT69" s="299">
        <v>0</v>
      </c>
      <c r="BU69" s="299">
        <f t="shared" ref="BU69:BU127" si="25">BQ69+BH69</f>
        <v>908756.97999999963</v>
      </c>
      <c r="BV69" s="299">
        <v>13097.38</v>
      </c>
      <c r="BW69" s="299">
        <v>0</v>
      </c>
      <c r="BX69" s="299">
        <v>35735.35</v>
      </c>
      <c r="BY69" s="299">
        <f t="shared" ref="BY69:BY127" si="26">SUBTOTAL(9,BV69:BX69)</f>
        <v>48832.729999999996</v>
      </c>
      <c r="BZ69" s="299">
        <v>0</v>
      </c>
      <c r="CA69" s="299">
        <v>50672.909999999996</v>
      </c>
      <c r="CB69" s="299">
        <v>0</v>
      </c>
      <c r="CC69" s="299">
        <v>0</v>
      </c>
      <c r="CD69" s="299">
        <f t="shared" ref="CD69:CD127" si="27">SUBTOTAL(9,BZ69:CC69)</f>
        <v>50672.909999999996</v>
      </c>
      <c r="CE69" s="299">
        <f t="shared" ref="CE69:CE127" si="28">BY69-CD69</f>
        <v>-1840.1800000000003</v>
      </c>
      <c r="CF69" s="299">
        <v>7675.85</v>
      </c>
      <c r="CG69" s="299">
        <f t="shared" ref="CG69:CG127" si="29">CF69+CE69</f>
        <v>5835.67</v>
      </c>
      <c r="CH69" s="299">
        <v>5835.67</v>
      </c>
      <c r="CI69" s="299">
        <v>1.1641521080463235E-12</v>
      </c>
      <c r="CJ69" s="299">
        <f t="shared" ref="CJ69:CJ127" si="30">SUM(CH69:CI69)</f>
        <v>5835.670000000001</v>
      </c>
    </row>
    <row r="70" spans="1:88" ht="13.8">
      <c r="A70" s="252" t="s">
        <v>1377</v>
      </c>
      <c r="B70" s="288"/>
      <c r="C70" s="288"/>
      <c r="D70" s="248" t="s">
        <v>704</v>
      </c>
      <c r="E70" s="380" t="str">
        <f t="shared" si="16"/>
        <v>30EP</v>
      </c>
      <c r="F70" s="299" t="e">
        <v>#N/A</v>
      </c>
      <c r="G70" s="299" t="e">
        <v>#N/A</v>
      </c>
      <c r="H70" s="299" t="e">
        <v>#N/A</v>
      </c>
      <c r="I70" s="299" t="e">
        <v>#N/A</v>
      </c>
      <c r="J70" s="299" t="e">
        <v>#N/A</v>
      </c>
      <c r="K70" s="299" t="e">
        <v>#N/A</v>
      </c>
      <c r="L70" s="299" t="e">
        <v>#N/A</v>
      </c>
      <c r="M70" s="299" t="e">
        <v>#N/A</v>
      </c>
      <c r="N70" s="299" t="e">
        <v>#N/A</v>
      </c>
      <c r="O70" s="299" t="e">
        <v>#N/A</v>
      </c>
      <c r="P70" s="299" t="e">
        <v>#N/A</v>
      </c>
      <c r="Q70" s="299" t="e">
        <v>#N/A</v>
      </c>
      <c r="R70" s="299" t="e">
        <v>#N/A</v>
      </c>
      <c r="S70" s="299" t="e">
        <v>#N/A</v>
      </c>
      <c r="T70" s="299" t="e">
        <v>#N/A</v>
      </c>
      <c r="U70" s="299" t="e">
        <v>#N/A</v>
      </c>
      <c r="V70" s="299" t="e">
        <v>#N/A</v>
      </c>
      <c r="W70" s="299" t="e">
        <v>#N/A</v>
      </c>
      <c r="X70" s="299" t="e">
        <v>#N/A</v>
      </c>
      <c r="Y70" s="299" t="e">
        <f t="shared" si="17"/>
        <v>#N/A</v>
      </c>
      <c r="Z70" s="299" t="e">
        <v>#N/A</v>
      </c>
      <c r="AA70" s="299" t="e">
        <v>#N/A</v>
      </c>
      <c r="AB70" s="299" t="e">
        <v>#N/A</v>
      </c>
      <c r="AC70" s="299" t="e">
        <v>#N/A</v>
      </c>
      <c r="AD70" s="299" t="e">
        <v>#N/A</v>
      </c>
      <c r="AE70" s="299" t="e">
        <v>#N/A</v>
      </c>
      <c r="AF70" s="299" t="e">
        <v>#N/A</v>
      </c>
      <c r="AG70" s="299" t="e">
        <v>#N/A</v>
      </c>
      <c r="AH70" s="299" t="e">
        <v>#N/A</v>
      </c>
      <c r="AI70" s="299" t="e">
        <v>#N/A</v>
      </c>
      <c r="AJ70" s="299" t="e">
        <v>#N/A</v>
      </c>
      <c r="AK70" s="299" t="e">
        <v>#N/A</v>
      </c>
      <c r="AL70" s="299" t="e">
        <v>#N/A</v>
      </c>
      <c r="AM70" s="299" t="e">
        <v>#N/A</v>
      </c>
      <c r="AN70" s="299" t="e">
        <v>#N/A</v>
      </c>
      <c r="AO70" s="299" t="e">
        <v>#N/A</v>
      </c>
      <c r="AP70" s="299" t="e">
        <v>#N/A</v>
      </c>
      <c r="AQ70" s="299" t="e">
        <v>#N/A</v>
      </c>
      <c r="AR70" s="299" t="e">
        <v>#N/A</v>
      </c>
      <c r="AS70" s="299" t="e">
        <v>#N/A</v>
      </c>
      <c r="AT70" s="299" t="e">
        <v>#N/A</v>
      </c>
      <c r="AU70" s="299" t="e">
        <v>#N/A</v>
      </c>
      <c r="AV70" s="299" t="e">
        <v>#N/A</v>
      </c>
      <c r="AW70" s="299" t="e">
        <v>#N/A</v>
      </c>
      <c r="AX70" s="299" t="e">
        <v>#N/A</v>
      </c>
      <c r="AY70" s="299" t="e">
        <v>#N/A</v>
      </c>
      <c r="AZ70" s="299" t="e">
        <v>#N/A</v>
      </c>
      <c r="BA70" s="299" t="e">
        <v>#N/A</v>
      </c>
      <c r="BB70" s="299" t="e">
        <v>#N/A</v>
      </c>
      <c r="BC70" s="299" t="e">
        <v>#N/A</v>
      </c>
      <c r="BD70" s="299" t="e">
        <v>#N/A</v>
      </c>
      <c r="BE70" s="299" t="e">
        <f t="shared" si="18"/>
        <v>#N/A</v>
      </c>
      <c r="BF70" s="299" t="e">
        <f t="shared" si="19"/>
        <v>#N/A</v>
      </c>
      <c r="BG70" s="299" t="e">
        <v>#N/A</v>
      </c>
      <c r="BH70" s="299" t="e">
        <f t="shared" si="20"/>
        <v>#N/A</v>
      </c>
      <c r="BI70" s="299" t="e">
        <v>#N/A</v>
      </c>
      <c r="BJ70" s="299" t="e">
        <v>#N/A</v>
      </c>
      <c r="BK70" s="299" t="e">
        <f t="shared" si="21"/>
        <v>#N/A</v>
      </c>
      <c r="BL70" s="299" t="e">
        <v>#N/A</v>
      </c>
      <c r="BM70" s="299" t="e">
        <v>#N/A</v>
      </c>
      <c r="BN70" s="299" t="e">
        <f t="shared" si="22"/>
        <v>#N/A</v>
      </c>
      <c r="BO70" s="299" t="e">
        <f t="shared" si="23"/>
        <v>#N/A</v>
      </c>
      <c r="BP70" s="299" t="e">
        <v>#N/A</v>
      </c>
      <c r="BQ70" s="299" t="e">
        <f t="shared" si="24"/>
        <v>#N/A</v>
      </c>
      <c r="BR70" s="299" t="e">
        <v>#N/A</v>
      </c>
      <c r="BS70" s="299" t="e">
        <v>#N/A</v>
      </c>
      <c r="BT70" s="299" t="e">
        <v>#N/A</v>
      </c>
      <c r="BU70" s="299" t="e">
        <f t="shared" si="25"/>
        <v>#N/A</v>
      </c>
      <c r="BV70" s="299" t="e">
        <v>#N/A</v>
      </c>
      <c r="BW70" s="299" t="e">
        <v>#N/A</v>
      </c>
      <c r="BX70" s="299" t="e">
        <v>#N/A</v>
      </c>
      <c r="BY70" s="299" t="e">
        <f t="shared" si="26"/>
        <v>#N/A</v>
      </c>
      <c r="BZ70" s="299" t="e">
        <v>#N/A</v>
      </c>
      <c r="CA70" s="299" t="e">
        <v>#N/A</v>
      </c>
      <c r="CB70" s="299" t="e">
        <v>#N/A</v>
      </c>
      <c r="CC70" s="299" t="e">
        <v>#N/A</v>
      </c>
      <c r="CD70" s="299" t="e">
        <f t="shared" si="27"/>
        <v>#N/A</v>
      </c>
      <c r="CE70" s="299" t="e">
        <f t="shared" si="28"/>
        <v>#N/A</v>
      </c>
      <c r="CF70" s="299" t="e">
        <v>#N/A</v>
      </c>
      <c r="CG70" s="299" t="e">
        <f t="shared" si="29"/>
        <v>#N/A</v>
      </c>
      <c r="CH70" s="299" t="e">
        <v>#N/A</v>
      </c>
      <c r="CI70" s="299" t="e">
        <v>#N/A</v>
      </c>
      <c r="CJ70" s="299" t="e">
        <f t="shared" si="30"/>
        <v>#N/A</v>
      </c>
    </row>
    <row r="71" spans="1:88" ht="13.8">
      <c r="A71" s="252" t="s">
        <v>1377</v>
      </c>
      <c r="B71" s="288">
        <v>3317</v>
      </c>
      <c r="C71" s="288" t="s">
        <v>769</v>
      </c>
      <c r="D71" s="248" t="s">
        <v>704</v>
      </c>
      <c r="E71" s="380" t="str">
        <f t="shared" si="16"/>
        <v>30EP3317</v>
      </c>
      <c r="F71" s="299">
        <v>875835.69</v>
      </c>
      <c r="G71" s="299">
        <v>0</v>
      </c>
      <c r="H71" s="299">
        <v>25277.63</v>
      </c>
      <c r="I71" s="299">
        <v>0</v>
      </c>
      <c r="J71" s="299">
        <v>42720</v>
      </c>
      <c r="K71" s="299">
        <v>79910.289999999994</v>
      </c>
      <c r="L71" s="299">
        <v>4050.01</v>
      </c>
      <c r="M71" s="299">
        <v>3558.55</v>
      </c>
      <c r="N71" s="299">
        <v>60756.83</v>
      </c>
      <c r="O71" s="299">
        <v>724.17</v>
      </c>
      <c r="P71" s="299">
        <v>11155</v>
      </c>
      <c r="Q71" s="299">
        <v>9430</v>
      </c>
      <c r="R71" s="299">
        <v>24837</v>
      </c>
      <c r="S71" s="299">
        <v>9358.89</v>
      </c>
      <c r="T71" s="299">
        <v>0</v>
      </c>
      <c r="U71" s="299">
        <v>0</v>
      </c>
      <c r="V71" s="299">
        <v>0</v>
      </c>
      <c r="W71" s="299">
        <v>0</v>
      </c>
      <c r="X71" s="299">
        <v>0</v>
      </c>
      <c r="Y71" s="299">
        <f t="shared" si="17"/>
        <v>1147614.0599999998</v>
      </c>
      <c r="Z71" s="299">
        <v>582189.51</v>
      </c>
      <c r="AA71" s="299">
        <v>0</v>
      </c>
      <c r="AB71" s="299">
        <v>306537.90999999997</v>
      </c>
      <c r="AC71" s="299">
        <v>28565.13</v>
      </c>
      <c r="AD71" s="299">
        <v>50650.25</v>
      </c>
      <c r="AE71" s="299">
        <v>54306.879999999997</v>
      </c>
      <c r="AF71" s="299">
        <v>26329.69</v>
      </c>
      <c r="AG71" s="299">
        <v>438</v>
      </c>
      <c r="AH71" s="299">
        <v>5855</v>
      </c>
      <c r="AI71" s="299">
        <v>3875</v>
      </c>
      <c r="AJ71" s="299">
        <v>0</v>
      </c>
      <c r="AK71" s="299">
        <v>10807.72</v>
      </c>
      <c r="AL71" s="299">
        <v>0</v>
      </c>
      <c r="AM71" s="299">
        <v>4215.1899999999996</v>
      </c>
      <c r="AN71" s="299">
        <v>2786.31</v>
      </c>
      <c r="AO71" s="299">
        <v>15767.04</v>
      </c>
      <c r="AP71" s="299">
        <v>3143.7</v>
      </c>
      <c r="AQ71" s="299">
        <v>3495.49</v>
      </c>
      <c r="AR71" s="299">
        <v>28945.45</v>
      </c>
      <c r="AS71" s="299">
        <v>26756.33</v>
      </c>
      <c r="AT71" s="299">
        <v>0</v>
      </c>
      <c r="AU71" s="299">
        <v>3867.34</v>
      </c>
      <c r="AV71" s="299">
        <v>4600.71</v>
      </c>
      <c r="AW71" s="299">
        <v>392</v>
      </c>
      <c r="AX71" s="299">
        <v>33169.42</v>
      </c>
      <c r="AY71" s="299">
        <v>0</v>
      </c>
      <c r="AZ71" s="299">
        <v>16634.25</v>
      </c>
      <c r="BA71" s="299">
        <v>10414.57</v>
      </c>
      <c r="BB71" s="299">
        <v>0</v>
      </c>
      <c r="BC71" s="299">
        <v>0</v>
      </c>
      <c r="BD71" s="299">
        <v>0</v>
      </c>
      <c r="BE71" s="299">
        <f t="shared" si="18"/>
        <v>1223742.8899999999</v>
      </c>
      <c r="BF71" s="299">
        <f t="shared" si="19"/>
        <v>-76128.830000000075</v>
      </c>
      <c r="BG71" s="299">
        <v>-214394.30999999979</v>
      </c>
      <c r="BH71" s="299">
        <f t="shared" si="20"/>
        <v>-290523.1399999999</v>
      </c>
      <c r="BI71" s="299">
        <v>0</v>
      </c>
      <c r="BJ71" s="299">
        <v>0</v>
      </c>
      <c r="BK71" s="299">
        <f t="shared" si="21"/>
        <v>0</v>
      </c>
      <c r="BL71" s="299">
        <v>0</v>
      </c>
      <c r="BM71" s="299">
        <v>0</v>
      </c>
      <c r="BN71" s="299">
        <f t="shared" si="22"/>
        <v>0</v>
      </c>
      <c r="BO71" s="299">
        <f t="shared" si="23"/>
        <v>0</v>
      </c>
      <c r="BP71" s="299">
        <v>0</v>
      </c>
      <c r="BQ71" s="299">
        <f t="shared" si="24"/>
        <v>0</v>
      </c>
      <c r="BR71" s="299">
        <v>0</v>
      </c>
      <c r="BS71" s="299">
        <v>-290523.13999999966</v>
      </c>
      <c r="BT71" s="299">
        <v>0</v>
      </c>
      <c r="BU71" s="299">
        <f t="shared" si="25"/>
        <v>-290523.1399999999</v>
      </c>
      <c r="BV71" s="299">
        <v>0</v>
      </c>
      <c r="BW71" s="299">
        <v>0</v>
      </c>
      <c r="BX71" s="299">
        <v>0</v>
      </c>
      <c r="BY71" s="299">
        <f t="shared" si="26"/>
        <v>0</v>
      </c>
      <c r="BZ71" s="299">
        <v>0</v>
      </c>
      <c r="CA71" s="299">
        <v>0</v>
      </c>
      <c r="CB71" s="299">
        <v>0</v>
      </c>
      <c r="CC71" s="299">
        <v>0</v>
      </c>
      <c r="CD71" s="299">
        <f t="shared" si="27"/>
        <v>0</v>
      </c>
      <c r="CE71" s="299">
        <f t="shared" si="28"/>
        <v>0</v>
      </c>
      <c r="CF71" s="299">
        <v>0</v>
      </c>
      <c r="CG71" s="299">
        <f t="shared" si="29"/>
        <v>0</v>
      </c>
      <c r="CH71" s="299">
        <v>0</v>
      </c>
      <c r="CI71" s="299">
        <v>0</v>
      </c>
      <c r="CJ71" s="299">
        <f t="shared" si="30"/>
        <v>0</v>
      </c>
    </row>
    <row r="72" spans="1:88" ht="13.8">
      <c r="A72" s="252" t="s">
        <v>1377</v>
      </c>
      <c r="B72" s="290">
        <v>2066</v>
      </c>
      <c r="C72" s="290" t="s">
        <v>770</v>
      </c>
      <c r="D72" s="248" t="s">
        <v>704</v>
      </c>
      <c r="E72" s="380" t="str">
        <f t="shared" si="16"/>
        <v>30EP2066</v>
      </c>
      <c r="F72" s="299">
        <v>1098167.31</v>
      </c>
      <c r="G72" s="299">
        <v>0</v>
      </c>
      <c r="H72" s="299">
        <v>30448.66</v>
      </c>
      <c r="I72" s="299">
        <v>0</v>
      </c>
      <c r="J72" s="299">
        <v>46624</v>
      </c>
      <c r="K72" s="299">
        <v>52214.400000000001</v>
      </c>
      <c r="L72" s="299">
        <v>9750</v>
      </c>
      <c r="M72" s="299">
        <v>9500</v>
      </c>
      <c r="N72" s="299">
        <v>7688.8</v>
      </c>
      <c r="O72" s="299">
        <v>25634.41</v>
      </c>
      <c r="P72" s="299">
        <v>0</v>
      </c>
      <c r="Q72" s="299">
        <v>690</v>
      </c>
      <c r="R72" s="299">
        <v>15629</v>
      </c>
      <c r="S72" s="299">
        <v>10162.790000000001</v>
      </c>
      <c r="T72" s="299">
        <v>0</v>
      </c>
      <c r="U72" s="299">
        <v>0</v>
      </c>
      <c r="V72" s="299">
        <v>0</v>
      </c>
      <c r="W72" s="299">
        <v>0</v>
      </c>
      <c r="X72" s="299">
        <v>0</v>
      </c>
      <c r="Y72" s="299">
        <f t="shared" si="17"/>
        <v>1306509.3699999999</v>
      </c>
      <c r="Z72" s="299">
        <v>723422.24</v>
      </c>
      <c r="AA72" s="299">
        <v>0</v>
      </c>
      <c r="AB72" s="299">
        <v>250612.88</v>
      </c>
      <c r="AC72" s="299">
        <v>35727.26</v>
      </c>
      <c r="AD72" s="299">
        <v>43189.37</v>
      </c>
      <c r="AE72" s="299">
        <v>41783.17</v>
      </c>
      <c r="AF72" s="299">
        <v>28650.85</v>
      </c>
      <c r="AG72" s="299">
        <v>4720.5</v>
      </c>
      <c r="AH72" s="299">
        <v>7184.23</v>
      </c>
      <c r="AI72" s="299">
        <v>5175</v>
      </c>
      <c r="AJ72" s="299">
        <v>1672.5</v>
      </c>
      <c r="AK72" s="299">
        <v>2371.63</v>
      </c>
      <c r="AL72" s="299">
        <v>680</v>
      </c>
      <c r="AM72" s="299">
        <v>2185.37</v>
      </c>
      <c r="AN72" s="299">
        <v>4562.1899999999996</v>
      </c>
      <c r="AO72" s="299">
        <v>22632.86</v>
      </c>
      <c r="AP72" s="299">
        <v>36352.5</v>
      </c>
      <c r="AQ72" s="299">
        <v>4742.17</v>
      </c>
      <c r="AR72" s="299">
        <v>56701.06</v>
      </c>
      <c r="AS72" s="299">
        <v>23946.95</v>
      </c>
      <c r="AT72" s="299">
        <v>0</v>
      </c>
      <c r="AU72" s="299">
        <v>263.31</v>
      </c>
      <c r="AV72" s="299">
        <v>5785.86</v>
      </c>
      <c r="AW72" s="299">
        <v>0</v>
      </c>
      <c r="AX72" s="299">
        <v>22002.05</v>
      </c>
      <c r="AY72" s="299">
        <v>0</v>
      </c>
      <c r="AZ72" s="299">
        <v>6283</v>
      </c>
      <c r="BA72" s="299">
        <v>9358.41</v>
      </c>
      <c r="BB72" s="299">
        <v>0</v>
      </c>
      <c r="BC72" s="299">
        <v>0</v>
      </c>
      <c r="BD72" s="299">
        <v>0</v>
      </c>
      <c r="BE72" s="299">
        <f t="shared" si="18"/>
        <v>1340005.3600000001</v>
      </c>
      <c r="BF72" s="299">
        <f t="shared" si="19"/>
        <v>-33495.990000000224</v>
      </c>
      <c r="BG72" s="299">
        <v>-51998.730000000396</v>
      </c>
      <c r="BH72" s="299">
        <f t="shared" si="20"/>
        <v>-85494.720000000612</v>
      </c>
      <c r="BI72" s="299">
        <v>131903.62</v>
      </c>
      <c r="BJ72" s="299">
        <v>6510.04</v>
      </c>
      <c r="BK72" s="299">
        <f t="shared" si="21"/>
        <v>138413.66</v>
      </c>
      <c r="BL72" s="299">
        <v>109744.86</v>
      </c>
      <c r="BM72" s="299">
        <v>8958.34</v>
      </c>
      <c r="BN72" s="299">
        <f t="shared" si="22"/>
        <v>118703.2</v>
      </c>
      <c r="BO72" s="299">
        <f t="shared" si="23"/>
        <v>19710.460000000006</v>
      </c>
      <c r="BP72" s="299">
        <v>-4037.6699999999955</v>
      </c>
      <c r="BQ72" s="299">
        <f t="shared" si="24"/>
        <v>15672.790000000012</v>
      </c>
      <c r="BR72" s="299">
        <v>9048.1200000000008</v>
      </c>
      <c r="BS72" s="299">
        <v>-99038.520000000586</v>
      </c>
      <c r="BT72" s="299">
        <v>20168.470000000012</v>
      </c>
      <c r="BU72" s="299">
        <f t="shared" si="25"/>
        <v>-69821.930000000604</v>
      </c>
      <c r="BV72" s="299">
        <v>6407.5</v>
      </c>
      <c r="BW72" s="299">
        <v>0</v>
      </c>
      <c r="BX72" s="299">
        <v>0</v>
      </c>
      <c r="BY72" s="299">
        <f t="shared" si="26"/>
        <v>6407.5</v>
      </c>
      <c r="BZ72" s="299">
        <v>0</v>
      </c>
      <c r="CA72" s="299">
        <v>5265.71</v>
      </c>
      <c r="CB72" s="299">
        <v>0</v>
      </c>
      <c r="CC72" s="299">
        <v>801.2</v>
      </c>
      <c r="CD72" s="299">
        <f t="shared" si="27"/>
        <v>6066.91</v>
      </c>
      <c r="CE72" s="299">
        <f t="shared" si="28"/>
        <v>340.59000000000015</v>
      </c>
      <c r="CF72" s="299">
        <v>34654.039999999994</v>
      </c>
      <c r="CG72" s="299">
        <f t="shared" si="29"/>
        <v>34994.62999999999</v>
      </c>
      <c r="CH72" s="299">
        <v>34994.62999999999</v>
      </c>
      <c r="CI72" s="299">
        <v>0</v>
      </c>
      <c r="CJ72" s="299">
        <f t="shared" si="30"/>
        <v>34994.62999999999</v>
      </c>
    </row>
    <row r="73" spans="1:88" ht="13.8">
      <c r="A73" s="252" t="s">
        <v>1377</v>
      </c>
      <c r="B73" s="288">
        <v>2293</v>
      </c>
      <c r="C73" s="288" t="s">
        <v>771</v>
      </c>
      <c r="D73" s="248" t="s">
        <v>704</v>
      </c>
      <c r="E73" s="380" t="str">
        <f t="shared" si="16"/>
        <v>30EP2293</v>
      </c>
      <c r="F73" s="299">
        <v>1550485.72</v>
      </c>
      <c r="G73" s="299">
        <v>0</v>
      </c>
      <c r="H73" s="299">
        <v>108881.48</v>
      </c>
      <c r="I73" s="299">
        <v>0</v>
      </c>
      <c r="J73" s="299">
        <v>71155</v>
      </c>
      <c r="K73" s="299">
        <v>76454.58</v>
      </c>
      <c r="L73" s="299">
        <v>0</v>
      </c>
      <c r="M73" s="299">
        <v>33620.04</v>
      </c>
      <c r="N73" s="299">
        <v>3505.01</v>
      </c>
      <c r="O73" s="299">
        <v>152.5</v>
      </c>
      <c r="P73" s="299">
        <v>3600</v>
      </c>
      <c r="Q73" s="299">
        <v>0</v>
      </c>
      <c r="R73" s="299">
        <v>43414.02</v>
      </c>
      <c r="S73" s="299">
        <v>16279.59</v>
      </c>
      <c r="T73" s="299">
        <v>0</v>
      </c>
      <c r="U73" s="299">
        <v>0</v>
      </c>
      <c r="V73" s="299">
        <v>0</v>
      </c>
      <c r="W73" s="299">
        <v>0</v>
      </c>
      <c r="X73" s="299">
        <v>0</v>
      </c>
      <c r="Y73" s="299">
        <f t="shared" si="17"/>
        <v>1907547.9400000002</v>
      </c>
      <c r="Z73" s="299">
        <v>987014.89</v>
      </c>
      <c r="AA73" s="299">
        <v>1040.77</v>
      </c>
      <c r="AB73" s="299">
        <v>432865.17</v>
      </c>
      <c r="AC73" s="299">
        <v>56769.78</v>
      </c>
      <c r="AD73" s="299">
        <v>120108.59</v>
      </c>
      <c r="AE73" s="299">
        <v>0</v>
      </c>
      <c r="AF73" s="299">
        <v>0</v>
      </c>
      <c r="AG73" s="299">
        <v>5985.76</v>
      </c>
      <c r="AH73" s="299">
        <v>4163.8100000000004</v>
      </c>
      <c r="AI73" s="299">
        <v>0</v>
      </c>
      <c r="AJ73" s="299">
        <v>0</v>
      </c>
      <c r="AK73" s="299">
        <v>5512.18</v>
      </c>
      <c r="AL73" s="299">
        <v>4002.01</v>
      </c>
      <c r="AM73" s="299">
        <v>1913.79</v>
      </c>
      <c r="AN73" s="299">
        <v>6055.94</v>
      </c>
      <c r="AO73" s="299">
        <v>35998.639999999999</v>
      </c>
      <c r="AP73" s="299">
        <v>53002.5</v>
      </c>
      <c r="AQ73" s="299">
        <v>7688.39</v>
      </c>
      <c r="AR73" s="299">
        <v>67137.08</v>
      </c>
      <c r="AS73" s="299">
        <v>40666.079999999994</v>
      </c>
      <c r="AT73" s="299">
        <v>0</v>
      </c>
      <c r="AU73" s="299">
        <v>8225.68</v>
      </c>
      <c r="AV73" s="299">
        <v>8322.83</v>
      </c>
      <c r="AW73" s="299">
        <v>0</v>
      </c>
      <c r="AX73" s="299">
        <v>64567.18</v>
      </c>
      <c r="AY73" s="299">
        <v>7435.14</v>
      </c>
      <c r="AZ73" s="299">
        <v>17725.080000000002</v>
      </c>
      <c r="BA73" s="299">
        <v>11969.25</v>
      </c>
      <c r="BB73" s="299">
        <v>0</v>
      </c>
      <c r="BC73" s="299">
        <v>0</v>
      </c>
      <c r="BD73" s="299">
        <v>0</v>
      </c>
      <c r="BE73" s="299">
        <f t="shared" si="18"/>
        <v>1948170.54</v>
      </c>
      <c r="BF73" s="299">
        <f t="shared" si="19"/>
        <v>-40622.59999999986</v>
      </c>
      <c r="BG73" s="299">
        <v>102736.06000000003</v>
      </c>
      <c r="BH73" s="299">
        <f t="shared" si="20"/>
        <v>62113.460000000166</v>
      </c>
      <c r="BI73" s="299">
        <v>0</v>
      </c>
      <c r="BJ73" s="299">
        <v>0</v>
      </c>
      <c r="BK73" s="299">
        <f t="shared" si="21"/>
        <v>0</v>
      </c>
      <c r="BL73" s="299">
        <v>0</v>
      </c>
      <c r="BM73" s="299">
        <v>0</v>
      </c>
      <c r="BN73" s="299">
        <f t="shared" si="22"/>
        <v>0</v>
      </c>
      <c r="BO73" s="299">
        <f t="shared" si="23"/>
        <v>0</v>
      </c>
      <c r="BP73" s="299">
        <v>0</v>
      </c>
      <c r="BQ73" s="299">
        <f t="shared" si="24"/>
        <v>0</v>
      </c>
      <c r="BR73" s="299">
        <v>2371.9</v>
      </c>
      <c r="BS73" s="299">
        <v>59741.560000000398</v>
      </c>
      <c r="BT73" s="299">
        <v>0</v>
      </c>
      <c r="BU73" s="299">
        <f t="shared" si="25"/>
        <v>62113.460000000166</v>
      </c>
      <c r="BV73" s="299">
        <v>7330</v>
      </c>
      <c r="BW73" s="299">
        <v>0</v>
      </c>
      <c r="BX73" s="299">
        <v>0</v>
      </c>
      <c r="BY73" s="299">
        <f t="shared" si="26"/>
        <v>7330</v>
      </c>
      <c r="BZ73" s="299">
        <v>0</v>
      </c>
      <c r="CA73" s="299">
        <v>9770.15</v>
      </c>
      <c r="CB73" s="299">
        <v>0</v>
      </c>
      <c r="CC73" s="299">
        <v>4315.3500000000004</v>
      </c>
      <c r="CD73" s="299">
        <f t="shared" si="27"/>
        <v>14085.5</v>
      </c>
      <c r="CE73" s="299">
        <f t="shared" si="28"/>
        <v>-6755.5</v>
      </c>
      <c r="CF73" s="299">
        <v>27319.03</v>
      </c>
      <c r="CG73" s="299">
        <f t="shared" si="29"/>
        <v>20563.53</v>
      </c>
      <c r="CH73" s="299">
        <v>20563.53</v>
      </c>
      <c r="CI73" s="299">
        <v>0</v>
      </c>
      <c r="CJ73" s="299">
        <f t="shared" si="30"/>
        <v>20563.53</v>
      </c>
    </row>
    <row r="74" spans="1:88" ht="13.8">
      <c r="A74" s="252" t="s">
        <v>1377</v>
      </c>
      <c r="B74" s="288">
        <v>2074</v>
      </c>
      <c r="C74" s="288" t="s">
        <v>772</v>
      </c>
      <c r="D74" s="248" t="s">
        <v>704</v>
      </c>
      <c r="E74" s="380" t="str">
        <f t="shared" si="16"/>
        <v>30EP2074</v>
      </c>
      <c r="F74" s="299">
        <v>2086079.01</v>
      </c>
      <c r="G74" s="299">
        <v>0</v>
      </c>
      <c r="H74" s="299">
        <v>80325.37</v>
      </c>
      <c r="I74" s="299">
        <v>0</v>
      </c>
      <c r="J74" s="299">
        <v>146855</v>
      </c>
      <c r="K74" s="299">
        <v>71703.06</v>
      </c>
      <c r="L74" s="299">
        <v>21322.47</v>
      </c>
      <c r="M74" s="299">
        <v>20105.55</v>
      </c>
      <c r="N74" s="299">
        <v>27941.24</v>
      </c>
      <c r="O74" s="299">
        <v>24389.119999999999</v>
      </c>
      <c r="P74" s="299">
        <v>4715</v>
      </c>
      <c r="Q74" s="299">
        <v>0</v>
      </c>
      <c r="R74" s="299">
        <v>40861.75</v>
      </c>
      <c r="S74" s="299">
        <v>0</v>
      </c>
      <c r="T74" s="299">
        <v>0</v>
      </c>
      <c r="U74" s="299">
        <v>0</v>
      </c>
      <c r="V74" s="299">
        <v>0</v>
      </c>
      <c r="W74" s="299">
        <v>0</v>
      </c>
      <c r="X74" s="299">
        <v>0</v>
      </c>
      <c r="Y74" s="299">
        <f t="shared" si="17"/>
        <v>2524297.5700000003</v>
      </c>
      <c r="Z74" s="299">
        <v>1232500.53</v>
      </c>
      <c r="AA74" s="299">
        <v>8415.6200000000008</v>
      </c>
      <c r="AB74" s="299">
        <v>504800.56</v>
      </c>
      <c r="AC74" s="299">
        <v>113712.98</v>
      </c>
      <c r="AD74" s="299">
        <v>156654.48000000001</v>
      </c>
      <c r="AE74" s="299">
        <v>0</v>
      </c>
      <c r="AF74" s="299">
        <v>63406.47</v>
      </c>
      <c r="AG74" s="299">
        <v>9237.5400000000009</v>
      </c>
      <c r="AH74" s="299">
        <v>8908.6200000000008</v>
      </c>
      <c r="AI74" s="299">
        <v>9800</v>
      </c>
      <c r="AJ74" s="299">
        <v>500</v>
      </c>
      <c r="AK74" s="299">
        <v>11380.28</v>
      </c>
      <c r="AL74" s="299">
        <v>1474.37</v>
      </c>
      <c r="AM74" s="299">
        <v>7553.43</v>
      </c>
      <c r="AN74" s="299">
        <v>8342.68</v>
      </c>
      <c r="AO74" s="299">
        <v>35716.410000000003</v>
      </c>
      <c r="AP74" s="299">
        <v>86025</v>
      </c>
      <c r="AQ74" s="299">
        <v>9094.1200000000008</v>
      </c>
      <c r="AR74" s="299">
        <v>86062.6</v>
      </c>
      <c r="AS74" s="299">
        <v>24900.57</v>
      </c>
      <c r="AT74" s="299">
        <v>0</v>
      </c>
      <c r="AU74" s="299">
        <v>23383.040000000001</v>
      </c>
      <c r="AV74" s="299">
        <v>10585.78</v>
      </c>
      <c r="AW74" s="299">
        <v>2633.75</v>
      </c>
      <c r="AX74" s="299">
        <v>103500.77</v>
      </c>
      <c r="AY74" s="299">
        <v>3628.72</v>
      </c>
      <c r="AZ74" s="299">
        <v>30239.61</v>
      </c>
      <c r="BA74" s="299">
        <v>25495.53</v>
      </c>
      <c r="BB74" s="299">
        <v>0</v>
      </c>
      <c r="BC74" s="299">
        <v>0</v>
      </c>
      <c r="BD74" s="299">
        <v>0</v>
      </c>
      <c r="BE74" s="299">
        <f t="shared" si="18"/>
        <v>2577953.4600000004</v>
      </c>
      <c r="BF74" s="299">
        <f t="shared" si="19"/>
        <v>-53655.89000000013</v>
      </c>
      <c r="BG74" s="299">
        <v>134553.1300000014</v>
      </c>
      <c r="BH74" s="299">
        <f t="shared" si="20"/>
        <v>80897.240000001271</v>
      </c>
      <c r="BI74" s="299">
        <v>117794.11</v>
      </c>
      <c r="BJ74" s="299">
        <v>50768.45</v>
      </c>
      <c r="BK74" s="299">
        <f t="shared" si="21"/>
        <v>168562.56</v>
      </c>
      <c r="BL74" s="299">
        <v>125541.04</v>
      </c>
      <c r="BM74" s="299">
        <v>12968.12</v>
      </c>
      <c r="BN74" s="299">
        <f t="shared" si="22"/>
        <v>138509.16</v>
      </c>
      <c r="BO74" s="299">
        <f t="shared" si="23"/>
        <v>30053.399999999994</v>
      </c>
      <c r="BP74" s="299">
        <v>-17402.28</v>
      </c>
      <c r="BQ74" s="299">
        <f t="shared" si="24"/>
        <v>12651.119999999995</v>
      </c>
      <c r="BR74" s="299">
        <v>23660.99</v>
      </c>
      <c r="BS74" s="299">
        <v>55317.93000000123</v>
      </c>
      <c r="BT74" s="299">
        <v>14569.44000000001</v>
      </c>
      <c r="BU74" s="299">
        <f t="shared" si="25"/>
        <v>93548.360000001267</v>
      </c>
      <c r="BV74" s="299">
        <v>8488.75</v>
      </c>
      <c r="BW74" s="299">
        <v>0</v>
      </c>
      <c r="BX74" s="299">
        <v>0</v>
      </c>
      <c r="BY74" s="299">
        <f t="shared" si="26"/>
        <v>8488.75</v>
      </c>
      <c r="BZ74" s="299">
        <v>0</v>
      </c>
      <c r="CA74" s="299">
        <v>0</v>
      </c>
      <c r="CB74" s="299">
        <v>0</v>
      </c>
      <c r="CC74" s="299">
        <v>3996.84</v>
      </c>
      <c r="CD74" s="299">
        <f t="shared" si="27"/>
        <v>3996.84</v>
      </c>
      <c r="CE74" s="299">
        <f t="shared" si="28"/>
        <v>4491.91</v>
      </c>
      <c r="CF74" s="299">
        <v>9111.6099999999988</v>
      </c>
      <c r="CG74" s="299">
        <f t="shared" si="29"/>
        <v>13603.519999999999</v>
      </c>
      <c r="CH74" s="299">
        <v>13603.519999999999</v>
      </c>
      <c r="CI74" s="299">
        <v>0</v>
      </c>
      <c r="CJ74" s="299">
        <f t="shared" si="30"/>
        <v>13603.519999999999</v>
      </c>
    </row>
    <row r="75" spans="1:88" ht="13.8">
      <c r="A75" s="252" t="s">
        <v>1377</v>
      </c>
      <c r="B75" s="288">
        <v>2075</v>
      </c>
      <c r="C75" s="288" t="s">
        <v>773</v>
      </c>
      <c r="D75" s="248" t="s">
        <v>704</v>
      </c>
      <c r="E75" s="380" t="str">
        <f t="shared" si="16"/>
        <v>30EP2075</v>
      </c>
      <c r="F75" s="299">
        <v>1263015.27</v>
      </c>
      <c r="G75" s="299">
        <v>0</v>
      </c>
      <c r="H75" s="299">
        <v>122336.59</v>
      </c>
      <c r="I75" s="299">
        <v>0</v>
      </c>
      <c r="J75" s="299">
        <v>118035</v>
      </c>
      <c r="K75" s="299">
        <v>44844.86</v>
      </c>
      <c r="L75" s="299">
        <v>6339.23</v>
      </c>
      <c r="M75" s="299">
        <v>14000</v>
      </c>
      <c r="N75" s="299">
        <v>15708.08</v>
      </c>
      <c r="O75" s="299">
        <v>8048.02</v>
      </c>
      <c r="P75" s="299">
        <v>0</v>
      </c>
      <c r="Q75" s="299">
        <v>499.14</v>
      </c>
      <c r="R75" s="299">
        <v>14521.25</v>
      </c>
      <c r="S75" s="299">
        <v>3194.33</v>
      </c>
      <c r="T75" s="299">
        <v>0</v>
      </c>
      <c r="U75" s="299">
        <v>0</v>
      </c>
      <c r="V75" s="299">
        <v>0</v>
      </c>
      <c r="W75" s="299">
        <v>0</v>
      </c>
      <c r="X75" s="299">
        <v>0</v>
      </c>
      <c r="Y75" s="299">
        <f t="shared" si="17"/>
        <v>1610541.7700000003</v>
      </c>
      <c r="Z75" s="299">
        <v>710739</v>
      </c>
      <c r="AA75" s="299">
        <v>0</v>
      </c>
      <c r="AB75" s="299">
        <v>467892.26</v>
      </c>
      <c r="AC75" s="299">
        <v>61496.87</v>
      </c>
      <c r="AD75" s="299">
        <v>94108.92</v>
      </c>
      <c r="AE75" s="299">
        <v>0</v>
      </c>
      <c r="AF75" s="299">
        <v>40558.65</v>
      </c>
      <c r="AG75" s="299">
        <v>6453.96</v>
      </c>
      <c r="AH75" s="299">
        <v>5210.43</v>
      </c>
      <c r="AI75" s="299">
        <v>5325</v>
      </c>
      <c r="AJ75" s="299">
        <v>295</v>
      </c>
      <c r="AK75" s="299">
        <v>12019.64</v>
      </c>
      <c r="AL75" s="299">
        <v>743.2</v>
      </c>
      <c r="AM75" s="299">
        <v>3920.73</v>
      </c>
      <c r="AN75" s="299">
        <v>3853.31</v>
      </c>
      <c r="AO75" s="299">
        <v>36923.42</v>
      </c>
      <c r="AP75" s="299">
        <v>34410</v>
      </c>
      <c r="AQ75" s="299">
        <v>6298.91</v>
      </c>
      <c r="AR75" s="299">
        <v>46795.61</v>
      </c>
      <c r="AS75" s="299">
        <v>34219.539999999994</v>
      </c>
      <c r="AT75" s="299">
        <v>0</v>
      </c>
      <c r="AU75" s="299">
        <v>7821.17</v>
      </c>
      <c r="AV75" s="299">
        <v>5897.88</v>
      </c>
      <c r="AW75" s="299">
        <v>0</v>
      </c>
      <c r="AX75" s="299">
        <v>51573.15</v>
      </c>
      <c r="AY75" s="299">
        <v>11454.38</v>
      </c>
      <c r="AZ75" s="299">
        <v>5037</v>
      </c>
      <c r="BA75" s="299">
        <v>11548.61</v>
      </c>
      <c r="BB75" s="299">
        <v>0</v>
      </c>
      <c r="BC75" s="299">
        <v>0</v>
      </c>
      <c r="BD75" s="299">
        <v>0</v>
      </c>
      <c r="BE75" s="299">
        <f t="shared" si="18"/>
        <v>1664596.6399999994</v>
      </c>
      <c r="BF75" s="299">
        <f t="shared" si="19"/>
        <v>-54054.86999999918</v>
      </c>
      <c r="BG75" s="299">
        <v>125509.11999999985</v>
      </c>
      <c r="BH75" s="299">
        <f t="shared" si="20"/>
        <v>71454.250000000669</v>
      </c>
      <c r="BI75" s="299">
        <v>85348.23</v>
      </c>
      <c r="BJ75" s="299">
        <v>11759.26</v>
      </c>
      <c r="BK75" s="299">
        <f t="shared" si="21"/>
        <v>97107.489999999991</v>
      </c>
      <c r="BL75" s="299">
        <v>69835.3</v>
      </c>
      <c r="BM75" s="299">
        <v>18298.73</v>
      </c>
      <c r="BN75" s="299">
        <f t="shared" si="22"/>
        <v>88134.03</v>
      </c>
      <c r="BO75" s="299">
        <f t="shared" si="23"/>
        <v>8973.4599999999919</v>
      </c>
      <c r="BP75" s="299">
        <v>15692.36</v>
      </c>
      <c r="BQ75" s="299">
        <f t="shared" si="24"/>
        <v>24665.819999999992</v>
      </c>
      <c r="BR75" s="299">
        <v>21702.57</v>
      </c>
      <c r="BS75" s="299">
        <v>49751.68000000067</v>
      </c>
      <c r="BT75" s="299">
        <v>24665.819999999992</v>
      </c>
      <c r="BU75" s="299">
        <f t="shared" si="25"/>
        <v>96120.070000000662</v>
      </c>
      <c r="BV75" s="299">
        <v>6632.5</v>
      </c>
      <c r="BW75" s="299">
        <v>0</v>
      </c>
      <c r="BX75" s="299">
        <v>0</v>
      </c>
      <c r="BY75" s="299">
        <f t="shared" si="26"/>
        <v>6632.5</v>
      </c>
      <c r="BZ75" s="299">
        <v>0</v>
      </c>
      <c r="CA75" s="299">
        <v>7403.37</v>
      </c>
      <c r="CB75" s="299">
        <v>0</v>
      </c>
      <c r="CC75" s="299">
        <v>0</v>
      </c>
      <c r="CD75" s="299">
        <f t="shared" si="27"/>
        <v>7403.37</v>
      </c>
      <c r="CE75" s="299">
        <f t="shared" si="28"/>
        <v>-770.86999999999989</v>
      </c>
      <c r="CF75" s="299">
        <v>12277.89</v>
      </c>
      <c r="CG75" s="299">
        <f t="shared" si="29"/>
        <v>11507.02</v>
      </c>
      <c r="CH75" s="299">
        <v>11507.02</v>
      </c>
      <c r="CI75" s="299">
        <v>0</v>
      </c>
      <c r="CJ75" s="299">
        <f t="shared" si="30"/>
        <v>11507.02</v>
      </c>
    </row>
    <row r="76" spans="1:88" ht="13.8">
      <c r="A76" s="252" t="s">
        <v>1377</v>
      </c>
      <c r="B76" s="288">
        <v>2121</v>
      </c>
      <c r="C76" s="288" t="s">
        <v>774</v>
      </c>
      <c r="D76" s="248" t="s">
        <v>704</v>
      </c>
      <c r="E76" s="380" t="str">
        <f t="shared" si="16"/>
        <v>30EP2121</v>
      </c>
      <c r="F76" s="299">
        <v>2127071.27</v>
      </c>
      <c r="G76" s="299">
        <v>0</v>
      </c>
      <c r="H76" s="299">
        <v>198869.87</v>
      </c>
      <c r="I76" s="299">
        <v>0</v>
      </c>
      <c r="J76" s="299">
        <v>106750</v>
      </c>
      <c r="K76" s="299">
        <v>80568</v>
      </c>
      <c r="L76" s="299">
        <v>0</v>
      </c>
      <c r="M76" s="299">
        <v>60752.83</v>
      </c>
      <c r="N76" s="299">
        <v>3954.1</v>
      </c>
      <c r="O76" s="299">
        <v>46518.54</v>
      </c>
      <c r="P76" s="299">
        <v>5388</v>
      </c>
      <c r="Q76" s="299">
        <v>12794.02</v>
      </c>
      <c r="R76" s="299">
        <v>66646.95</v>
      </c>
      <c r="S76" s="299">
        <v>10492.43</v>
      </c>
      <c r="T76" s="299">
        <v>0</v>
      </c>
      <c r="U76" s="299">
        <v>0</v>
      </c>
      <c r="V76" s="299">
        <v>0</v>
      </c>
      <c r="W76" s="299">
        <v>0</v>
      </c>
      <c r="X76" s="299">
        <v>0</v>
      </c>
      <c r="Y76" s="299">
        <f t="shared" si="17"/>
        <v>2719806.0100000007</v>
      </c>
      <c r="Z76" s="299">
        <v>1286621.3700000001</v>
      </c>
      <c r="AA76" s="299">
        <v>17406.439999999999</v>
      </c>
      <c r="AB76" s="299">
        <v>617987.61</v>
      </c>
      <c r="AC76" s="299">
        <v>71310.09</v>
      </c>
      <c r="AD76" s="299">
        <v>201050.27</v>
      </c>
      <c r="AE76" s="299">
        <v>0</v>
      </c>
      <c r="AF76" s="299">
        <v>8143.14</v>
      </c>
      <c r="AG76" s="299">
        <v>10676.6</v>
      </c>
      <c r="AH76" s="299">
        <v>4121</v>
      </c>
      <c r="AI76" s="299">
        <v>9800</v>
      </c>
      <c r="AJ76" s="299">
        <v>3555</v>
      </c>
      <c r="AK76" s="299">
        <v>13526.4</v>
      </c>
      <c r="AL76" s="299">
        <v>6010.17</v>
      </c>
      <c r="AM76" s="299">
        <v>6758.98</v>
      </c>
      <c r="AN76" s="299">
        <v>9495.6299999999992</v>
      </c>
      <c r="AO76" s="299">
        <v>39357.42</v>
      </c>
      <c r="AP76" s="299">
        <v>61050</v>
      </c>
      <c r="AQ76" s="299">
        <v>26346.41</v>
      </c>
      <c r="AR76" s="299">
        <v>93082.61</v>
      </c>
      <c r="AS76" s="299">
        <v>54776.130000000005</v>
      </c>
      <c r="AT76" s="299">
        <v>0</v>
      </c>
      <c r="AU76" s="299">
        <v>11797.32</v>
      </c>
      <c r="AV76" s="299">
        <v>11342.11</v>
      </c>
      <c r="AW76" s="299">
        <v>114.6</v>
      </c>
      <c r="AX76" s="299">
        <v>126454.66</v>
      </c>
      <c r="AY76" s="299">
        <v>9515.01</v>
      </c>
      <c r="AZ76" s="299">
        <v>18327.43</v>
      </c>
      <c r="BA76" s="299">
        <v>20620.66</v>
      </c>
      <c r="BB76" s="299">
        <v>0</v>
      </c>
      <c r="BC76" s="299">
        <v>0</v>
      </c>
      <c r="BD76" s="299">
        <v>0</v>
      </c>
      <c r="BE76" s="299">
        <f t="shared" si="18"/>
        <v>2739247.0599999996</v>
      </c>
      <c r="BF76" s="299">
        <f t="shared" si="19"/>
        <v>-19441.049999998882</v>
      </c>
      <c r="BG76" s="299">
        <v>-133806.28999999899</v>
      </c>
      <c r="BH76" s="299">
        <f t="shared" si="20"/>
        <v>-153247.33999999787</v>
      </c>
      <c r="BI76" s="299">
        <v>0</v>
      </c>
      <c r="BJ76" s="299">
        <v>0</v>
      </c>
      <c r="BK76" s="299">
        <f t="shared" si="21"/>
        <v>0</v>
      </c>
      <c r="BL76" s="299">
        <v>0</v>
      </c>
      <c r="BM76" s="299">
        <v>0</v>
      </c>
      <c r="BN76" s="299">
        <f t="shared" si="22"/>
        <v>0</v>
      </c>
      <c r="BO76" s="299">
        <f t="shared" si="23"/>
        <v>0</v>
      </c>
      <c r="BP76" s="299">
        <v>0</v>
      </c>
      <c r="BQ76" s="299">
        <f t="shared" si="24"/>
        <v>0</v>
      </c>
      <c r="BR76" s="299">
        <v>0</v>
      </c>
      <c r="BS76" s="299">
        <v>-153247.33999999834</v>
      </c>
      <c r="BT76" s="299">
        <v>0</v>
      </c>
      <c r="BU76" s="299">
        <f t="shared" si="25"/>
        <v>-153247.33999999787</v>
      </c>
      <c r="BV76" s="299">
        <v>8590</v>
      </c>
      <c r="BW76" s="299">
        <v>0</v>
      </c>
      <c r="BX76" s="299">
        <v>0</v>
      </c>
      <c r="BY76" s="299">
        <f t="shared" si="26"/>
        <v>8590</v>
      </c>
      <c r="BZ76" s="299">
        <v>0</v>
      </c>
      <c r="CA76" s="299">
        <v>0</v>
      </c>
      <c r="CB76" s="299">
        <v>0</v>
      </c>
      <c r="CC76" s="299">
        <v>10463.799999999999</v>
      </c>
      <c r="CD76" s="299">
        <f t="shared" si="27"/>
        <v>10463.799999999999</v>
      </c>
      <c r="CE76" s="299">
        <f t="shared" si="28"/>
        <v>-1873.7999999999993</v>
      </c>
      <c r="CF76" s="299">
        <v>8673.32</v>
      </c>
      <c r="CG76" s="299">
        <f t="shared" si="29"/>
        <v>6799.52</v>
      </c>
      <c r="CH76" s="299">
        <v>6799.52</v>
      </c>
      <c r="CI76" s="299">
        <v>0</v>
      </c>
      <c r="CJ76" s="299">
        <f t="shared" si="30"/>
        <v>6799.52</v>
      </c>
    </row>
    <row r="77" spans="1:88" ht="13.8">
      <c r="A77" s="252" t="s">
        <v>1377</v>
      </c>
      <c r="B77" s="288">
        <v>2028</v>
      </c>
      <c r="C77" s="288" t="s">
        <v>775</v>
      </c>
      <c r="D77" s="248" t="s">
        <v>704</v>
      </c>
      <c r="E77" s="380" t="str">
        <f t="shared" si="16"/>
        <v>30EP2028</v>
      </c>
      <c r="F77" s="299">
        <v>2055665.59</v>
      </c>
      <c r="G77" s="299">
        <v>0</v>
      </c>
      <c r="H77" s="299">
        <v>179160.69</v>
      </c>
      <c r="I77" s="299">
        <v>0</v>
      </c>
      <c r="J77" s="299">
        <v>133635</v>
      </c>
      <c r="K77" s="299">
        <v>78919.929999999993</v>
      </c>
      <c r="L77" s="299">
        <v>0</v>
      </c>
      <c r="M77" s="299">
        <v>1680</v>
      </c>
      <c r="N77" s="299">
        <v>83172.100000000006</v>
      </c>
      <c r="O77" s="299">
        <v>40932.74</v>
      </c>
      <c r="P77" s="299">
        <v>12236</v>
      </c>
      <c r="Q77" s="299">
        <v>437.82</v>
      </c>
      <c r="R77" s="299">
        <v>39230.9</v>
      </c>
      <c r="S77" s="299">
        <v>41295.64</v>
      </c>
      <c r="T77" s="299">
        <v>0</v>
      </c>
      <c r="U77" s="299">
        <v>0</v>
      </c>
      <c r="V77" s="299">
        <v>0</v>
      </c>
      <c r="W77" s="299">
        <v>0</v>
      </c>
      <c r="X77" s="299">
        <v>0</v>
      </c>
      <c r="Y77" s="299">
        <f t="shared" si="17"/>
        <v>2666366.4100000006</v>
      </c>
      <c r="Z77" s="299">
        <v>1201477.6499999999</v>
      </c>
      <c r="AA77" s="299">
        <v>8200</v>
      </c>
      <c r="AB77" s="299">
        <v>543203.39</v>
      </c>
      <c r="AC77" s="299">
        <v>59651.64</v>
      </c>
      <c r="AD77" s="299">
        <v>130548.9</v>
      </c>
      <c r="AE77" s="299">
        <v>0</v>
      </c>
      <c r="AF77" s="299">
        <v>112981.06</v>
      </c>
      <c r="AG77" s="299">
        <v>39871.980000000003</v>
      </c>
      <c r="AH77" s="299">
        <v>6189.11</v>
      </c>
      <c r="AI77" s="299">
        <v>9575</v>
      </c>
      <c r="AJ77" s="299">
        <v>62.5</v>
      </c>
      <c r="AK77" s="299">
        <v>17553.740000000002</v>
      </c>
      <c r="AL77" s="299">
        <v>1059.72</v>
      </c>
      <c r="AM77" s="299">
        <v>8582.31</v>
      </c>
      <c r="AN77" s="299">
        <v>7691.63</v>
      </c>
      <c r="AO77" s="299">
        <v>48745.62</v>
      </c>
      <c r="AP77" s="299">
        <v>72705</v>
      </c>
      <c r="AQ77" s="299">
        <v>9091.0300000000007</v>
      </c>
      <c r="AR77" s="299">
        <v>119777.25</v>
      </c>
      <c r="AS77" s="299">
        <v>20658.46</v>
      </c>
      <c r="AT77" s="299">
        <v>0</v>
      </c>
      <c r="AU77" s="299">
        <v>28345.39</v>
      </c>
      <c r="AV77" s="299">
        <v>10823.82</v>
      </c>
      <c r="AW77" s="299">
        <v>5599.68</v>
      </c>
      <c r="AX77" s="299">
        <v>126887.7</v>
      </c>
      <c r="AY77" s="299">
        <v>38125.279999999999</v>
      </c>
      <c r="AZ77" s="299">
        <v>11181.17</v>
      </c>
      <c r="BA77" s="299">
        <v>23685.94</v>
      </c>
      <c r="BB77" s="299">
        <v>0</v>
      </c>
      <c r="BC77" s="299">
        <v>0</v>
      </c>
      <c r="BD77" s="299">
        <v>0</v>
      </c>
      <c r="BE77" s="299">
        <f t="shared" si="18"/>
        <v>2662274.9700000002</v>
      </c>
      <c r="BF77" s="299">
        <f t="shared" si="19"/>
        <v>4091.4400000004098</v>
      </c>
      <c r="BG77" s="299">
        <v>69122.729999999137</v>
      </c>
      <c r="BH77" s="299">
        <f t="shared" si="20"/>
        <v>73214.169999999547</v>
      </c>
      <c r="BI77" s="299">
        <v>0</v>
      </c>
      <c r="BJ77" s="299">
        <v>0</v>
      </c>
      <c r="BK77" s="299">
        <f t="shared" si="21"/>
        <v>0</v>
      </c>
      <c r="BL77" s="299">
        <v>0</v>
      </c>
      <c r="BM77" s="299">
        <v>0</v>
      </c>
      <c r="BN77" s="299">
        <f t="shared" si="22"/>
        <v>0</v>
      </c>
      <c r="BO77" s="299">
        <f t="shared" si="23"/>
        <v>0</v>
      </c>
      <c r="BP77" s="299">
        <v>0</v>
      </c>
      <c r="BQ77" s="299">
        <f t="shared" si="24"/>
        <v>0</v>
      </c>
      <c r="BR77" s="299">
        <v>2222.58</v>
      </c>
      <c r="BS77" s="299">
        <v>70991.589999999545</v>
      </c>
      <c r="BT77" s="299">
        <v>0</v>
      </c>
      <c r="BU77" s="299">
        <f t="shared" si="25"/>
        <v>73214.169999999547</v>
      </c>
      <c r="BV77" s="299">
        <v>8421.25</v>
      </c>
      <c r="BW77" s="299">
        <v>0</v>
      </c>
      <c r="BX77" s="299">
        <v>0</v>
      </c>
      <c r="BY77" s="299">
        <f t="shared" si="26"/>
        <v>8421.25</v>
      </c>
      <c r="BZ77" s="299">
        <v>0</v>
      </c>
      <c r="CA77" s="299">
        <v>4465.3900000000003</v>
      </c>
      <c r="CB77" s="299">
        <v>0</v>
      </c>
      <c r="CC77" s="299">
        <v>4847.76</v>
      </c>
      <c r="CD77" s="299">
        <f t="shared" si="27"/>
        <v>9313.1500000000015</v>
      </c>
      <c r="CE77" s="299">
        <f t="shared" si="28"/>
        <v>-891.90000000000146</v>
      </c>
      <c r="CF77" s="299">
        <v>4636.3</v>
      </c>
      <c r="CG77" s="299">
        <f t="shared" si="29"/>
        <v>3744.3999999999987</v>
      </c>
      <c r="CH77" s="299">
        <v>0</v>
      </c>
      <c r="CI77" s="299">
        <v>3744.4</v>
      </c>
      <c r="CJ77" s="299">
        <f t="shared" si="30"/>
        <v>3744.4</v>
      </c>
    </row>
    <row r="78" spans="1:88" ht="13.8">
      <c r="A78" s="252" t="s">
        <v>1377</v>
      </c>
      <c r="B78" s="288">
        <v>2029</v>
      </c>
      <c r="C78" s="288" t="s">
        <v>776</v>
      </c>
      <c r="D78" s="248" t="s">
        <v>704</v>
      </c>
      <c r="E78" s="380" t="str">
        <f t="shared" si="16"/>
        <v>30EP2029</v>
      </c>
      <c r="F78" s="299">
        <v>1066977.6599999999</v>
      </c>
      <c r="G78" s="299">
        <v>0</v>
      </c>
      <c r="H78" s="299">
        <v>31938.98</v>
      </c>
      <c r="I78" s="299">
        <v>0</v>
      </c>
      <c r="J78" s="299">
        <v>51110</v>
      </c>
      <c r="K78" s="299">
        <v>56605.39</v>
      </c>
      <c r="L78" s="299">
        <v>0</v>
      </c>
      <c r="M78" s="299">
        <v>4343</v>
      </c>
      <c r="N78" s="299">
        <v>73612.97</v>
      </c>
      <c r="O78" s="299">
        <v>29477.23</v>
      </c>
      <c r="P78" s="299">
        <v>1350</v>
      </c>
      <c r="Q78" s="299">
        <v>0</v>
      </c>
      <c r="R78" s="299">
        <v>25703.95</v>
      </c>
      <c r="S78" s="299">
        <v>14214.51</v>
      </c>
      <c r="T78" s="299">
        <v>0</v>
      </c>
      <c r="U78" s="299">
        <v>0</v>
      </c>
      <c r="V78" s="299">
        <v>0</v>
      </c>
      <c r="W78" s="299">
        <v>0</v>
      </c>
      <c r="X78" s="299">
        <v>0</v>
      </c>
      <c r="Y78" s="299">
        <f t="shared" si="17"/>
        <v>1355333.6899999997</v>
      </c>
      <c r="Z78" s="299">
        <v>662526.13</v>
      </c>
      <c r="AA78" s="299">
        <v>12101.72</v>
      </c>
      <c r="AB78" s="299">
        <v>263662.71999999997</v>
      </c>
      <c r="AC78" s="299">
        <v>13341.06</v>
      </c>
      <c r="AD78" s="299">
        <v>55669.73</v>
      </c>
      <c r="AE78" s="299">
        <v>0</v>
      </c>
      <c r="AF78" s="299">
        <v>74485.37</v>
      </c>
      <c r="AG78" s="299">
        <v>4502.53</v>
      </c>
      <c r="AH78" s="299">
        <v>1994</v>
      </c>
      <c r="AI78" s="299">
        <v>4800</v>
      </c>
      <c r="AJ78" s="299">
        <v>222.5</v>
      </c>
      <c r="AK78" s="299">
        <v>11933.17</v>
      </c>
      <c r="AL78" s="299">
        <v>3102.62</v>
      </c>
      <c r="AM78" s="299">
        <v>21951.759999999998</v>
      </c>
      <c r="AN78" s="299">
        <v>4035.73</v>
      </c>
      <c r="AO78" s="299">
        <v>17967.2</v>
      </c>
      <c r="AP78" s="299">
        <v>35242.5</v>
      </c>
      <c r="AQ78" s="299">
        <v>5982</v>
      </c>
      <c r="AR78" s="299">
        <v>53371.71</v>
      </c>
      <c r="AS78" s="299">
        <v>24201.5</v>
      </c>
      <c r="AT78" s="299">
        <v>0</v>
      </c>
      <c r="AU78" s="299">
        <v>9960.0400000000009</v>
      </c>
      <c r="AV78" s="299">
        <v>5257.88</v>
      </c>
      <c r="AW78" s="299">
        <v>7673.75</v>
      </c>
      <c r="AX78" s="299">
        <v>73018.06</v>
      </c>
      <c r="AY78" s="299">
        <v>335.84</v>
      </c>
      <c r="AZ78" s="299">
        <v>4397.28</v>
      </c>
      <c r="BA78" s="299">
        <v>14742.92</v>
      </c>
      <c r="BB78" s="299">
        <v>0</v>
      </c>
      <c r="BC78" s="299">
        <v>0</v>
      </c>
      <c r="BD78" s="299">
        <v>0</v>
      </c>
      <c r="BE78" s="299">
        <f t="shared" si="18"/>
        <v>1386479.72</v>
      </c>
      <c r="BF78" s="299">
        <f t="shared" si="19"/>
        <v>-31146.030000000261</v>
      </c>
      <c r="BG78" s="299">
        <v>133071.38</v>
      </c>
      <c r="BH78" s="299">
        <f t="shared" si="20"/>
        <v>101925.34999999974</v>
      </c>
      <c r="BI78" s="299">
        <v>150205.78</v>
      </c>
      <c r="BJ78" s="299">
        <v>26322.62</v>
      </c>
      <c r="BK78" s="299">
        <f t="shared" si="21"/>
        <v>176528.4</v>
      </c>
      <c r="BL78" s="299">
        <v>145204.75</v>
      </c>
      <c r="BM78" s="299">
        <v>30191.43</v>
      </c>
      <c r="BN78" s="299">
        <f t="shared" si="22"/>
        <v>175396.18</v>
      </c>
      <c r="BO78" s="299">
        <f t="shared" si="23"/>
        <v>1132.2200000000012</v>
      </c>
      <c r="BP78" s="299">
        <v>89477.569999999992</v>
      </c>
      <c r="BQ78" s="299">
        <f t="shared" si="24"/>
        <v>90609.79</v>
      </c>
      <c r="BR78" s="299">
        <v>3156.66</v>
      </c>
      <c r="BS78" s="299">
        <v>95433.779999999882</v>
      </c>
      <c r="BT78" s="299">
        <v>93944.700000000012</v>
      </c>
      <c r="BU78" s="299">
        <f t="shared" si="25"/>
        <v>192535.13999999972</v>
      </c>
      <c r="BV78" s="299">
        <v>6334.38</v>
      </c>
      <c r="BW78" s="299">
        <v>0</v>
      </c>
      <c r="BX78" s="299">
        <v>0</v>
      </c>
      <c r="BY78" s="299">
        <f t="shared" si="26"/>
        <v>6334.38</v>
      </c>
      <c r="BZ78" s="299">
        <v>0</v>
      </c>
      <c r="CA78" s="299">
        <v>0</v>
      </c>
      <c r="CB78" s="299">
        <v>0</v>
      </c>
      <c r="CC78" s="299">
        <v>5074.08</v>
      </c>
      <c r="CD78" s="299">
        <f t="shared" si="27"/>
        <v>5074.08</v>
      </c>
      <c r="CE78" s="299">
        <f t="shared" si="28"/>
        <v>1260.3000000000002</v>
      </c>
      <c r="CF78" s="299">
        <v>0</v>
      </c>
      <c r="CG78" s="299">
        <f t="shared" si="29"/>
        <v>1260.3000000000002</v>
      </c>
      <c r="CH78" s="299">
        <v>1260.3000000000002</v>
      </c>
      <c r="CI78" s="299">
        <v>0</v>
      </c>
      <c r="CJ78" s="299">
        <f t="shared" si="30"/>
        <v>1260.3000000000002</v>
      </c>
    </row>
    <row r="79" spans="1:88" ht="13.8">
      <c r="A79" s="252" t="s">
        <v>1377</v>
      </c>
      <c r="B79" s="288">
        <v>2059</v>
      </c>
      <c r="C79" s="288" t="s">
        <v>777</v>
      </c>
      <c r="D79" s="248" t="s">
        <v>704</v>
      </c>
      <c r="E79" s="380" t="str">
        <f t="shared" si="16"/>
        <v>30EP2059</v>
      </c>
      <c r="F79" s="299">
        <v>1053275.3600000001</v>
      </c>
      <c r="G79" s="299">
        <v>0</v>
      </c>
      <c r="H79" s="299">
        <v>16862.61</v>
      </c>
      <c r="I79" s="299">
        <v>0</v>
      </c>
      <c r="J79" s="299">
        <v>28785</v>
      </c>
      <c r="K79" s="299">
        <v>49804.57</v>
      </c>
      <c r="L79" s="299">
        <v>0</v>
      </c>
      <c r="M79" s="299">
        <v>14875.5</v>
      </c>
      <c r="N79" s="299">
        <v>6612.53</v>
      </c>
      <c r="O79" s="299">
        <v>21229.16</v>
      </c>
      <c r="P79" s="299">
        <v>3450</v>
      </c>
      <c r="Q79" s="299">
        <v>2475</v>
      </c>
      <c r="R79" s="299">
        <v>20799.89</v>
      </c>
      <c r="S79" s="299">
        <v>42243.86</v>
      </c>
      <c r="T79" s="299">
        <v>0</v>
      </c>
      <c r="U79" s="299">
        <v>0</v>
      </c>
      <c r="V79" s="299">
        <v>0</v>
      </c>
      <c r="W79" s="299">
        <v>0</v>
      </c>
      <c r="X79" s="299">
        <v>0</v>
      </c>
      <c r="Y79" s="299">
        <f t="shared" si="17"/>
        <v>1260413.4800000002</v>
      </c>
      <c r="Z79" s="299">
        <v>647218.67000000004</v>
      </c>
      <c r="AA79" s="299">
        <v>0</v>
      </c>
      <c r="AB79" s="299">
        <v>206800.7</v>
      </c>
      <c r="AC79" s="299">
        <v>50083.4</v>
      </c>
      <c r="AD79" s="299">
        <v>63508.23</v>
      </c>
      <c r="AE79" s="299">
        <v>0</v>
      </c>
      <c r="AF79" s="299">
        <v>30447.51</v>
      </c>
      <c r="AG79" s="299">
        <v>4897.99</v>
      </c>
      <c r="AH79" s="299">
        <v>4343.5</v>
      </c>
      <c r="AI79" s="299">
        <v>4725</v>
      </c>
      <c r="AJ79" s="299">
        <v>93.75</v>
      </c>
      <c r="AK79" s="299">
        <v>19156.59</v>
      </c>
      <c r="AL79" s="299">
        <v>2760</v>
      </c>
      <c r="AM79" s="299">
        <v>1698.34</v>
      </c>
      <c r="AN79" s="299">
        <v>3023.28</v>
      </c>
      <c r="AO79" s="299">
        <v>20771.900000000001</v>
      </c>
      <c r="AP79" s="299">
        <v>17465</v>
      </c>
      <c r="AQ79" s="299">
        <v>2389.4</v>
      </c>
      <c r="AR79" s="299">
        <v>40540.519999999997</v>
      </c>
      <c r="AS79" s="299">
        <v>32067.54</v>
      </c>
      <c r="AT79" s="299">
        <v>0</v>
      </c>
      <c r="AU79" s="299">
        <v>16088.89</v>
      </c>
      <c r="AV79" s="299">
        <v>5352.87</v>
      </c>
      <c r="AW79" s="299">
        <v>0</v>
      </c>
      <c r="AX79" s="299">
        <v>66794.16</v>
      </c>
      <c r="AY79" s="299">
        <v>2179.08</v>
      </c>
      <c r="AZ79" s="299">
        <v>0</v>
      </c>
      <c r="BA79" s="299">
        <v>21907.200000000001</v>
      </c>
      <c r="BB79" s="299">
        <v>0</v>
      </c>
      <c r="BC79" s="299">
        <v>0</v>
      </c>
      <c r="BD79" s="299">
        <v>0</v>
      </c>
      <c r="BE79" s="299">
        <f t="shared" si="18"/>
        <v>1264313.52</v>
      </c>
      <c r="BF79" s="299">
        <f t="shared" si="19"/>
        <v>-3900.0399999998044</v>
      </c>
      <c r="BG79" s="299">
        <v>-150743.9699999998</v>
      </c>
      <c r="BH79" s="299">
        <f t="shared" si="20"/>
        <v>-154644.0099999996</v>
      </c>
      <c r="BI79" s="299">
        <v>0</v>
      </c>
      <c r="BJ79" s="299">
        <v>0</v>
      </c>
      <c r="BK79" s="299">
        <f t="shared" si="21"/>
        <v>0</v>
      </c>
      <c r="BL79" s="299">
        <v>0</v>
      </c>
      <c r="BM79" s="299">
        <v>0</v>
      </c>
      <c r="BN79" s="299">
        <f t="shared" si="22"/>
        <v>0</v>
      </c>
      <c r="BO79" s="299">
        <f t="shared" si="23"/>
        <v>0</v>
      </c>
      <c r="BP79" s="299">
        <v>0</v>
      </c>
      <c r="BQ79" s="299">
        <f t="shared" si="24"/>
        <v>0</v>
      </c>
      <c r="BR79" s="299">
        <v>4020.71</v>
      </c>
      <c r="BS79" s="299">
        <v>-158664.71999999983</v>
      </c>
      <c r="BT79" s="299">
        <v>0</v>
      </c>
      <c r="BU79" s="299">
        <f t="shared" si="25"/>
        <v>-154644.0099999996</v>
      </c>
      <c r="BV79" s="299">
        <v>6250</v>
      </c>
      <c r="BW79" s="299">
        <v>0</v>
      </c>
      <c r="BX79" s="299">
        <v>0</v>
      </c>
      <c r="BY79" s="299">
        <f t="shared" si="26"/>
        <v>6250</v>
      </c>
      <c r="BZ79" s="299">
        <v>0</v>
      </c>
      <c r="CA79" s="299">
        <v>7678.57</v>
      </c>
      <c r="CB79" s="299">
        <v>0</v>
      </c>
      <c r="CC79" s="299">
        <v>8321.5300000000007</v>
      </c>
      <c r="CD79" s="299">
        <f t="shared" si="27"/>
        <v>16000.1</v>
      </c>
      <c r="CE79" s="299">
        <f t="shared" si="28"/>
        <v>-9750.1</v>
      </c>
      <c r="CF79" s="299">
        <v>13995.2</v>
      </c>
      <c r="CG79" s="299">
        <f t="shared" si="29"/>
        <v>4245.1000000000004</v>
      </c>
      <c r="CH79" s="299">
        <v>4015.49</v>
      </c>
      <c r="CI79" s="299">
        <v>229.61</v>
      </c>
      <c r="CJ79" s="299">
        <f t="shared" si="30"/>
        <v>4245.0999999999995</v>
      </c>
    </row>
    <row r="80" spans="1:88" ht="13.8">
      <c r="A80" s="252" t="s">
        <v>1377</v>
      </c>
      <c r="B80" s="288">
        <v>3386</v>
      </c>
      <c r="C80" s="288" t="s">
        <v>778</v>
      </c>
      <c r="D80" s="248" t="s">
        <v>704</v>
      </c>
      <c r="E80" s="380" t="str">
        <f t="shared" si="16"/>
        <v>30EP3386</v>
      </c>
      <c r="F80" s="299">
        <v>2155101.5</v>
      </c>
      <c r="G80" s="299">
        <v>0</v>
      </c>
      <c r="H80" s="299">
        <v>148489.59</v>
      </c>
      <c r="I80" s="299">
        <v>0</v>
      </c>
      <c r="J80" s="299">
        <v>99063</v>
      </c>
      <c r="K80" s="299">
        <v>101159.86</v>
      </c>
      <c r="L80" s="299">
        <v>0</v>
      </c>
      <c r="M80" s="299">
        <v>22550</v>
      </c>
      <c r="N80" s="299">
        <v>17292.61</v>
      </c>
      <c r="O80" s="299">
        <v>60353.919999999998</v>
      </c>
      <c r="P80" s="299">
        <v>0</v>
      </c>
      <c r="Q80" s="299">
        <v>0</v>
      </c>
      <c r="R80" s="299">
        <v>71978.100000000006</v>
      </c>
      <c r="S80" s="299">
        <v>16796.939999999999</v>
      </c>
      <c r="T80" s="299">
        <v>0</v>
      </c>
      <c r="U80" s="299">
        <v>0</v>
      </c>
      <c r="V80" s="299">
        <v>0</v>
      </c>
      <c r="W80" s="299">
        <v>0</v>
      </c>
      <c r="X80" s="299">
        <v>0</v>
      </c>
      <c r="Y80" s="299">
        <f t="shared" si="17"/>
        <v>2692785.5199999996</v>
      </c>
      <c r="Z80" s="299">
        <v>1228422.99</v>
      </c>
      <c r="AA80" s="299">
        <v>2072.44</v>
      </c>
      <c r="AB80" s="299">
        <v>540927.18000000005</v>
      </c>
      <c r="AC80" s="299">
        <v>34516.5</v>
      </c>
      <c r="AD80" s="299">
        <v>144134.39999999999</v>
      </c>
      <c r="AE80" s="299">
        <v>0</v>
      </c>
      <c r="AF80" s="299">
        <v>34355.86</v>
      </c>
      <c r="AG80" s="299">
        <v>11171.64</v>
      </c>
      <c r="AH80" s="299">
        <v>8938.2800000000007</v>
      </c>
      <c r="AI80" s="299">
        <v>4052</v>
      </c>
      <c r="AJ80" s="299">
        <v>0</v>
      </c>
      <c r="AK80" s="299">
        <v>15539.59</v>
      </c>
      <c r="AL80" s="299">
        <v>4587.2</v>
      </c>
      <c r="AM80" s="299">
        <v>39394.14</v>
      </c>
      <c r="AN80" s="299">
        <v>1601.37</v>
      </c>
      <c r="AO80" s="299">
        <v>28484.84</v>
      </c>
      <c r="AP80" s="299">
        <v>78810</v>
      </c>
      <c r="AQ80" s="299">
        <v>13270.59</v>
      </c>
      <c r="AR80" s="299">
        <v>126128.14</v>
      </c>
      <c r="AS80" s="299">
        <v>48392.88</v>
      </c>
      <c r="AT80" s="299">
        <v>0</v>
      </c>
      <c r="AU80" s="299">
        <v>11818.42</v>
      </c>
      <c r="AV80" s="299">
        <v>11117.38</v>
      </c>
      <c r="AW80" s="299">
        <v>669.71</v>
      </c>
      <c r="AX80" s="299">
        <v>149375.35</v>
      </c>
      <c r="AY80" s="299">
        <v>8242.43</v>
      </c>
      <c r="AZ80" s="299">
        <v>53398</v>
      </c>
      <c r="BA80" s="299">
        <v>16949.54</v>
      </c>
      <c r="BB80" s="299">
        <v>0</v>
      </c>
      <c r="BC80" s="299">
        <v>0</v>
      </c>
      <c r="BD80" s="299">
        <v>16427.240000000002</v>
      </c>
      <c r="BE80" s="299">
        <f t="shared" si="18"/>
        <v>2632798.11</v>
      </c>
      <c r="BF80" s="299">
        <f t="shared" si="19"/>
        <v>59987.409999999683</v>
      </c>
      <c r="BG80" s="299">
        <v>358495.43999999913</v>
      </c>
      <c r="BH80" s="299">
        <f t="shared" si="20"/>
        <v>418482.84999999881</v>
      </c>
      <c r="BI80" s="299">
        <v>0</v>
      </c>
      <c r="BJ80" s="299">
        <v>0</v>
      </c>
      <c r="BK80" s="299">
        <f t="shared" si="21"/>
        <v>0</v>
      </c>
      <c r="BL80" s="299">
        <v>0</v>
      </c>
      <c r="BM80" s="299">
        <v>0</v>
      </c>
      <c r="BN80" s="299">
        <f t="shared" si="22"/>
        <v>0</v>
      </c>
      <c r="BO80" s="299">
        <f t="shared" si="23"/>
        <v>0</v>
      </c>
      <c r="BP80" s="299">
        <v>0</v>
      </c>
      <c r="BQ80" s="299">
        <f t="shared" si="24"/>
        <v>0</v>
      </c>
      <c r="BR80" s="299">
        <v>41185.870000000003</v>
      </c>
      <c r="BS80" s="299">
        <v>377296.97999999835</v>
      </c>
      <c r="BT80" s="299">
        <v>0</v>
      </c>
      <c r="BU80" s="299">
        <f t="shared" si="25"/>
        <v>418482.84999999881</v>
      </c>
      <c r="BV80" s="299">
        <v>8657.5</v>
      </c>
      <c r="BW80" s="299">
        <v>0</v>
      </c>
      <c r="BX80" s="299">
        <v>6727.06</v>
      </c>
      <c r="BY80" s="299">
        <f t="shared" si="26"/>
        <v>15384.560000000001</v>
      </c>
      <c r="BZ80" s="299">
        <v>0</v>
      </c>
      <c r="CA80" s="299">
        <v>6851.63</v>
      </c>
      <c r="CB80" s="299">
        <v>0</v>
      </c>
      <c r="CC80" s="299">
        <v>13581.45</v>
      </c>
      <c r="CD80" s="299">
        <f t="shared" si="27"/>
        <v>20433.080000000002</v>
      </c>
      <c r="CE80" s="299">
        <f t="shared" si="28"/>
        <v>-5048.5200000000004</v>
      </c>
      <c r="CF80" s="299">
        <v>5048.5200000000004</v>
      </c>
      <c r="CG80" s="299">
        <f t="shared" si="29"/>
        <v>0</v>
      </c>
      <c r="CH80" s="299">
        <v>0</v>
      </c>
      <c r="CI80" s="299">
        <v>0</v>
      </c>
      <c r="CJ80" s="299">
        <f t="shared" si="30"/>
        <v>0</v>
      </c>
    </row>
    <row r="81" spans="1:88" ht="13.8">
      <c r="A81" s="252" t="s">
        <v>1377</v>
      </c>
      <c r="B81" s="288">
        <v>2449</v>
      </c>
      <c r="C81" s="288" t="s">
        <v>779</v>
      </c>
      <c r="D81" s="248" t="s">
        <v>704</v>
      </c>
      <c r="E81" s="380" t="str">
        <f t="shared" si="16"/>
        <v>30EP2449</v>
      </c>
      <c r="F81" s="299">
        <v>2114597.2999999998</v>
      </c>
      <c r="G81" s="299">
        <v>0</v>
      </c>
      <c r="H81" s="299">
        <v>76166.11</v>
      </c>
      <c r="I81" s="299">
        <v>0</v>
      </c>
      <c r="J81" s="299">
        <v>105235</v>
      </c>
      <c r="K81" s="299">
        <v>77586.929999999993</v>
      </c>
      <c r="L81" s="299">
        <v>0</v>
      </c>
      <c r="M81" s="299">
        <v>0</v>
      </c>
      <c r="N81" s="299">
        <v>22131.62</v>
      </c>
      <c r="O81" s="299">
        <v>0</v>
      </c>
      <c r="P81" s="299">
        <v>7130</v>
      </c>
      <c r="Q81" s="299">
        <v>0</v>
      </c>
      <c r="R81" s="299">
        <v>26599.14</v>
      </c>
      <c r="S81" s="299">
        <v>1636.74</v>
      </c>
      <c r="T81" s="299">
        <v>0</v>
      </c>
      <c r="U81" s="299">
        <v>0</v>
      </c>
      <c r="V81" s="299">
        <v>0</v>
      </c>
      <c r="W81" s="299">
        <v>0</v>
      </c>
      <c r="X81" s="299">
        <v>0</v>
      </c>
      <c r="Y81" s="299">
        <f t="shared" si="17"/>
        <v>2431082.8400000003</v>
      </c>
      <c r="Z81" s="299">
        <v>1282492.1200000001</v>
      </c>
      <c r="AA81" s="299">
        <v>8343.94</v>
      </c>
      <c r="AB81" s="299">
        <v>440191.52</v>
      </c>
      <c r="AC81" s="299">
        <v>15735.9</v>
      </c>
      <c r="AD81" s="299">
        <v>124463.49</v>
      </c>
      <c r="AE81" s="299">
        <v>0</v>
      </c>
      <c r="AF81" s="299">
        <v>50181.94</v>
      </c>
      <c r="AG81" s="299">
        <v>8877.27</v>
      </c>
      <c r="AH81" s="299">
        <v>5665</v>
      </c>
      <c r="AI81" s="299">
        <v>10075</v>
      </c>
      <c r="AJ81" s="299">
        <v>0</v>
      </c>
      <c r="AK81" s="299">
        <v>55036.86</v>
      </c>
      <c r="AL81" s="299">
        <v>4019.53</v>
      </c>
      <c r="AM81" s="299">
        <v>39322.230000000003</v>
      </c>
      <c r="AN81" s="299">
        <v>5111.0600000000004</v>
      </c>
      <c r="AO81" s="299">
        <v>31150.85</v>
      </c>
      <c r="AP81" s="299">
        <v>66600</v>
      </c>
      <c r="AQ81" s="299">
        <v>6281.82</v>
      </c>
      <c r="AR81" s="299">
        <v>93979.24</v>
      </c>
      <c r="AS81" s="299">
        <v>62030.630000000005</v>
      </c>
      <c r="AT81" s="299">
        <v>0</v>
      </c>
      <c r="AU81" s="299">
        <v>7272.84</v>
      </c>
      <c r="AV81" s="299">
        <v>10980.71</v>
      </c>
      <c r="AW81" s="299">
        <v>1500.02</v>
      </c>
      <c r="AX81" s="299">
        <v>75333.210000000006</v>
      </c>
      <c r="AY81" s="299">
        <v>30446.44</v>
      </c>
      <c r="AZ81" s="299">
        <v>78983.149999999994</v>
      </c>
      <c r="BA81" s="299">
        <v>23863.8</v>
      </c>
      <c r="BB81" s="299">
        <v>0</v>
      </c>
      <c r="BC81" s="299">
        <v>0</v>
      </c>
      <c r="BD81" s="299">
        <v>0</v>
      </c>
      <c r="BE81" s="299">
        <f t="shared" si="18"/>
        <v>2537938.5699999994</v>
      </c>
      <c r="BF81" s="299">
        <f t="shared" si="19"/>
        <v>-106855.72999999905</v>
      </c>
      <c r="BG81" s="299">
        <v>550661.12999999931</v>
      </c>
      <c r="BH81" s="299">
        <f t="shared" si="20"/>
        <v>443805.40000000026</v>
      </c>
      <c r="BI81" s="299">
        <v>5031.8100000000004</v>
      </c>
      <c r="BJ81" s="299">
        <v>339174.9</v>
      </c>
      <c r="BK81" s="299">
        <f t="shared" si="21"/>
        <v>344206.71</v>
      </c>
      <c r="BL81" s="299">
        <v>174284.99</v>
      </c>
      <c r="BM81" s="299">
        <v>175850.04</v>
      </c>
      <c r="BN81" s="299">
        <f t="shared" si="22"/>
        <v>350135.03</v>
      </c>
      <c r="BO81" s="299">
        <f t="shared" si="23"/>
        <v>-5928.320000000007</v>
      </c>
      <c r="BP81" s="299">
        <v>135164.31000000006</v>
      </c>
      <c r="BQ81" s="299">
        <f t="shared" si="24"/>
        <v>129235.99000000005</v>
      </c>
      <c r="BR81" s="299">
        <v>68021.31</v>
      </c>
      <c r="BS81" s="299">
        <v>375784.09000000026</v>
      </c>
      <c r="BT81" s="299">
        <v>129235.99000000005</v>
      </c>
      <c r="BU81" s="299">
        <f t="shared" si="25"/>
        <v>573041.39000000036</v>
      </c>
      <c r="BV81" s="299">
        <v>8584.3799999999992</v>
      </c>
      <c r="BW81" s="299">
        <v>0</v>
      </c>
      <c r="BX81" s="299">
        <v>0</v>
      </c>
      <c r="BY81" s="299">
        <f t="shared" si="26"/>
        <v>8584.3799999999992</v>
      </c>
      <c r="BZ81" s="299">
        <v>0</v>
      </c>
      <c r="CA81" s="299">
        <v>12121</v>
      </c>
      <c r="CB81" s="299">
        <v>0</v>
      </c>
      <c r="CC81" s="299">
        <v>4586.93</v>
      </c>
      <c r="CD81" s="299">
        <f t="shared" si="27"/>
        <v>16707.93</v>
      </c>
      <c r="CE81" s="299">
        <f t="shared" si="28"/>
        <v>-8123.5500000000011</v>
      </c>
      <c r="CF81" s="299">
        <v>18024</v>
      </c>
      <c r="CG81" s="299">
        <f t="shared" si="29"/>
        <v>9900.4499999999989</v>
      </c>
      <c r="CH81" s="299">
        <v>9900.4499999999989</v>
      </c>
      <c r="CI81" s="299">
        <v>0</v>
      </c>
      <c r="CJ81" s="299">
        <f t="shared" si="30"/>
        <v>9900.4499999999989</v>
      </c>
    </row>
    <row r="82" spans="1:88" ht="13.8">
      <c r="A82" s="252" t="s">
        <v>1377</v>
      </c>
      <c r="B82" s="288">
        <v>2107</v>
      </c>
      <c r="C82" s="288" t="s">
        <v>780</v>
      </c>
      <c r="D82" s="248" t="s">
        <v>704</v>
      </c>
      <c r="E82" s="380" t="str">
        <f t="shared" si="16"/>
        <v>30EP2107</v>
      </c>
      <c r="F82" s="299">
        <v>2072339.78</v>
      </c>
      <c r="G82" s="299">
        <v>0</v>
      </c>
      <c r="H82" s="299">
        <v>79204.36</v>
      </c>
      <c r="I82" s="299">
        <v>0</v>
      </c>
      <c r="J82" s="299">
        <v>118385</v>
      </c>
      <c r="K82" s="299">
        <v>87188</v>
      </c>
      <c r="L82" s="299">
        <v>0</v>
      </c>
      <c r="M82" s="299">
        <v>14220.39</v>
      </c>
      <c r="N82" s="299">
        <v>302167.01</v>
      </c>
      <c r="O82" s="299">
        <v>0</v>
      </c>
      <c r="P82" s="299">
        <v>1875</v>
      </c>
      <c r="Q82" s="299">
        <v>0</v>
      </c>
      <c r="R82" s="299">
        <v>25817.89</v>
      </c>
      <c r="S82" s="299">
        <v>15649.14</v>
      </c>
      <c r="T82" s="299">
        <v>0</v>
      </c>
      <c r="U82" s="299">
        <v>0</v>
      </c>
      <c r="V82" s="299">
        <v>0</v>
      </c>
      <c r="W82" s="299">
        <v>0</v>
      </c>
      <c r="X82" s="299">
        <v>0</v>
      </c>
      <c r="Y82" s="299">
        <f t="shared" si="17"/>
        <v>2716846.5700000003</v>
      </c>
      <c r="Z82" s="299">
        <v>1305298.3400000001</v>
      </c>
      <c r="AA82" s="299">
        <v>0</v>
      </c>
      <c r="AB82" s="299">
        <v>443163.83</v>
      </c>
      <c r="AC82" s="299">
        <v>15175.43</v>
      </c>
      <c r="AD82" s="299">
        <v>103603.95</v>
      </c>
      <c r="AE82" s="299">
        <v>0</v>
      </c>
      <c r="AF82" s="299">
        <v>160848.41</v>
      </c>
      <c r="AG82" s="299">
        <v>9795.98</v>
      </c>
      <c r="AH82" s="299">
        <v>5494.8</v>
      </c>
      <c r="AI82" s="299">
        <v>8115.33</v>
      </c>
      <c r="AJ82" s="299">
        <v>0</v>
      </c>
      <c r="AK82" s="299">
        <v>17904.05</v>
      </c>
      <c r="AL82" s="299">
        <v>161.32</v>
      </c>
      <c r="AM82" s="299">
        <v>59395.12</v>
      </c>
      <c r="AN82" s="299">
        <v>8541</v>
      </c>
      <c r="AO82" s="299">
        <v>44940.93</v>
      </c>
      <c r="AP82" s="299">
        <v>50227.5</v>
      </c>
      <c r="AQ82" s="299">
        <v>13161.86</v>
      </c>
      <c r="AR82" s="299">
        <v>66892.039999999994</v>
      </c>
      <c r="AS82" s="299">
        <v>47575.64</v>
      </c>
      <c r="AT82" s="299">
        <v>0</v>
      </c>
      <c r="AU82" s="299">
        <v>9509.76</v>
      </c>
      <c r="AV82" s="299">
        <v>10649.16</v>
      </c>
      <c r="AW82" s="299">
        <v>4821.01</v>
      </c>
      <c r="AX82" s="299">
        <v>73295.06</v>
      </c>
      <c r="AY82" s="299">
        <v>16623.490000000002</v>
      </c>
      <c r="AZ82" s="299">
        <v>8637.93</v>
      </c>
      <c r="BA82" s="299">
        <v>56468.58</v>
      </c>
      <c r="BB82" s="299">
        <v>0</v>
      </c>
      <c r="BC82" s="299">
        <v>0</v>
      </c>
      <c r="BD82" s="299">
        <v>0</v>
      </c>
      <c r="BE82" s="299">
        <f t="shared" si="18"/>
        <v>2540300.5200000005</v>
      </c>
      <c r="BF82" s="299">
        <f t="shared" si="19"/>
        <v>176546.04999999981</v>
      </c>
      <c r="BG82" s="299">
        <v>159145.73999999985</v>
      </c>
      <c r="BH82" s="299">
        <f t="shared" si="20"/>
        <v>335691.78999999969</v>
      </c>
      <c r="BI82" s="299">
        <v>0</v>
      </c>
      <c r="BJ82" s="299">
        <v>0</v>
      </c>
      <c r="BK82" s="299">
        <f t="shared" si="21"/>
        <v>0</v>
      </c>
      <c r="BL82" s="299">
        <v>0</v>
      </c>
      <c r="BM82" s="299">
        <v>0</v>
      </c>
      <c r="BN82" s="299">
        <f t="shared" si="22"/>
        <v>0</v>
      </c>
      <c r="BO82" s="299">
        <f t="shared" si="23"/>
        <v>0</v>
      </c>
      <c r="BP82" s="299">
        <v>0</v>
      </c>
      <c r="BQ82" s="299">
        <f t="shared" si="24"/>
        <v>0</v>
      </c>
      <c r="BR82" s="299">
        <v>29597</v>
      </c>
      <c r="BS82" s="299">
        <v>306094.79000000015</v>
      </c>
      <c r="BT82" s="299">
        <v>0</v>
      </c>
      <c r="BU82" s="299">
        <f t="shared" si="25"/>
        <v>335691.78999999969</v>
      </c>
      <c r="BV82" s="299">
        <v>8387.5</v>
      </c>
      <c r="BW82" s="299">
        <v>0</v>
      </c>
      <c r="BX82" s="299">
        <v>0</v>
      </c>
      <c r="BY82" s="299">
        <f t="shared" si="26"/>
        <v>8387.5</v>
      </c>
      <c r="BZ82" s="299">
        <v>0</v>
      </c>
      <c r="CA82" s="299">
        <v>13613.41</v>
      </c>
      <c r="CB82" s="299">
        <v>0</v>
      </c>
      <c r="CC82" s="299">
        <v>465.58</v>
      </c>
      <c r="CD82" s="299">
        <f t="shared" si="27"/>
        <v>14078.99</v>
      </c>
      <c r="CE82" s="299">
        <f t="shared" si="28"/>
        <v>-5691.49</v>
      </c>
      <c r="CF82" s="299">
        <v>27588.109999999993</v>
      </c>
      <c r="CG82" s="299">
        <f t="shared" si="29"/>
        <v>21896.619999999995</v>
      </c>
      <c r="CH82" s="299">
        <v>21151.609999999997</v>
      </c>
      <c r="CI82" s="299">
        <v>745.00999999999704</v>
      </c>
      <c r="CJ82" s="299">
        <f t="shared" si="30"/>
        <v>21896.619999999995</v>
      </c>
    </row>
    <row r="83" spans="1:88" ht="13.8">
      <c r="A83" s="252" t="s">
        <v>1377</v>
      </c>
      <c r="B83" s="288">
        <v>2109</v>
      </c>
      <c r="C83" s="288" t="s">
        <v>781</v>
      </c>
      <c r="D83" s="248" t="s">
        <v>704</v>
      </c>
      <c r="E83" s="380" t="str">
        <f t="shared" si="16"/>
        <v>30EP2109</v>
      </c>
      <c r="F83" s="299">
        <v>1186375.74</v>
      </c>
      <c r="G83" s="299">
        <v>0</v>
      </c>
      <c r="H83" s="299">
        <v>21999.33</v>
      </c>
      <c r="I83" s="299">
        <v>0</v>
      </c>
      <c r="J83" s="299">
        <v>22725</v>
      </c>
      <c r="K83" s="299">
        <v>57607.53</v>
      </c>
      <c r="L83" s="299">
        <v>0</v>
      </c>
      <c r="M83" s="299">
        <v>45488.45</v>
      </c>
      <c r="N83" s="299">
        <v>4387.6099999999997</v>
      </c>
      <c r="O83" s="299">
        <v>41462.31</v>
      </c>
      <c r="P83" s="299">
        <v>0</v>
      </c>
      <c r="Q83" s="299">
        <v>0</v>
      </c>
      <c r="R83" s="299">
        <v>32191.1</v>
      </c>
      <c r="S83" s="299">
        <v>26024.57</v>
      </c>
      <c r="T83" s="299">
        <v>0</v>
      </c>
      <c r="U83" s="299">
        <v>0</v>
      </c>
      <c r="V83" s="299">
        <v>0</v>
      </c>
      <c r="W83" s="299">
        <v>0</v>
      </c>
      <c r="X83" s="299">
        <v>0</v>
      </c>
      <c r="Y83" s="299">
        <f t="shared" si="17"/>
        <v>1438261.6400000004</v>
      </c>
      <c r="Z83" s="299">
        <v>685297.44</v>
      </c>
      <c r="AA83" s="299">
        <v>12617.63</v>
      </c>
      <c r="AB83" s="299">
        <v>231598.19</v>
      </c>
      <c r="AC83" s="299">
        <v>61183.33</v>
      </c>
      <c r="AD83" s="299">
        <v>62223.34</v>
      </c>
      <c r="AE83" s="299">
        <v>52939.93</v>
      </c>
      <c r="AF83" s="299">
        <v>16093.62</v>
      </c>
      <c r="AG83" s="299">
        <v>4308</v>
      </c>
      <c r="AH83" s="299">
        <v>3097.3</v>
      </c>
      <c r="AI83" s="299">
        <v>5625</v>
      </c>
      <c r="AJ83" s="299">
        <v>375</v>
      </c>
      <c r="AK83" s="299">
        <v>12970.68</v>
      </c>
      <c r="AL83" s="299">
        <v>1965.27</v>
      </c>
      <c r="AM83" s="299">
        <v>2153.42</v>
      </c>
      <c r="AN83" s="299">
        <v>3493.18</v>
      </c>
      <c r="AO83" s="299">
        <v>28877.97</v>
      </c>
      <c r="AP83" s="299">
        <v>34132.5</v>
      </c>
      <c r="AQ83" s="299">
        <v>8658.41</v>
      </c>
      <c r="AR83" s="299">
        <v>58776.53</v>
      </c>
      <c r="AS83" s="299">
        <v>30381.98</v>
      </c>
      <c r="AT83" s="299">
        <v>0</v>
      </c>
      <c r="AU83" s="299">
        <v>4540.75</v>
      </c>
      <c r="AV83" s="299">
        <v>6404.16</v>
      </c>
      <c r="AW83" s="299">
        <v>15419.45</v>
      </c>
      <c r="AX83" s="299">
        <v>31270.49</v>
      </c>
      <c r="AY83" s="299">
        <v>0</v>
      </c>
      <c r="AZ83" s="299">
        <v>23295.25</v>
      </c>
      <c r="BA83" s="299">
        <v>18371.87</v>
      </c>
      <c r="BB83" s="299">
        <v>0</v>
      </c>
      <c r="BC83" s="299">
        <v>0</v>
      </c>
      <c r="BD83" s="299">
        <v>0</v>
      </c>
      <c r="BE83" s="299">
        <f t="shared" si="18"/>
        <v>1416070.6899999997</v>
      </c>
      <c r="BF83" s="299">
        <f t="shared" si="19"/>
        <v>22190.950000000652</v>
      </c>
      <c r="BG83" s="299">
        <v>59794.429999999469</v>
      </c>
      <c r="BH83" s="299">
        <f t="shared" si="20"/>
        <v>81985.380000000121</v>
      </c>
      <c r="BI83" s="299">
        <v>0</v>
      </c>
      <c r="BJ83" s="299">
        <v>0</v>
      </c>
      <c r="BK83" s="299">
        <f t="shared" si="21"/>
        <v>0</v>
      </c>
      <c r="BL83" s="299">
        <v>0</v>
      </c>
      <c r="BM83" s="299">
        <v>0</v>
      </c>
      <c r="BN83" s="299">
        <f t="shared" si="22"/>
        <v>0</v>
      </c>
      <c r="BO83" s="299">
        <f t="shared" si="23"/>
        <v>0</v>
      </c>
      <c r="BP83" s="299">
        <v>0</v>
      </c>
      <c r="BQ83" s="299">
        <f t="shared" si="24"/>
        <v>0</v>
      </c>
      <c r="BR83" s="299">
        <v>0</v>
      </c>
      <c r="BS83" s="299">
        <v>81985.380000000121</v>
      </c>
      <c r="BT83" s="299">
        <v>0</v>
      </c>
      <c r="BU83" s="299">
        <f t="shared" si="25"/>
        <v>81985.380000000121</v>
      </c>
      <c r="BV83" s="299">
        <v>6576.25</v>
      </c>
      <c r="BW83" s="299">
        <v>0</v>
      </c>
      <c r="BX83" s="299">
        <v>0</v>
      </c>
      <c r="BY83" s="299">
        <f t="shared" si="26"/>
        <v>6576.25</v>
      </c>
      <c r="BZ83" s="299">
        <v>0</v>
      </c>
      <c r="CA83" s="299">
        <v>5976.9</v>
      </c>
      <c r="CB83" s="299">
        <v>0</v>
      </c>
      <c r="CC83" s="299">
        <v>0</v>
      </c>
      <c r="CD83" s="299">
        <f t="shared" si="27"/>
        <v>5976.9</v>
      </c>
      <c r="CE83" s="299">
        <f t="shared" si="28"/>
        <v>599.35000000000036</v>
      </c>
      <c r="CF83" s="299">
        <v>1575.4700000000003</v>
      </c>
      <c r="CG83" s="299">
        <f t="shared" si="29"/>
        <v>2174.8200000000006</v>
      </c>
      <c r="CH83" s="299">
        <v>2174.8200000000006</v>
      </c>
      <c r="CI83" s="299">
        <v>0</v>
      </c>
      <c r="CJ83" s="299">
        <f t="shared" si="30"/>
        <v>2174.8200000000006</v>
      </c>
    </row>
    <row r="84" spans="1:88" ht="13.8">
      <c r="A84" s="252" t="s">
        <v>1377</v>
      </c>
      <c r="B84" s="288">
        <v>3390</v>
      </c>
      <c r="C84" s="288" t="s">
        <v>782</v>
      </c>
      <c r="D84" s="248" t="s">
        <v>704</v>
      </c>
      <c r="E84" s="380" t="str">
        <f t="shared" si="16"/>
        <v>30EP3390</v>
      </c>
      <c r="F84" s="299">
        <v>1248995</v>
      </c>
      <c r="G84" s="299">
        <v>0</v>
      </c>
      <c r="H84" s="299">
        <v>81027.460000000006</v>
      </c>
      <c r="I84" s="299">
        <v>0</v>
      </c>
      <c r="J84" s="299">
        <v>106765</v>
      </c>
      <c r="K84" s="299">
        <v>38427</v>
      </c>
      <c r="L84" s="299">
        <v>0</v>
      </c>
      <c r="M84" s="299">
        <v>1766</v>
      </c>
      <c r="N84" s="299">
        <v>16246.88</v>
      </c>
      <c r="O84" s="299">
        <v>10748.17</v>
      </c>
      <c r="P84" s="299">
        <v>2024</v>
      </c>
      <c r="Q84" s="299">
        <v>2496.52</v>
      </c>
      <c r="R84" s="299">
        <v>10252.780000000001</v>
      </c>
      <c r="S84" s="299">
        <v>0</v>
      </c>
      <c r="T84" s="299">
        <v>0</v>
      </c>
      <c r="U84" s="299">
        <v>0</v>
      </c>
      <c r="V84" s="299">
        <v>0</v>
      </c>
      <c r="W84" s="299">
        <v>0</v>
      </c>
      <c r="X84" s="299">
        <v>0</v>
      </c>
      <c r="Y84" s="299">
        <f t="shared" si="17"/>
        <v>1518748.8099999998</v>
      </c>
      <c r="Z84" s="299">
        <v>765537.71</v>
      </c>
      <c r="AA84" s="299">
        <v>0</v>
      </c>
      <c r="AB84" s="299">
        <v>307464.89</v>
      </c>
      <c r="AC84" s="299">
        <v>48712.28</v>
      </c>
      <c r="AD84" s="299">
        <v>66946.84</v>
      </c>
      <c r="AE84" s="299">
        <v>0</v>
      </c>
      <c r="AF84" s="299">
        <v>0</v>
      </c>
      <c r="AG84" s="299">
        <v>5254.46</v>
      </c>
      <c r="AH84" s="299">
        <v>4695.3599999999997</v>
      </c>
      <c r="AI84" s="299">
        <v>4375</v>
      </c>
      <c r="AJ84" s="299">
        <v>1472.5</v>
      </c>
      <c r="AK84" s="299">
        <v>18111.169999999998</v>
      </c>
      <c r="AL84" s="299">
        <v>3468.75</v>
      </c>
      <c r="AM84" s="299">
        <v>9534.75</v>
      </c>
      <c r="AN84" s="299">
        <v>2741.25</v>
      </c>
      <c r="AO84" s="299">
        <v>25604.91</v>
      </c>
      <c r="AP84" s="299">
        <v>49672.5</v>
      </c>
      <c r="AQ84" s="299">
        <v>2927.51</v>
      </c>
      <c r="AR84" s="299">
        <v>74024.87</v>
      </c>
      <c r="AS84" s="299">
        <v>43780.869999999995</v>
      </c>
      <c r="AT84" s="299">
        <v>0</v>
      </c>
      <c r="AU84" s="299">
        <v>4874.45</v>
      </c>
      <c r="AV84" s="299">
        <v>5608.88</v>
      </c>
      <c r="AW84" s="299">
        <v>5.55</v>
      </c>
      <c r="AX84" s="299">
        <v>84141.119999999995</v>
      </c>
      <c r="AY84" s="299">
        <v>94286.88</v>
      </c>
      <c r="AZ84" s="299">
        <v>118141.11</v>
      </c>
      <c r="BA84" s="299">
        <v>23790.61</v>
      </c>
      <c r="BB84" s="299">
        <v>0</v>
      </c>
      <c r="BC84" s="299">
        <v>0</v>
      </c>
      <c r="BD84" s="299">
        <v>0</v>
      </c>
      <c r="BE84" s="299">
        <f t="shared" si="18"/>
        <v>1765174.2200000002</v>
      </c>
      <c r="BF84" s="299">
        <f t="shared" si="19"/>
        <v>-246425.41000000038</v>
      </c>
      <c r="BG84" s="299">
        <v>-198.47000000037951</v>
      </c>
      <c r="BH84" s="299">
        <f t="shared" si="20"/>
        <v>-246623.88000000076</v>
      </c>
      <c r="BI84" s="299">
        <v>0</v>
      </c>
      <c r="BJ84" s="299">
        <v>0</v>
      </c>
      <c r="BK84" s="299">
        <f t="shared" si="21"/>
        <v>0</v>
      </c>
      <c r="BL84" s="299">
        <v>0</v>
      </c>
      <c r="BM84" s="299">
        <v>0</v>
      </c>
      <c r="BN84" s="299">
        <f t="shared" si="22"/>
        <v>0</v>
      </c>
      <c r="BO84" s="299">
        <f t="shared" si="23"/>
        <v>0</v>
      </c>
      <c r="BP84" s="299">
        <v>0</v>
      </c>
      <c r="BQ84" s="299">
        <f t="shared" si="24"/>
        <v>0</v>
      </c>
      <c r="BR84" s="299">
        <v>0</v>
      </c>
      <c r="BS84" s="299">
        <v>-246623.8800000003</v>
      </c>
      <c r="BT84" s="299">
        <v>0</v>
      </c>
      <c r="BU84" s="299">
        <f t="shared" si="25"/>
        <v>-246623.88000000076</v>
      </c>
      <c r="BV84" s="299">
        <v>6250</v>
      </c>
      <c r="BW84" s="299">
        <v>0</v>
      </c>
      <c r="BX84" s="299">
        <v>0</v>
      </c>
      <c r="BY84" s="299">
        <f t="shared" si="26"/>
        <v>6250</v>
      </c>
      <c r="BZ84" s="299">
        <v>0</v>
      </c>
      <c r="CA84" s="299">
        <v>0</v>
      </c>
      <c r="CB84" s="299">
        <v>0</v>
      </c>
      <c r="CC84" s="299">
        <v>270.61</v>
      </c>
      <c r="CD84" s="299">
        <f t="shared" si="27"/>
        <v>270.61</v>
      </c>
      <c r="CE84" s="299">
        <f t="shared" si="28"/>
        <v>5979.39</v>
      </c>
      <c r="CF84" s="299">
        <v>10368.08</v>
      </c>
      <c r="CG84" s="299">
        <f t="shared" si="29"/>
        <v>16347.470000000001</v>
      </c>
      <c r="CH84" s="299">
        <v>16347.470000000001</v>
      </c>
      <c r="CI84" s="299">
        <v>0</v>
      </c>
      <c r="CJ84" s="299">
        <f t="shared" si="30"/>
        <v>16347.470000000001</v>
      </c>
    </row>
    <row r="85" spans="1:88" ht="13.8">
      <c r="A85" s="252" t="s">
        <v>1377</v>
      </c>
      <c r="B85" s="290">
        <v>2031</v>
      </c>
      <c r="C85" s="290" t="s">
        <v>783</v>
      </c>
      <c r="D85" s="248" t="s">
        <v>704</v>
      </c>
      <c r="E85" s="380" t="str">
        <f t="shared" si="16"/>
        <v>30EP2031</v>
      </c>
      <c r="F85" s="299">
        <v>1111437.26</v>
      </c>
      <c r="G85" s="299">
        <v>0</v>
      </c>
      <c r="H85" s="299">
        <v>44688.25</v>
      </c>
      <c r="I85" s="299">
        <v>0</v>
      </c>
      <c r="J85" s="299">
        <v>54040</v>
      </c>
      <c r="K85" s="299">
        <v>53489.86</v>
      </c>
      <c r="L85" s="299">
        <v>0</v>
      </c>
      <c r="M85" s="299">
        <v>9456.48</v>
      </c>
      <c r="N85" s="299">
        <v>6673.93</v>
      </c>
      <c r="O85" s="299">
        <v>13379.76</v>
      </c>
      <c r="P85" s="299">
        <v>18430.669999999998</v>
      </c>
      <c r="Q85" s="299">
        <v>0</v>
      </c>
      <c r="R85" s="299">
        <v>16910.169999999998</v>
      </c>
      <c r="S85" s="299">
        <v>25667.63</v>
      </c>
      <c r="T85" s="299">
        <v>0</v>
      </c>
      <c r="U85" s="299">
        <v>0</v>
      </c>
      <c r="V85" s="299">
        <v>0</v>
      </c>
      <c r="W85" s="299">
        <v>0</v>
      </c>
      <c r="X85" s="299">
        <v>0</v>
      </c>
      <c r="Y85" s="299">
        <f t="shared" si="17"/>
        <v>1354174.0099999998</v>
      </c>
      <c r="Z85" s="299">
        <v>689325.12</v>
      </c>
      <c r="AA85" s="299">
        <v>59197.77</v>
      </c>
      <c r="AB85" s="299">
        <v>204186.27</v>
      </c>
      <c r="AC85" s="299">
        <v>11590.79</v>
      </c>
      <c r="AD85" s="299">
        <v>68355.320000000007</v>
      </c>
      <c r="AE85" s="299">
        <v>0</v>
      </c>
      <c r="AF85" s="299">
        <v>22890.95</v>
      </c>
      <c r="AG85" s="299">
        <v>7268.76</v>
      </c>
      <c r="AH85" s="299">
        <v>2948.75</v>
      </c>
      <c r="AI85" s="299">
        <v>5125</v>
      </c>
      <c r="AJ85" s="299">
        <v>367.5</v>
      </c>
      <c r="AK85" s="299">
        <v>17915.13</v>
      </c>
      <c r="AL85" s="299">
        <v>720</v>
      </c>
      <c r="AM85" s="299">
        <v>49139.46</v>
      </c>
      <c r="AN85" s="299">
        <v>15721.56</v>
      </c>
      <c r="AO85" s="299">
        <v>22363.84</v>
      </c>
      <c r="AP85" s="299">
        <v>23827.25</v>
      </c>
      <c r="AQ85" s="299">
        <v>6870.65</v>
      </c>
      <c r="AR85" s="299">
        <v>54679.05</v>
      </c>
      <c r="AS85" s="299">
        <v>30253.800000000003</v>
      </c>
      <c r="AT85" s="299">
        <v>0</v>
      </c>
      <c r="AU85" s="299">
        <v>7968.3</v>
      </c>
      <c r="AV85" s="299">
        <v>5777.74</v>
      </c>
      <c r="AW85" s="299">
        <v>0</v>
      </c>
      <c r="AX85" s="299">
        <v>77177.759999999995</v>
      </c>
      <c r="AY85" s="299">
        <v>0</v>
      </c>
      <c r="AZ85" s="299">
        <v>12830</v>
      </c>
      <c r="BA85" s="299">
        <v>21903.26</v>
      </c>
      <c r="BB85" s="299">
        <v>0</v>
      </c>
      <c r="BC85" s="299">
        <v>2137.38</v>
      </c>
      <c r="BD85" s="299">
        <v>5583.38</v>
      </c>
      <c r="BE85" s="299">
        <f t="shared" si="18"/>
        <v>1426124.7899999998</v>
      </c>
      <c r="BF85" s="299">
        <f t="shared" si="19"/>
        <v>-71950.780000000028</v>
      </c>
      <c r="BG85" s="299">
        <v>-36563.860000000277</v>
      </c>
      <c r="BH85" s="299">
        <f t="shared" si="20"/>
        <v>-108514.64000000031</v>
      </c>
      <c r="BI85" s="299">
        <v>0</v>
      </c>
      <c r="BJ85" s="299">
        <v>0</v>
      </c>
      <c r="BK85" s="299">
        <f t="shared" si="21"/>
        <v>0</v>
      </c>
      <c r="BL85" s="299">
        <v>0</v>
      </c>
      <c r="BM85" s="299">
        <v>0</v>
      </c>
      <c r="BN85" s="299">
        <f t="shared" si="22"/>
        <v>0</v>
      </c>
      <c r="BO85" s="299">
        <f t="shared" si="23"/>
        <v>0</v>
      </c>
      <c r="BP85" s="299">
        <v>0</v>
      </c>
      <c r="BQ85" s="299">
        <f t="shared" si="24"/>
        <v>0</v>
      </c>
      <c r="BR85" s="299">
        <v>0</v>
      </c>
      <c r="BS85" s="299">
        <v>-108514.64000000031</v>
      </c>
      <c r="BT85" s="299">
        <v>0</v>
      </c>
      <c r="BU85" s="299">
        <f t="shared" si="25"/>
        <v>-108514.64000000031</v>
      </c>
      <c r="BV85" s="299">
        <v>6261.25</v>
      </c>
      <c r="BW85" s="299">
        <v>0</v>
      </c>
      <c r="BX85" s="299">
        <v>0</v>
      </c>
      <c r="BY85" s="299">
        <f t="shared" si="26"/>
        <v>6261.25</v>
      </c>
      <c r="BZ85" s="299">
        <v>0</v>
      </c>
      <c r="CA85" s="299">
        <v>0</v>
      </c>
      <c r="CB85" s="299">
        <v>0</v>
      </c>
      <c r="CC85" s="299">
        <v>5491</v>
      </c>
      <c r="CD85" s="299">
        <f t="shared" si="27"/>
        <v>5491</v>
      </c>
      <c r="CE85" s="299">
        <f t="shared" si="28"/>
        <v>770.25</v>
      </c>
      <c r="CF85" s="299">
        <v>13435.18</v>
      </c>
      <c r="CG85" s="299">
        <f t="shared" si="29"/>
        <v>14205.43</v>
      </c>
      <c r="CH85" s="299">
        <v>14205.43</v>
      </c>
      <c r="CI85" s="299">
        <v>0</v>
      </c>
      <c r="CJ85" s="299">
        <f t="shared" si="30"/>
        <v>14205.43</v>
      </c>
    </row>
    <row r="86" spans="1:88" ht="13.8">
      <c r="A86" s="252" t="s">
        <v>1377</v>
      </c>
      <c r="B86" s="288">
        <v>3350</v>
      </c>
      <c r="C86" s="288" t="s">
        <v>784</v>
      </c>
      <c r="D86" s="248" t="s">
        <v>704</v>
      </c>
      <c r="E86" s="380" t="str">
        <f t="shared" si="16"/>
        <v>30EP3350</v>
      </c>
      <c r="F86" s="299">
        <v>707554.78</v>
      </c>
      <c r="G86" s="299">
        <v>0</v>
      </c>
      <c r="H86" s="299">
        <v>51117.7</v>
      </c>
      <c r="I86" s="299">
        <v>0</v>
      </c>
      <c r="J86" s="299">
        <v>21210</v>
      </c>
      <c r="K86" s="299">
        <v>40729.93</v>
      </c>
      <c r="L86" s="299">
        <v>0</v>
      </c>
      <c r="M86" s="299">
        <v>0</v>
      </c>
      <c r="N86" s="299">
        <v>96565.39</v>
      </c>
      <c r="O86" s="299">
        <v>11703.35</v>
      </c>
      <c r="P86" s="299">
        <v>9610</v>
      </c>
      <c r="Q86" s="299">
        <v>120.6</v>
      </c>
      <c r="R86" s="299">
        <v>13411.83</v>
      </c>
      <c r="S86" s="299">
        <v>8626.5400000000009</v>
      </c>
      <c r="T86" s="299">
        <v>0</v>
      </c>
      <c r="U86" s="299">
        <v>0</v>
      </c>
      <c r="V86" s="299">
        <v>0</v>
      </c>
      <c r="W86" s="299">
        <v>0</v>
      </c>
      <c r="X86" s="299">
        <v>0</v>
      </c>
      <c r="Y86" s="299">
        <f t="shared" si="17"/>
        <v>960650.12</v>
      </c>
      <c r="Z86" s="299">
        <v>439505.67</v>
      </c>
      <c r="AA86" s="299">
        <v>0</v>
      </c>
      <c r="AB86" s="299">
        <v>204904.81</v>
      </c>
      <c r="AC86" s="299">
        <v>0</v>
      </c>
      <c r="AD86" s="299">
        <v>64420.639999999999</v>
      </c>
      <c r="AE86" s="299">
        <v>0</v>
      </c>
      <c r="AF86" s="299">
        <v>15338.79</v>
      </c>
      <c r="AG86" s="299">
        <v>798.1</v>
      </c>
      <c r="AH86" s="299">
        <v>3077.6</v>
      </c>
      <c r="AI86" s="299">
        <v>2975</v>
      </c>
      <c r="AJ86" s="299">
        <v>737.5</v>
      </c>
      <c r="AK86" s="299">
        <v>8265.69</v>
      </c>
      <c r="AL86" s="299">
        <v>139.18</v>
      </c>
      <c r="AM86" s="299">
        <v>19550.650000000001</v>
      </c>
      <c r="AN86" s="299">
        <v>1601.98</v>
      </c>
      <c r="AO86" s="299">
        <v>8873.59</v>
      </c>
      <c r="AP86" s="299">
        <v>1646.7</v>
      </c>
      <c r="AQ86" s="299">
        <v>4841.46</v>
      </c>
      <c r="AR86" s="299">
        <v>42803.73</v>
      </c>
      <c r="AS86" s="299">
        <v>21204.7</v>
      </c>
      <c r="AT86" s="299">
        <v>0</v>
      </c>
      <c r="AU86" s="299">
        <v>9374.82</v>
      </c>
      <c r="AV86" s="299">
        <v>3213</v>
      </c>
      <c r="AW86" s="299">
        <v>1672.92</v>
      </c>
      <c r="AX86" s="299">
        <v>41335.99</v>
      </c>
      <c r="AY86" s="299">
        <v>9275.56</v>
      </c>
      <c r="AZ86" s="299">
        <v>4211.83</v>
      </c>
      <c r="BA86" s="299">
        <v>15755.75</v>
      </c>
      <c r="BB86" s="299">
        <v>0</v>
      </c>
      <c r="BC86" s="299">
        <v>0</v>
      </c>
      <c r="BD86" s="299">
        <v>0</v>
      </c>
      <c r="BE86" s="299">
        <f t="shared" si="18"/>
        <v>925525.6599999998</v>
      </c>
      <c r="BF86" s="299">
        <f t="shared" si="19"/>
        <v>35124.460000000196</v>
      </c>
      <c r="BG86" s="299">
        <v>67396.830000000147</v>
      </c>
      <c r="BH86" s="299">
        <f t="shared" si="20"/>
        <v>102521.29000000034</v>
      </c>
      <c r="BI86" s="299">
        <v>0</v>
      </c>
      <c r="BJ86" s="299">
        <v>0</v>
      </c>
      <c r="BK86" s="299">
        <f t="shared" si="21"/>
        <v>0</v>
      </c>
      <c r="BL86" s="299">
        <v>0</v>
      </c>
      <c r="BM86" s="299">
        <v>0</v>
      </c>
      <c r="BN86" s="299">
        <f t="shared" si="22"/>
        <v>0</v>
      </c>
      <c r="BO86" s="299">
        <f t="shared" si="23"/>
        <v>0</v>
      </c>
      <c r="BP86" s="299">
        <v>0</v>
      </c>
      <c r="BQ86" s="299">
        <f t="shared" si="24"/>
        <v>0</v>
      </c>
      <c r="BR86" s="299">
        <v>5705</v>
      </c>
      <c r="BS86" s="299">
        <v>96816.290000000183</v>
      </c>
      <c r="BT86" s="299">
        <v>0</v>
      </c>
      <c r="BU86" s="299">
        <f t="shared" si="25"/>
        <v>102521.29000000034</v>
      </c>
      <c r="BV86" s="299">
        <v>0</v>
      </c>
      <c r="BW86" s="299">
        <v>0</v>
      </c>
      <c r="BX86" s="299">
        <v>0</v>
      </c>
      <c r="BY86" s="299">
        <f t="shared" si="26"/>
        <v>0</v>
      </c>
      <c r="BZ86" s="299">
        <v>0</v>
      </c>
      <c r="CA86" s="299">
        <v>0</v>
      </c>
      <c r="CB86" s="299">
        <v>0</v>
      </c>
      <c r="CC86" s="299">
        <v>0</v>
      </c>
      <c r="CD86" s="299">
        <f t="shared" si="27"/>
        <v>0</v>
      </c>
      <c r="CE86" s="299">
        <f t="shared" si="28"/>
        <v>0</v>
      </c>
      <c r="CF86" s="299">
        <v>0</v>
      </c>
      <c r="CG86" s="299">
        <f t="shared" si="29"/>
        <v>0</v>
      </c>
      <c r="CH86" s="299">
        <v>0</v>
      </c>
      <c r="CI86" s="299">
        <v>0</v>
      </c>
      <c r="CJ86" s="299">
        <f t="shared" si="30"/>
        <v>0</v>
      </c>
    </row>
    <row r="87" spans="1:88" ht="13.8">
      <c r="A87" s="252" t="s">
        <v>1377</v>
      </c>
      <c r="B87" s="288">
        <v>2033</v>
      </c>
      <c r="C87" s="288" t="s">
        <v>785</v>
      </c>
      <c r="D87" s="248" t="s">
        <v>704</v>
      </c>
      <c r="E87" s="380" t="str">
        <f t="shared" si="16"/>
        <v>30EP2033</v>
      </c>
      <c r="F87" s="299">
        <v>1677096.45</v>
      </c>
      <c r="G87" s="299">
        <v>0</v>
      </c>
      <c r="H87" s="299">
        <v>56871.23</v>
      </c>
      <c r="I87" s="299">
        <v>8100</v>
      </c>
      <c r="J87" s="299">
        <v>68010</v>
      </c>
      <c r="K87" s="299">
        <v>54878.64</v>
      </c>
      <c r="L87" s="299">
        <v>0</v>
      </c>
      <c r="M87" s="299">
        <v>11848.43</v>
      </c>
      <c r="N87" s="299">
        <v>32107.74</v>
      </c>
      <c r="O87" s="299">
        <v>45372.28</v>
      </c>
      <c r="P87" s="299">
        <v>17572</v>
      </c>
      <c r="Q87" s="299">
        <v>0</v>
      </c>
      <c r="R87" s="299">
        <v>27735.21</v>
      </c>
      <c r="S87" s="299">
        <v>408.41</v>
      </c>
      <c r="T87" s="299">
        <v>0</v>
      </c>
      <c r="U87" s="299">
        <v>0</v>
      </c>
      <c r="V87" s="299">
        <v>0</v>
      </c>
      <c r="W87" s="299">
        <v>0</v>
      </c>
      <c r="X87" s="299">
        <v>0</v>
      </c>
      <c r="Y87" s="299">
        <f t="shared" si="17"/>
        <v>2000000.3899999997</v>
      </c>
      <c r="Z87" s="299">
        <v>1041077.12</v>
      </c>
      <c r="AA87" s="299">
        <v>8244.8799999999992</v>
      </c>
      <c r="AB87" s="299">
        <v>397773.36</v>
      </c>
      <c r="AC87" s="299">
        <v>63591.48</v>
      </c>
      <c r="AD87" s="299">
        <v>56563.65</v>
      </c>
      <c r="AE87" s="299">
        <v>0</v>
      </c>
      <c r="AF87" s="299">
        <v>20386.82</v>
      </c>
      <c r="AG87" s="299">
        <v>14205.4</v>
      </c>
      <c r="AH87" s="299">
        <v>11806.48</v>
      </c>
      <c r="AI87" s="299">
        <v>7925</v>
      </c>
      <c r="AJ87" s="299">
        <v>122.5</v>
      </c>
      <c r="AK87" s="299">
        <v>13963.91</v>
      </c>
      <c r="AL87" s="299">
        <v>4740</v>
      </c>
      <c r="AM87" s="299">
        <v>7968.94</v>
      </c>
      <c r="AN87" s="299">
        <v>4425.2700000000004</v>
      </c>
      <c r="AO87" s="299">
        <v>41065.449999999997</v>
      </c>
      <c r="AP87" s="299">
        <v>64935</v>
      </c>
      <c r="AQ87" s="299">
        <v>12295.98</v>
      </c>
      <c r="AR87" s="299">
        <v>72488.02</v>
      </c>
      <c r="AS87" s="299">
        <v>36098.979999999996</v>
      </c>
      <c r="AT87" s="299">
        <v>0</v>
      </c>
      <c r="AU87" s="299">
        <v>15956.68</v>
      </c>
      <c r="AV87" s="299">
        <v>8514.31</v>
      </c>
      <c r="AW87" s="299">
        <v>699.22</v>
      </c>
      <c r="AX87" s="299">
        <v>111167.98</v>
      </c>
      <c r="AY87" s="299">
        <v>22628.06</v>
      </c>
      <c r="AZ87" s="299">
        <v>605.5</v>
      </c>
      <c r="BA87" s="299">
        <v>27115.88</v>
      </c>
      <c r="BB87" s="299">
        <v>0</v>
      </c>
      <c r="BC87" s="299">
        <v>0</v>
      </c>
      <c r="BD87" s="299">
        <v>0</v>
      </c>
      <c r="BE87" s="299">
        <f t="shared" si="18"/>
        <v>2066365.8699999994</v>
      </c>
      <c r="BF87" s="299">
        <f t="shared" si="19"/>
        <v>-66365.479999999749</v>
      </c>
      <c r="BG87" s="299">
        <v>138959.09999999934</v>
      </c>
      <c r="BH87" s="299">
        <f t="shared" si="20"/>
        <v>72593.619999999588</v>
      </c>
      <c r="BI87" s="299">
        <v>116576.32000000001</v>
      </c>
      <c r="BJ87" s="299">
        <v>8992.6</v>
      </c>
      <c r="BK87" s="299">
        <f t="shared" si="21"/>
        <v>125568.92000000001</v>
      </c>
      <c r="BL87" s="299">
        <v>89419.61</v>
      </c>
      <c r="BM87" s="299">
        <v>27841.33</v>
      </c>
      <c r="BN87" s="299">
        <f t="shared" si="22"/>
        <v>117260.94</v>
      </c>
      <c r="BO87" s="299">
        <f t="shared" si="23"/>
        <v>8307.9800000000105</v>
      </c>
      <c r="BP87" s="299">
        <v>26166.780000000002</v>
      </c>
      <c r="BQ87" s="299">
        <f t="shared" si="24"/>
        <v>34474.760000000009</v>
      </c>
      <c r="BR87" s="299">
        <v>2166</v>
      </c>
      <c r="BS87" s="299">
        <v>70427.619999999588</v>
      </c>
      <c r="BT87" s="299">
        <v>34474.760000000009</v>
      </c>
      <c r="BU87" s="299">
        <f t="shared" si="25"/>
        <v>107068.3799999996</v>
      </c>
      <c r="BV87" s="299">
        <v>7836.25</v>
      </c>
      <c r="BW87" s="299">
        <v>0</v>
      </c>
      <c r="BX87" s="299">
        <v>0</v>
      </c>
      <c r="BY87" s="299">
        <f t="shared" si="26"/>
        <v>7836.25</v>
      </c>
      <c r="BZ87" s="299">
        <v>0</v>
      </c>
      <c r="CA87" s="299">
        <v>5895</v>
      </c>
      <c r="CB87" s="299">
        <v>0</v>
      </c>
      <c r="CC87" s="299">
        <v>10616.85</v>
      </c>
      <c r="CD87" s="299">
        <f t="shared" si="27"/>
        <v>16511.849999999999</v>
      </c>
      <c r="CE87" s="299">
        <f t="shared" si="28"/>
        <v>-8675.5999999999985</v>
      </c>
      <c r="CF87" s="299">
        <v>19784.160000000003</v>
      </c>
      <c r="CG87" s="299">
        <f t="shared" si="29"/>
        <v>11108.560000000005</v>
      </c>
      <c r="CH87" s="299">
        <v>11108.560000000005</v>
      </c>
      <c r="CI87" s="299">
        <v>0</v>
      </c>
      <c r="CJ87" s="299">
        <f t="shared" si="30"/>
        <v>11108.560000000005</v>
      </c>
    </row>
    <row r="88" spans="1:88" ht="13.8">
      <c r="A88" s="252" t="s">
        <v>1377</v>
      </c>
      <c r="B88" s="288">
        <v>3331</v>
      </c>
      <c r="C88" s="288" t="s">
        <v>786</v>
      </c>
      <c r="D88" s="248" t="s">
        <v>704</v>
      </c>
      <c r="E88" s="380" t="str">
        <f t="shared" si="16"/>
        <v>30EP3331</v>
      </c>
      <c r="F88" s="299">
        <v>767331.15</v>
      </c>
      <c r="G88" s="299">
        <v>0</v>
      </c>
      <c r="H88" s="299">
        <v>28065.09</v>
      </c>
      <c r="I88" s="299">
        <v>0</v>
      </c>
      <c r="J88" s="299">
        <v>34845</v>
      </c>
      <c r="K88" s="299">
        <v>36950.29</v>
      </c>
      <c r="L88" s="299">
        <v>0</v>
      </c>
      <c r="M88" s="299">
        <v>5190</v>
      </c>
      <c r="N88" s="299">
        <v>12994.76</v>
      </c>
      <c r="O88" s="299">
        <v>13388.34</v>
      </c>
      <c r="P88" s="299">
        <v>0</v>
      </c>
      <c r="Q88" s="299">
        <v>0</v>
      </c>
      <c r="R88" s="299">
        <v>55894.3</v>
      </c>
      <c r="S88" s="299">
        <v>0</v>
      </c>
      <c r="T88" s="299">
        <v>0</v>
      </c>
      <c r="U88" s="299">
        <v>0</v>
      </c>
      <c r="V88" s="299">
        <v>0</v>
      </c>
      <c r="W88" s="299">
        <v>0</v>
      </c>
      <c r="X88" s="299">
        <v>0</v>
      </c>
      <c r="Y88" s="299">
        <f t="shared" si="17"/>
        <v>954658.93</v>
      </c>
      <c r="Z88" s="299">
        <v>515728.79</v>
      </c>
      <c r="AA88" s="299">
        <v>0</v>
      </c>
      <c r="AB88" s="299">
        <v>148148.88</v>
      </c>
      <c r="AC88" s="299">
        <v>14103.67</v>
      </c>
      <c r="AD88" s="299">
        <v>22746.44</v>
      </c>
      <c r="AE88" s="299">
        <v>0</v>
      </c>
      <c r="AF88" s="299">
        <v>49315.99</v>
      </c>
      <c r="AG88" s="299">
        <v>1098.5999999999999</v>
      </c>
      <c r="AH88" s="299">
        <v>3001.5</v>
      </c>
      <c r="AI88" s="299">
        <v>3225</v>
      </c>
      <c r="AJ88" s="299">
        <v>718.75</v>
      </c>
      <c r="AK88" s="299">
        <v>4481.3</v>
      </c>
      <c r="AL88" s="299">
        <v>2850</v>
      </c>
      <c r="AM88" s="299">
        <v>505.83</v>
      </c>
      <c r="AN88" s="299">
        <v>2593.3000000000002</v>
      </c>
      <c r="AO88" s="299">
        <v>12973.43</v>
      </c>
      <c r="AP88" s="299">
        <v>3343.3</v>
      </c>
      <c r="AQ88" s="299">
        <v>5940.22</v>
      </c>
      <c r="AR88" s="299">
        <v>29671.43</v>
      </c>
      <c r="AS88" s="299">
        <v>21080.28</v>
      </c>
      <c r="AT88" s="299">
        <v>0</v>
      </c>
      <c r="AU88" s="299">
        <v>4319.55</v>
      </c>
      <c r="AV88" s="299">
        <v>3827.3</v>
      </c>
      <c r="AW88" s="299">
        <v>7516.77</v>
      </c>
      <c r="AX88" s="299">
        <v>43550.63</v>
      </c>
      <c r="AY88" s="299">
        <v>0</v>
      </c>
      <c r="AZ88" s="299">
        <v>26174.47</v>
      </c>
      <c r="BA88" s="299">
        <v>16876.86</v>
      </c>
      <c r="BB88" s="299">
        <v>0</v>
      </c>
      <c r="BC88" s="299">
        <v>0</v>
      </c>
      <c r="BD88" s="299">
        <v>1438.37</v>
      </c>
      <c r="BE88" s="299">
        <f t="shared" si="18"/>
        <v>945230.66000000015</v>
      </c>
      <c r="BF88" s="299">
        <f t="shared" si="19"/>
        <v>9428.2699999999022</v>
      </c>
      <c r="BG88" s="299">
        <v>57759.349999999919</v>
      </c>
      <c r="BH88" s="299">
        <f t="shared" si="20"/>
        <v>67187.619999999821</v>
      </c>
      <c r="BI88" s="299">
        <v>0</v>
      </c>
      <c r="BJ88" s="299">
        <v>0</v>
      </c>
      <c r="BK88" s="299">
        <f t="shared" si="21"/>
        <v>0</v>
      </c>
      <c r="BL88" s="299">
        <v>0</v>
      </c>
      <c r="BM88" s="299">
        <v>0</v>
      </c>
      <c r="BN88" s="299">
        <f t="shared" si="22"/>
        <v>0</v>
      </c>
      <c r="BO88" s="299">
        <f t="shared" si="23"/>
        <v>0</v>
      </c>
      <c r="BP88" s="299">
        <v>0</v>
      </c>
      <c r="BQ88" s="299">
        <f t="shared" si="24"/>
        <v>0</v>
      </c>
      <c r="BR88" s="299">
        <v>10604.61</v>
      </c>
      <c r="BS88" s="299">
        <v>56583.00999999982</v>
      </c>
      <c r="BT88" s="299">
        <v>0</v>
      </c>
      <c r="BU88" s="299">
        <f t="shared" si="25"/>
        <v>67187.619999999821</v>
      </c>
      <c r="BV88" s="299">
        <v>0</v>
      </c>
      <c r="BW88" s="299">
        <v>0</v>
      </c>
      <c r="BX88" s="299">
        <v>0</v>
      </c>
      <c r="BY88" s="299">
        <f t="shared" si="26"/>
        <v>0</v>
      </c>
      <c r="BZ88" s="299">
        <v>0</v>
      </c>
      <c r="CA88" s="299">
        <v>0</v>
      </c>
      <c r="CB88" s="299">
        <v>0</v>
      </c>
      <c r="CC88" s="299">
        <v>0</v>
      </c>
      <c r="CD88" s="299">
        <f t="shared" si="27"/>
        <v>0</v>
      </c>
      <c r="CE88" s="299">
        <f t="shared" si="28"/>
        <v>0</v>
      </c>
      <c r="CF88" s="299">
        <v>0</v>
      </c>
      <c r="CG88" s="299">
        <f t="shared" si="29"/>
        <v>0</v>
      </c>
      <c r="CH88" s="299">
        <v>0</v>
      </c>
      <c r="CI88" s="299">
        <v>0</v>
      </c>
      <c r="CJ88" s="299">
        <f t="shared" si="30"/>
        <v>0</v>
      </c>
    </row>
    <row r="89" spans="1:88" ht="13.8">
      <c r="A89" s="252" t="s">
        <v>1377</v>
      </c>
      <c r="B89" s="288">
        <v>2239</v>
      </c>
      <c r="C89" s="288" t="s">
        <v>787</v>
      </c>
      <c r="D89" s="248" t="s">
        <v>704</v>
      </c>
      <c r="E89" s="380" t="str">
        <f t="shared" si="16"/>
        <v>30EP2239</v>
      </c>
      <c r="F89" s="299">
        <v>1647735.09</v>
      </c>
      <c r="G89" s="299">
        <v>0</v>
      </c>
      <c r="H89" s="299">
        <v>98473.56</v>
      </c>
      <c r="I89" s="299">
        <v>0</v>
      </c>
      <c r="J89" s="299">
        <v>142575</v>
      </c>
      <c r="K89" s="299">
        <v>18301.93</v>
      </c>
      <c r="L89" s="299">
        <v>0</v>
      </c>
      <c r="M89" s="299">
        <v>2978.87</v>
      </c>
      <c r="N89" s="299">
        <v>71875.83</v>
      </c>
      <c r="O89" s="299">
        <v>40891.83</v>
      </c>
      <c r="P89" s="299">
        <v>6210</v>
      </c>
      <c r="Q89" s="299">
        <v>665.08</v>
      </c>
      <c r="R89" s="299">
        <v>59139</v>
      </c>
      <c r="S89" s="299">
        <v>0</v>
      </c>
      <c r="T89" s="299">
        <v>0</v>
      </c>
      <c r="U89" s="299">
        <v>0</v>
      </c>
      <c r="V89" s="299">
        <v>0</v>
      </c>
      <c r="W89" s="299">
        <v>0</v>
      </c>
      <c r="X89" s="299">
        <v>0</v>
      </c>
      <c r="Y89" s="299">
        <f t="shared" si="17"/>
        <v>2088846.1900000004</v>
      </c>
      <c r="Z89" s="299">
        <v>1008718.32</v>
      </c>
      <c r="AA89" s="299">
        <v>18239.759999999998</v>
      </c>
      <c r="AB89" s="299">
        <v>314616.92</v>
      </c>
      <c r="AC89" s="299">
        <v>65621.009999999995</v>
      </c>
      <c r="AD89" s="299">
        <v>77215.27</v>
      </c>
      <c r="AE89" s="299">
        <v>0</v>
      </c>
      <c r="AF89" s="299">
        <v>80552.53</v>
      </c>
      <c r="AG89" s="299">
        <v>7923.6</v>
      </c>
      <c r="AH89" s="299">
        <v>4236.0600000000004</v>
      </c>
      <c r="AI89" s="299">
        <v>7500</v>
      </c>
      <c r="AJ89" s="299">
        <v>2320</v>
      </c>
      <c r="AK89" s="299">
        <v>21484.59</v>
      </c>
      <c r="AL89" s="299">
        <v>2200</v>
      </c>
      <c r="AM89" s="299">
        <v>5684.79</v>
      </c>
      <c r="AN89" s="299">
        <v>5120.91</v>
      </c>
      <c r="AO89" s="299">
        <v>24406.21</v>
      </c>
      <c r="AP89" s="299">
        <v>31635</v>
      </c>
      <c r="AQ89" s="299">
        <v>8528.19</v>
      </c>
      <c r="AR89" s="299">
        <v>119738.11</v>
      </c>
      <c r="AS89" s="299">
        <v>33122.51</v>
      </c>
      <c r="AT89" s="299">
        <v>0</v>
      </c>
      <c r="AU89" s="299">
        <v>12860.71</v>
      </c>
      <c r="AV89" s="299">
        <v>8260.2199999999993</v>
      </c>
      <c r="AW89" s="299">
        <v>11369.12</v>
      </c>
      <c r="AX89" s="299">
        <v>102633.53</v>
      </c>
      <c r="AY89" s="299">
        <v>58558.07</v>
      </c>
      <c r="AZ89" s="299">
        <v>26028.26</v>
      </c>
      <c r="BA89" s="299">
        <v>20432.97</v>
      </c>
      <c r="BB89" s="299">
        <v>0</v>
      </c>
      <c r="BC89" s="299">
        <v>0</v>
      </c>
      <c r="BD89" s="299">
        <v>0</v>
      </c>
      <c r="BE89" s="299">
        <f t="shared" si="18"/>
        <v>2079006.6600000004</v>
      </c>
      <c r="BF89" s="299">
        <f t="shared" si="19"/>
        <v>9839.5300000000279</v>
      </c>
      <c r="BG89" s="299">
        <v>342374.94999999984</v>
      </c>
      <c r="BH89" s="299">
        <f t="shared" si="20"/>
        <v>352214.47999999986</v>
      </c>
      <c r="BI89" s="299">
        <v>0</v>
      </c>
      <c r="BJ89" s="299">
        <v>0</v>
      </c>
      <c r="BK89" s="299">
        <f t="shared" si="21"/>
        <v>0</v>
      </c>
      <c r="BL89" s="299">
        <v>0</v>
      </c>
      <c r="BM89" s="299">
        <v>0</v>
      </c>
      <c r="BN89" s="299">
        <f t="shared" si="22"/>
        <v>0</v>
      </c>
      <c r="BO89" s="299">
        <f t="shared" si="23"/>
        <v>0</v>
      </c>
      <c r="BP89" s="299">
        <v>0</v>
      </c>
      <c r="BQ89" s="299">
        <f t="shared" si="24"/>
        <v>0</v>
      </c>
      <c r="BR89" s="299">
        <v>95323.19</v>
      </c>
      <c r="BS89" s="299">
        <v>256891.28999999986</v>
      </c>
      <c r="BT89" s="299">
        <v>0</v>
      </c>
      <c r="BU89" s="299">
        <f t="shared" si="25"/>
        <v>352214.47999999986</v>
      </c>
      <c r="BV89" s="299">
        <v>7465</v>
      </c>
      <c r="BW89" s="299">
        <v>0</v>
      </c>
      <c r="BX89" s="299">
        <v>0</v>
      </c>
      <c r="BY89" s="299">
        <f t="shared" si="26"/>
        <v>7465</v>
      </c>
      <c r="BZ89" s="299">
        <v>0</v>
      </c>
      <c r="CA89" s="299">
        <v>7472.75</v>
      </c>
      <c r="CB89" s="299">
        <v>0</v>
      </c>
      <c r="CC89" s="299">
        <v>0</v>
      </c>
      <c r="CD89" s="299">
        <f t="shared" si="27"/>
        <v>7472.75</v>
      </c>
      <c r="CE89" s="299">
        <f t="shared" si="28"/>
        <v>-7.75</v>
      </c>
      <c r="CF89" s="299">
        <v>18516.259999999998</v>
      </c>
      <c r="CG89" s="299">
        <f t="shared" si="29"/>
        <v>18508.509999999998</v>
      </c>
      <c r="CH89" s="299">
        <v>18508.509999999998</v>
      </c>
      <c r="CI89" s="299">
        <v>0</v>
      </c>
      <c r="CJ89" s="299">
        <f t="shared" si="30"/>
        <v>18508.509999999998</v>
      </c>
    </row>
    <row r="90" spans="1:88" ht="13.8">
      <c r="A90" s="252" t="s">
        <v>1377</v>
      </c>
      <c r="B90" s="288">
        <v>2219</v>
      </c>
      <c r="C90" s="288" t="s">
        <v>788</v>
      </c>
      <c r="D90" s="248" t="s">
        <v>704</v>
      </c>
      <c r="E90" s="380" t="str">
        <f t="shared" si="16"/>
        <v>30EP2219</v>
      </c>
      <c r="F90" s="299">
        <v>1078178.67</v>
      </c>
      <c r="G90" s="299">
        <v>0</v>
      </c>
      <c r="H90" s="299">
        <v>48496.28</v>
      </c>
      <c r="I90" s="299">
        <v>0</v>
      </c>
      <c r="J90" s="299">
        <v>52225</v>
      </c>
      <c r="K90" s="299">
        <v>90620.800000000003</v>
      </c>
      <c r="L90" s="299">
        <v>0</v>
      </c>
      <c r="M90" s="299">
        <v>4450</v>
      </c>
      <c r="N90" s="299">
        <v>14794.87</v>
      </c>
      <c r="O90" s="299">
        <v>244.07</v>
      </c>
      <c r="P90" s="299">
        <v>0</v>
      </c>
      <c r="Q90" s="299">
        <v>391.51</v>
      </c>
      <c r="R90" s="299">
        <v>990</v>
      </c>
      <c r="S90" s="299">
        <v>11891.25</v>
      </c>
      <c r="T90" s="299">
        <v>0</v>
      </c>
      <c r="U90" s="299">
        <v>0</v>
      </c>
      <c r="V90" s="299">
        <v>0</v>
      </c>
      <c r="W90" s="299">
        <v>0</v>
      </c>
      <c r="X90" s="299">
        <v>0</v>
      </c>
      <c r="Y90" s="299">
        <f t="shared" si="17"/>
        <v>1302282.4500000002</v>
      </c>
      <c r="Z90" s="299">
        <v>688468.93</v>
      </c>
      <c r="AA90" s="299">
        <v>10156</v>
      </c>
      <c r="AB90" s="299">
        <v>341616.14</v>
      </c>
      <c r="AC90" s="299">
        <v>45965.3</v>
      </c>
      <c r="AD90" s="299">
        <v>64673.78</v>
      </c>
      <c r="AE90" s="299">
        <v>0</v>
      </c>
      <c r="AF90" s="299">
        <v>14154.61</v>
      </c>
      <c r="AG90" s="299">
        <v>26338.18</v>
      </c>
      <c r="AH90" s="299">
        <v>6008.74</v>
      </c>
      <c r="AI90" s="299">
        <v>4700</v>
      </c>
      <c r="AJ90" s="299">
        <v>61.25</v>
      </c>
      <c r="AK90" s="299">
        <v>10364.290000000001</v>
      </c>
      <c r="AL90" s="299">
        <v>3521.49</v>
      </c>
      <c r="AM90" s="299">
        <v>2733.34</v>
      </c>
      <c r="AN90" s="299">
        <v>11806.95</v>
      </c>
      <c r="AO90" s="299">
        <v>24013.759999999998</v>
      </c>
      <c r="AP90" s="299">
        <v>23078.75</v>
      </c>
      <c r="AQ90" s="299">
        <v>5708.44</v>
      </c>
      <c r="AR90" s="299">
        <v>25555.919999999998</v>
      </c>
      <c r="AS90" s="299">
        <v>22605.77</v>
      </c>
      <c r="AT90" s="299">
        <v>0</v>
      </c>
      <c r="AU90" s="299">
        <v>6867.69</v>
      </c>
      <c r="AV90" s="299">
        <v>6124.32</v>
      </c>
      <c r="AW90" s="299">
        <v>366.67</v>
      </c>
      <c r="AX90" s="299">
        <v>79017.66</v>
      </c>
      <c r="AY90" s="299">
        <v>0</v>
      </c>
      <c r="AZ90" s="299">
        <v>2773</v>
      </c>
      <c r="BA90" s="299">
        <v>17245.349999999999</v>
      </c>
      <c r="BB90" s="299">
        <v>0</v>
      </c>
      <c r="BC90" s="299">
        <v>0</v>
      </c>
      <c r="BD90" s="299">
        <v>0</v>
      </c>
      <c r="BE90" s="299">
        <f t="shared" si="18"/>
        <v>1443926.33</v>
      </c>
      <c r="BF90" s="299">
        <f t="shared" si="19"/>
        <v>-141643.87999999989</v>
      </c>
      <c r="BG90" s="299">
        <v>341862.95000000007</v>
      </c>
      <c r="BH90" s="299">
        <f t="shared" si="20"/>
        <v>200219.07000000018</v>
      </c>
      <c r="BI90" s="299">
        <v>341029.19</v>
      </c>
      <c r="BJ90" s="299">
        <v>47566.62</v>
      </c>
      <c r="BK90" s="299">
        <f t="shared" si="21"/>
        <v>388595.81</v>
      </c>
      <c r="BL90" s="299">
        <v>277049.38</v>
      </c>
      <c r="BM90" s="299">
        <v>44265.7</v>
      </c>
      <c r="BN90" s="299">
        <f t="shared" si="22"/>
        <v>321315.08</v>
      </c>
      <c r="BO90" s="299">
        <f t="shared" si="23"/>
        <v>67280.729999999981</v>
      </c>
      <c r="BP90" s="299">
        <v>169419.5</v>
      </c>
      <c r="BQ90" s="299">
        <f t="shared" si="24"/>
        <v>236700.22999999998</v>
      </c>
      <c r="BR90" s="299">
        <v>8360</v>
      </c>
      <c r="BS90" s="299">
        <v>182947.99000000017</v>
      </c>
      <c r="BT90" s="299">
        <v>245611.31</v>
      </c>
      <c r="BU90" s="299">
        <f t="shared" si="25"/>
        <v>436919.30000000016</v>
      </c>
      <c r="BV90" s="299">
        <v>6306.25</v>
      </c>
      <c r="BW90" s="299">
        <v>0</v>
      </c>
      <c r="BX90" s="299">
        <v>0</v>
      </c>
      <c r="BY90" s="299">
        <f t="shared" si="26"/>
        <v>6306.25</v>
      </c>
      <c r="BZ90" s="299">
        <v>0</v>
      </c>
      <c r="CA90" s="299">
        <v>0</v>
      </c>
      <c r="CB90" s="299">
        <v>0</v>
      </c>
      <c r="CC90" s="299">
        <v>6280.95</v>
      </c>
      <c r="CD90" s="299">
        <f t="shared" si="27"/>
        <v>6280.95</v>
      </c>
      <c r="CE90" s="299">
        <f t="shared" si="28"/>
        <v>25.300000000000182</v>
      </c>
      <c r="CF90" s="299">
        <v>0</v>
      </c>
      <c r="CG90" s="299">
        <f t="shared" si="29"/>
        <v>25.300000000000182</v>
      </c>
      <c r="CH90" s="299">
        <v>25.300000000000182</v>
      </c>
      <c r="CI90" s="299">
        <v>0</v>
      </c>
      <c r="CJ90" s="299">
        <f t="shared" si="30"/>
        <v>25.300000000000182</v>
      </c>
    </row>
    <row r="91" spans="1:88" ht="13.8">
      <c r="A91" s="252" t="s">
        <v>1377</v>
      </c>
      <c r="B91" s="288">
        <v>2333</v>
      </c>
      <c r="C91" s="288" t="s">
        <v>789</v>
      </c>
      <c r="D91" s="248" t="s">
        <v>704</v>
      </c>
      <c r="E91" s="380" t="str">
        <f t="shared" si="16"/>
        <v>30EP2333</v>
      </c>
      <c r="F91" s="299">
        <v>1912447.28</v>
      </c>
      <c r="G91" s="299">
        <v>0</v>
      </c>
      <c r="H91" s="299">
        <v>131912.76</v>
      </c>
      <c r="I91" s="299">
        <v>0</v>
      </c>
      <c r="J91" s="299">
        <v>107165</v>
      </c>
      <c r="K91" s="299">
        <v>80513.759999999995</v>
      </c>
      <c r="L91" s="299">
        <v>0</v>
      </c>
      <c r="M91" s="299">
        <v>34189.33</v>
      </c>
      <c r="N91" s="299">
        <v>19419.419999999998</v>
      </c>
      <c r="O91" s="299">
        <v>0</v>
      </c>
      <c r="P91" s="299">
        <v>16558.849999999999</v>
      </c>
      <c r="Q91" s="299">
        <v>0</v>
      </c>
      <c r="R91" s="299">
        <v>30788.54</v>
      </c>
      <c r="S91" s="299">
        <v>6780.32</v>
      </c>
      <c r="T91" s="299">
        <v>0</v>
      </c>
      <c r="U91" s="299">
        <v>0</v>
      </c>
      <c r="V91" s="299">
        <v>0</v>
      </c>
      <c r="W91" s="299">
        <v>0</v>
      </c>
      <c r="X91" s="299">
        <v>0</v>
      </c>
      <c r="Y91" s="299">
        <f t="shared" si="17"/>
        <v>2339775.2599999998</v>
      </c>
      <c r="Z91" s="299">
        <v>1279323.82</v>
      </c>
      <c r="AA91" s="299">
        <v>37397.57</v>
      </c>
      <c r="AB91" s="299">
        <v>572631.61</v>
      </c>
      <c r="AC91" s="299">
        <v>89120.9</v>
      </c>
      <c r="AD91" s="299">
        <v>138780.44</v>
      </c>
      <c r="AE91" s="299">
        <v>0</v>
      </c>
      <c r="AF91" s="299">
        <v>49573.34</v>
      </c>
      <c r="AG91" s="299">
        <v>1413.25</v>
      </c>
      <c r="AH91" s="299">
        <v>3883.18</v>
      </c>
      <c r="AI91" s="299">
        <v>9075</v>
      </c>
      <c r="AJ91" s="299">
        <v>0</v>
      </c>
      <c r="AK91" s="299">
        <v>12825.94</v>
      </c>
      <c r="AL91" s="299">
        <v>6145</v>
      </c>
      <c r="AM91" s="299">
        <v>5740.33</v>
      </c>
      <c r="AN91" s="299">
        <v>4176.25</v>
      </c>
      <c r="AO91" s="299">
        <v>22204.28</v>
      </c>
      <c r="AP91" s="299">
        <v>8658</v>
      </c>
      <c r="AQ91" s="299">
        <v>11711.39</v>
      </c>
      <c r="AR91" s="299">
        <v>58400.19</v>
      </c>
      <c r="AS91" s="299">
        <v>41277.1</v>
      </c>
      <c r="AT91" s="299">
        <v>0</v>
      </c>
      <c r="AU91" s="299">
        <v>9382.39</v>
      </c>
      <c r="AV91" s="299">
        <v>10630.23</v>
      </c>
      <c r="AW91" s="299">
        <v>0</v>
      </c>
      <c r="AX91" s="299">
        <v>96739.520000000004</v>
      </c>
      <c r="AY91" s="299">
        <v>0</v>
      </c>
      <c r="AZ91" s="299">
        <v>6200</v>
      </c>
      <c r="BA91" s="299">
        <v>19172.21</v>
      </c>
      <c r="BB91" s="299">
        <v>0</v>
      </c>
      <c r="BC91" s="299">
        <v>4123.12</v>
      </c>
      <c r="BD91" s="299">
        <v>9069.39</v>
      </c>
      <c r="BE91" s="299">
        <f t="shared" si="18"/>
        <v>2507654.4500000002</v>
      </c>
      <c r="BF91" s="299">
        <f t="shared" si="19"/>
        <v>-167879.19000000041</v>
      </c>
      <c r="BG91" s="299">
        <v>176505.36000000007</v>
      </c>
      <c r="BH91" s="299">
        <f t="shared" si="20"/>
        <v>8626.1699999996636</v>
      </c>
      <c r="BI91" s="299">
        <v>106459.08999999997</v>
      </c>
      <c r="BJ91" s="299">
        <v>87607.69</v>
      </c>
      <c r="BK91" s="299">
        <f t="shared" si="21"/>
        <v>194066.77999999997</v>
      </c>
      <c r="BL91" s="299">
        <v>68787.669999999984</v>
      </c>
      <c r="BM91" s="299">
        <v>1317.5699999999997</v>
      </c>
      <c r="BN91" s="299">
        <f t="shared" si="22"/>
        <v>70105.239999999991</v>
      </c>
      <c r="BO91" s="299">
        <f t="shared" si="23"/>
        <v>123961.53999999998</v>
      </c>
      <c r="BP91" s="299">
        <v>0</v>
      </c>
      <c r="BQ91" s="299">
        <f t="shared" si="24"/>
        <v>123961.53999999998</v>
      </c>
      <c r="BR91" s="299">
        <v>0</v>
      </c>
      <c r="BS91" s="299">
        <v>8626.1700000002747</v>
      </c>
      <c r="BT91" s="299">
        <v>123961.54000000002</v>
      </c>
      <c r="BU91" s="299">
        <f t="shared" si="25"/>
        <v>132587.70999999964</v>
      </c>
      <c r="BV91" s="299">
        <v>8690.1299999999992</v>
      </c>
      <c r="BW91" s="299">
        <v>0</v>
      </c>
      <c r="BX91" s="299">
        <v>0</v>
      </c>
      <c r="BY91" s="299">
        <f t="shared" si="26"/>
        <v>8690.1299999999992</v>
      </c>
      <c r="BZ91" s="299">
        <v>0</v>
      </c>
      <c r="CA91" s="299">
        <v>7607.16</v>
      </c>
      <c r="CB91" s="299">
        <v>0</v>
      </c>
      <c r="CC91" s="299">
        <v>5226.01</v>
      </c>
      <c r="CD91" s="299">
        <f t="shared" si="27"/>
        <v>12833.17</v>
      </c>
      <c r="CE91" s="299">
        <f t="shared" si="28"/>
        <v>-4143.0400000000009</v>
      </c>
      <c r="CF91" s="299">
        <v>32962.479999999996</v>
      </c>
      <c r="CG91" s="299">
        <f t="shared" si="29"/>
        <v>28819.439999999995</v>
      </c>
      <c r="CH91" s="299">
        <v>28819.439999999988</v>
      </c>
      <c r="CI91" s="299">
        <v>0</v>
      </c>
      <c r="CJ91" s="299">
        <f t="shared" si="30"/>
        <v>28819.439999999988</v>
      </c>
    </row>
    <row r="92" spans="1:88" ht="13.8">
      <c r="A92" s="252" t="s">
        <v>1377</v>
      </c>
      <c r="B92" s="288">
        <v>3946</v>
      </c>
      <c r="C92" s="288" t="s">
        <v>790</v>
      </c>
      <c r="D92" s="248" t="s">
        <v>704</v>
      </c>
      <c r="E92" s="380" t="str">
        <f t="shared" si="16"/>
        <v>30EP3946</v>
      </c>
      <c r="F92" s="299">
        <v>1892111.35</v>
      </c>
      <c r="G92" s="299">
        <v>0</v>
      </c>
      <c r="H92" s="299">
        <v>182881.35</v>
      </c>
      <c r="I92" s="299">
        <v>0</v>
      </c>
      <c r="J92" s="299">
        <v>123830</v>
      </c>
      <c r="K92" s="299">
        <v>60575.22</v>
      </c>
      <c r="L92" s="299">
        <v>0</v>
      </c>
      <c r="M92" s="299">
        <v>25983.9</v>
      </c>
      <c r="N92" s="299">
        <v>40793.9</v>
      </c>
      <c r="O92" s="299">
        <v>0</v>
      </c>
      <c r="P92" s="299">
        <v>2508</v>
      </c>
      <c r="Q92" s="299">
        <v>0</v>
      </c>
      <c r="R92" s="299">
        <v>22317.52</v>
      </c>
      <c r="S92" s="299">
        <v>6540.66</v>
      </c>
      <c r="T92" s="299">
        <v>0</v>
      </c>
      <c r="U92" s="299">
        <v>0</v>
      </c>
      <c r="V92" s="299">
        <v>0</v>
      </c>
      <c r="W92" s="299">
        <v>0</v>
      </c>
      <c r="X92" s="299">
        <v>0</v>
      </c>
      <c r="Y92" s="299">
        <f t="shared" si="17"/>
        <v>2357541.9000000004</v>
      </c>
      <c r="Z92" s="299">
        <v>1154350.25</v>
      </c>
      <c r="AA92" s="299">
        <v>22574.11</v>
      </c>
      <c r="AB92" s="299">
        <v>543074.4</v>
      </c>
      <c r="AC92" s="299">
        <v>88163.78</v>
      </c>
      <c r="AD92" s="299">
        <v>141517.96</v>
      </c>
      <c r="AE92" s="299">
        <v>0</v>
      </c>
      <c r="AF92" s="299">
        <v>4432.2299999999996</v>
      </c>
      <c r="AG92" s="299">
        <v>938.85</v>
      </c>
      <c r="AH92" s="299">
        <v>4785.47</v>
      </c>
      <c r="AI92" s="299">
        <v>8775</v>
      </c>
      <c r="AJ92" s="299">
        <v>0</v>
      </c>
      <c r="AK92" s="299">
        <v>33795.879999999997</v>
      </c>
      <c r="AL92" s="299">
        <v>6265</v>
      </c>
      <c r="AM92" s="299">
        <v>4595.76</v>
      </c>
      <c r="AN92" s="299">
        <v>5531.87</v>
      </c>
      <c r="AO92" s="299">
        <v>36081</v>
      </c>
      <c r="AP92" s="299">
        <v>18759</v>
      </c>
      <c r="AQ92" s="299">
        <v>3144.74</v>
      </c>
      <c r="AR92" s="299">
        <v>64960.05</v>
      </c>
      <c r="AS92" s="299">
        <v>45558.130000000005</v>
      </c>
      <c r="AT92" s="299">
        <v>0</v>
      </c>
      <c r="AU92" s="299">
        <v>9362.4599999999991</v>
      </c>
      <c r="AV92" s="299">
        <v>11064.67</v>
      </c>
      <c r="AW92" s="299">
        <v>0</v>
      </c>
      <c r="AX92" s="299">
        <v>75225.09</v>
      </c>
      <c r="AY92" s="299">
        <v>29169.5</v>
      </c>
      <c r="AZ92" s="299">
        <v>25371.16</v>
      </c>
      <c r="BA92" s="299">
        <v>19653.28</v>
      </c>
      <c r="BB92" s="299">
        <v>0</v>
      </c>
      <c r="BC92" s="299">
        <v>284.27999999999997</v>
      </c>
      <c r="BD92" s="299">
        <v>526.27</v>
      </c>
      <c r="BE92" s="299">
        <f t="shared" si="18"/>
        <v>2357960.1899999995</v>
      </c>
      <c r="BF92" s="299">
        <f t="shared" si="19"/>
        <v>-418.28999999910593</v>
      </c>
      <c r="BG92" s="299">
        <v>-468387.18999999983</v>
      </c>
      <c r="BH92" s="299">
        <f t="shared" si="20"/>
        <v>-468805.47999999893</v>
      </c>
      <c r="BI92" s="299">
        <v>264922.09000000003</v>
      </c>
      <c r="BJ92" s="299">
        <v>153875.04999999999</v>
      </c>
      <c r="BK92" s="299">
        <f t="shared" si="21"/>
        <v>418797.14</v>
      </c>
      <c r="BL92" s="299">
        <v>311236.89</v>
      </c>
      <c r="BM92" s="299">
        <v>3117.26</v>
      </c>
      <c r="BN92" s="299">
        <f t="shared" si="22"/>
        <v>314354.15000000002</v>
      </c>
      <c r="BO92" s="299">
        <f t="shared" si="23"/>
        <v>104442.98999999999</v>
      </c>
      <c r="BP92" s="299">
        <v>0</v>
      </c>
      <c r="BQ92" s="299">
        <f t="shared" si="24"/>
        <v>104442.98999999999</v>
      </c>
      <c r="BR92" s="299">
        <v>0</v>
      </c>
      <c r="BS92" s="299">
        <v>-468805.48</v>
      </c>
      <c r="BT92" s="299">
        <v>104442.99</v>
      </c>
      <c r="BU92" s="299">
        <f t="shared" si="25"/>
        <v>-364362.48999999894</v>
      </c>
      <c r="BV92" s="299">
        <v>8587.75</v>
      </c>
      <c r="BW92" s="299">
        <v>0</v>
      </c>
      <c r="BX92" s="299">
        <v>0</v>
      </c>
      <c r="BY92" s="299">
        <f t="shared" si="26"/>
        <v>8587.75</v>
      </c>
      <c r="BZ92" s="299">
        <v>0</v>
      </c>
      <c r="CA92" s="299">
        <v>8841.2800000000007</v>
      </c>
      <c r="CB92" s="299">
        <v>0</v>
      </c>
      <c r="CC92" s="299">
        <v>4089.83</v>
      </c>
      <c r="CD92" s="299">
        <f t="shared" si="27"/>
        <v>12931.11</v>
      </c>
      <c r="CE92" s="299">
        <f t="shared" si="28"/>
        <v>-4343.3600000000006</v>
      </c>
      <c r="CF92" s="299">
        <v>47145.75</v>
      </c>
      <c r="CG92" s="299">
        <f t="shared" si="29"/>
        <v>42802.39</v>
      </c>
      <c r="CH92" s="299">
        <v>42802.39</v>
      </c>
      <c r="CI92" s="299">
        <v>0</v>
      </c>
      <c r="CJ92" s="299">
        <f t="shared" si="30"/>
        <v>42802.39</v>
      </c>
    </row>
    <row r="93" spans="1:88" ht="13.8">
      <c r="A93" s="252" t="s">
        <v>1377</v>
      </c>
      <c r="B93" s="288">
        <v>2453</v>
      </c>
      <c r="C93" s="288" t="s">
        <v>791</v>
      </c>
      <c r="D93" s="248" t="s">
        <v>704</v>
      </c>
      <c r="E93" s="380" t="str">
        <f t="shared" si="16"/>
        <v>30EP2453</v>
      </c>
      <c r="F93" s="299">
        <v>1174925.3500000001</v>
      </c>
      <c r="G93" s="299">
        <v>0</v>
      </c>
      <c r="H93" s="299">
        <v>112831.58</v>
      </c>
      <c r="I93" s="299">
        <v>0</v>
      </c>
      <c r="J93" s="299">
        <v>77980</v>
      </c>
      <c r="K93" s="299">
        <v>58824.86</v>
      </c>
      <c r="L93" s="299">
        <v>0</v>
      </c>
      <c r="M93" s="299">
        <v>9190</v>
      </c>
      <c r="N93" s="299">
        <v>14239.96</v>
      </c>
      <c r="O93" s="299">
        <v>0</v>
      </c>
      <c r="P93" s="299">
        <v>24265</v>
      </c>
      <c r="Q93" s="299">
        <v>6158.88</v>
      </c>
      <c r="R93" s="299">
        <v>15974.25</v>
      </c>
      <c r="S93" s="299">
        <v>4348.34</v>
      </c>
      <c r="T93" s="299">
        <v>0</v>
      </c>
      <c r="U93" s="299">
        <v>0</v>
      </c>
      <c r="V93" s="299">
        <v>0</v>
      </c>
      <c r="W93" s="299">
        <v>0</v>
      </c>
      <c r="X93" s="299">
        <v>0</v>
      </c>
      <c r="Y93" s="299">
        <f t="shared" si="17"/>
        <v>1498738.2200000002</v>
      </c>
      <c r="Z93" s="299">
        <v>675164.59</v>
      </c>
      <c r="AA93" s="299">
        <v>252.71</v>
      </c>
      <c r="AB93" s="299">
        <v>336653.54</v>
      </c>
      <c r="AC93" s="299">
        <v>3591.51</v>
      </c>
      <c r="AD93" s="299">
        <v>43333.56</v>
      </c>
      <c r="AE93" s="299">
        <v>0</v>
      </c>
      <c r="AF93" s="299">
        <v>26440.85</v>
      </c>
      <c r="AG93" s="299">
        <v>439.79</v>
      </c>
      <c r="AH93" s="299">
        <v>4543</v>
      </c>
      <c r="AI93" s="299">
        <v>5175</v>
      </c>
      <c r="AJ93" s="299">
        <v>1278.75</v>
      </c>
      <c r="AK93" s="299">
        <v>20316.11</v>
      </c>
      <c r="AL93" s="299">
        <v>1556.96</v>
      </c>
      <c r="AM93" s="299">
        <v>29983.3</v>
      </c>
      <c r="AN93" s="299">
        <v>5914.78</v>
      </c>
      <c r="AO93" s="299">
        <v>26059.89</v>
      </c>
      <c r="AP93" s="299">
        <v>7215</v>
      </c>
      <c r="AQ93" s="299">
        <v>7250.4</v>
      </c>
      <c r="AR93" s="299">
        <v>28813.34</v>
      </c>
      <c r="AS93" s="299">
        <v>58769.72</v>
      </c>
      <c r="AT93" s="299">
        <v>0</v>
      </c>
      <c r="AU93" s="299">
        <v>8660.7999999999993</v>
      </c>
      <c r="AV93" s="299">
        <v>6306.42</v>
      </c>
      <c r="AW93" s="299">
        <v>629.47</v>
      </c>
      <c r="AX93" s="299">
        <v>57806.94</v>
      </c>
      <c r="AY93" s="299">
        <v>1312</v>
      </c>
      <c r="AZ93" s="299">
        <v>61070.38</v>
      </c>
      <c r="BA93" s="299">
        <v>73320.59</v>
      </c>
      <c r="BB93" s="299">
        <v>0</v>
      </c>
      <c r="BC93" s="299">
        <v>0</v>
      </c>
      <c r="BD93" s="299">
        <v>7058.19</v>
      </c>
      <c r="BE93" s="299">
        <f t="shared" si="18"/>
        <v>1498917.5899999999</v>
      </c>
      <c r="BF93" s="299">
        <f t="shared" si="19"/>
        <v>-179.3699999996461</v>
      </c>
      <c r="BG93" s="299">
        <v>190074.36000000002</v>
      </c>
      <c r="BH93" s="299">
        <f t="shared" si="20"/>
        <v>189894.99000000037</v>
      </c>
      <c r="BI93" s="299">
        <v>95651.49</v>
      </c>
      <c r="BJ93" s="299">
        <v>4790</v>
      </c>
      <c r="BK93" s="299">
        <f t="shared" si="21"/>
        <v>100441.49</v>
      </c>
      <c r="BL93" s="299">
        <v>101775.31</v>
      </c>
      <c r="BM93" s="299">
        <v>567</v>
      </c>
      <c r="BN93" s="299">
        <f t="shared" si="22"/>
        <v>102342.31</v>
      </c>
      <c r="BO93" s="299">
        <f t="shared" si="23"/>
        <v>-1900.8199999999924</v>
      </c>
      <c r="BP93" s="299">
        <v>7831.4800000000014</v>
      </c>
      <c r="BQ93" s="299">
        <f t="shared" si="24"/>
        <v>5930.6600000000089</v>
      </c>
      <c r="BR93" s="299">
        <v>21990</v>
      </c>
      <c r="BS93" s="299">
        <v>155914.84000000084</v>
      </c>
      <c r="BT93" s="299">
        <v>17920.810000000005</v>
      </c>
      <c r="BU93" s="299">
        <f t="shared" si="25"/>
        <v>195825.65000000037</v>
      </c>
      <c r="BV93" s="299">
        <v>6540.25</v>
      </c>
      <c r="BW93" s="299">
        <v>0</v>
      </c>
      <c r="BX93" s="299">
        <v>0</v>
      </c>
      <c r="BY93" s="299">
        <f t="shared" si="26"/>
        <v>6540.25</v>
      </c>
      <c r="BZ93" s="299">
        <v>0</v>
      </c>
      <c r="CA93" s="299">
        <v>0</v>
      </c>
      <c r="CB93" s="299">
        <v>0</v>
      </c>
      <c r="CC93" s="299">
        <v>0</v>
      </c>
      <c r="CD93" s="299">
        <f t="shared" si="27"/>
        <v>0</v>
      </c>
      <c r="CE93" s="299">
        <f t="shared" si="28"/>
        <v>6540.25</v>
      </c>
      <c r="CF93" s="299">
        <v>9498.82</v>
      </c>
      <c r="CG93" s="299">
        <f t="shared" si="29"/>
        <v>16039.07</v>
      </c>
      <c r="CH93" s="299">
        <v>16039.07</v>
      </c>
      <c r="CI93" s="299">
        <v>0</v>
      </c>
      <c r="CJ93" s="299">
        <f t="shared" si="30"/>
        <v>16039.07</v>
      </c>
    </row>
    <row r="94" spans="1:88" ht="13.8">
      <c r="A94" s="252" t="s">
        <v>1377</v>
      </c>
      <c r="B94" s="288">
        <v>2070</v>
      </c>
      <c r="C94" s="288" t="s">
        <v>792</v>
      </c>
      <c r="D94" s="248" t="s">
        <v>704</v>
      </c>
      <c r="E94" s="380" t="str">
        <f t="shared" si="16"/>
        <v>30EP2070</v>
      </c>
      <c r="F94" s="299">
        <v>1520165.59</v>
      </c>
      <c r="G94" s="299">
        <v>0</v>
      </c>
      <c r="H94" s="299">
        <v>39518.14</v>
      </c>
      <c r="I94" s="299">
        <v>0</v>
      </c>
      <c r="J94" s="299">
        <v>93855</v>
      </c>
      <c r="K94" s="299">
        <v>73497.22</v>
      </c>
      <c r="L94" s="299">
        <v>0</v>
      </c>
      <c r="M94" s="299">
        <v>9856.56</v>
      </c>
      <c r="N94" s="299">
        <v>71104.84</v>
      </c>
      <c r="O94" s="299">
        <v>23732.95</v>
      </c>
      <c r="P94" s="299">
        <v>2250</v>
      </c>
      <c r="Q94" s="299">
        <v>1577.68</v>
      </c>
      <c r="R94" s="299">
        <v>26447.41</v>
      </c>
      <c r="S94" s="299">
        <v>8565</v>
      </c>
      <c r="T94" s="299">
        <v>0</v>
      </c>
      <c r="U94" s="299">
        <v>0</v>
      </c>
      <c r="V94" s="299">
        <v>0</v>
      </c>
      <c r="W94" s="299">
        <v>0</v>
      </c>
      <c r="X94" s="299">
        <v>0</v>
      </c>
      <c r="Y94" s="299">
        <f t="shared" si="17"/>
        <v>1870570.39</v>
      </c>
      <c r="Z94" s="299">
        <v>993546.95</v>
      </c>
      <c r="AA94" s="299">
        <v>0</v>
      </c>
      <c r="AB94" s="299">
        <v>360063.51</v>
      </c>
      <c r="AC94" s="299">
        <v>69538.67</v>
      </c>
      <c r="AD94" s="299">
        <v>69756.94</v>
      </c>
      <c r="AE94" s="299">
        <v>57564.09</v>
      </c>
      <c r="AF94" s="299">
        <v>62806.33</v>
      </c>
      <c r="AG94" s="299">
        <v>6991.23</v>
      </c>
      <c r="AH94" s="299">
        <v>6878.56</v>
      </c>
      <c r="AI94" s="299">
        <v>7200</v>
      </c>
      <c r="AJ94" s="299">
        <v>2188.75</v>
      </c>
      <c r="AK94" s="299">
        <v>6331.21</v>
      </c>
      <c r="AL94" s="299">
        <v>5773</v>
      </c>
      <c r="AM94" s="299">
        <v>4520.2299999999996</v>
      </c>
      <c r="AN94" s="299">
        <v>4661</v>
      </c>
      <c r="AO94" s="299">
        <v>20299.830000000002</v>
      </c>
      <c r="AP94" s="299">
        <v>36352.5</v>
      </c>
      <c r="AQ94" s="299">
        <v>11835.91</v>
      </c>
      <c r="AR94" s="299">
        <v>52678.78</v>
      </c>
      <c r="AS94" s="299">
        <v>37017.56</v>
      </c>
      <c r="AT94" s="299">
        <v>0</v>
      </c>
      <c r="AU94" s="299">
        <v>9902.84</v>
      </c>
      <c r="AV94" s="299">
        <v>7777.66</v>
      </c>
      <c r="AW94" s="299">
        <v>1752.91</v>
      </c>
      <c r="AX94" s="299">
        <v>34620.910000000003</v>
      </c>
      <c r="AY94" s="299">
        <v>14162.76</v>
      </c>
      <c r="AZ94" s="299">
        <v>15484</v>
      </c>
      <c r="BA94" s="299">
        <v>27002.19</v>
      </c>
      <c r="BB94" s="299">
        <v>0</v>
      </c>
      <c r="BC94" s="299">
        <v>439.32</v>
      </c>
      <c r="BD94" s="299">
        <v>1256.52</v>
      </c>
      <c r="BE94" s="299">
        <f t="shared" si="18"/>
        <v>1928404.16</v>
      </c>
      <c r="BF94" s="299">
        <f t="shared" si="19"/>
        <v>-57833.770000000019</v>
      </c>
      <c r="BG94" s="299">
        <v>155477.48999999935</v>
      </c>
      <c r="BH94" s="299">
        <f t="shared" si="20"/>
        <v>97643.719999999332</v>
      </c>
      <c r="BI94" s="299">
        <v>0</v>
      </c>
      <c r="BJ94" s="299">
        <v>0</v>
      </c>
      <c r="BK94" s="299">
        <f t="shared" si="21"/>
        <v>0</v>
      </c>
      <c r="BL94" s="299">
        <v>0</v>
      </c>
      <c r="BM94" s="299">
        <v>0</v>
      </c>
      <c r="BN94" s="299">
        <f t="shared" si="22"/>
        <v>0</v>
      </c>
      <c r="BO94" s="299">
        <f t="shared" si="23"/>
        <v>0</v>
      </c>
      <c r="BP94" s="299">
        <v>0</v>
      </c>
      <c r="BQ94" s="299">
        <f t="shared" si="24"/>
        <v>0</v>
      </c>
      <c r="BR94" s="299">
        <v>42727.21</v>
      </c>
      <c r="BS94" s="299">
        <v>54916.509999999333</v>
      </c>
      <c r="BT94" s="299">
        <v>0</v>
      </c>
      <c r="BU94" s="299">
        <f t="shared" si="25"/>
        <v>97643.719999999332</v>
      </c>
      <c r="BV94" s="299">
        <v>7161.25</v>
      </c>
      <c r="BW94" s="299">
        <v>0</v>
      </c>
      <c r="BX94" s="299">
        <v>0</v>
      </c>
      <c r="BY94" s="299">
        <f t="shared" si="26"/>
        <v>7161.25</v>
      </c>
      <c r="BZ94" s="299">
        <v>0</v>
      </c>
      <c r="CA94" s="299">
        <v>13500</v>
      </c>
      <c r="CB94" s="299">
        <v>0</v>
      </c>
      <c r="CC94" s="299">
        <v>10582.93</v>
      </c>
      <c r="CD94" s="299">
        <f t="shared" si="27"/>
        <v>24082.93</v>
      </c>
      <c r="CE94" s="299">
        <f t="shared" si="28"/>
        <v>-16921.68</v>
      </c>
      <c r="CF94" s="299">
        <v>21535.649999999998</v>
      </c>
      <c r="CG94" s="299">
        <f t="shared" si="29"/>
        <v>4613.9699999999975</v>
      </c>
      <c r="CH94" s="299">
        <v>4613.9699999999975</v>
      </c>
      <c r="CI94" s="299">
        <v>0</v>
      </c>
      <c r="CJ94" s="299">
        <f t="shared" si="30"/>
        <v>4613.9699999999975</v>
      </c>
    </row>
    <row r="95" spans="1:88" ht="13.8">
      <c r="A95" s="252" t="s">
        <v>1377</v>
      </c>
      <c r="B95" s="288">
        <v>7023</v>
      </c>
      <c r="C95" s="288" t="s">
        <v>793</v>
      </c>
      <c r="D95" s="248" t="s">
        <v>726</v>
      </c>
      <c r="E95" s="380" t="str">
        <f t="shared" si="16"/>
        <v>30ES7023</v>
      </c>
      <c r="F95" s="299">
        <v>1864655.78</v>
      </c>
      <c r="G95" s="299">
        <v>191249.4</v>
      </c>
      <c r="H95" s="299">
        <v>1896734.63</v>
      </c>
      <c r="I95" s="299">
        <v>0</v>
      </c>
      <c r="J95" s="299">
        <v>66870</v>
      </c>
      <c r="K95" s="299">
        <v>24284.93</v>
      </c>
      <c r="L95" s="299">
        <v>0</v>
      </c>
      <c r="M95" s="299">
        <v>0</v>
      </c>
      <c r="N95" s="299">
        <v>62673.57</v>
      </c>
      <c r="O95" s="299">
        <v>9824.9699999999993</v>
      </c>
      <c r="P95" s="299">
        <v>4475</v>
      </c>
      <c r="Q95" s="299">
        <v>0</v>
      </c>
      <c r="R95" s="299">
        <v>3957.17</v>
      </c>
      <c r="S95" s="299">
        <v>16039.13</v>
      </c>
      <c r="T95" s="299">
        <v>0</v>
      </c>
      <c r="U95" s="299">
        <v>0</v>
      </c>
      <c r="V95" s="299">
        <v>0</v>
      </c>
      <c r="W95" s="299">
        <v>0</v>
      </c>
      <c r="X95" s="299">
        <v>0</v>
      </c>
      <c r="Y95" s="299">
        <f t="shared" si="17"/>
        <v>4140764.5799999996</v>
      </c>
      <c r="Z95" s="299">
        <v>1468446.57</v>
      </c>
      <c r="AA95" s="299">
        <v>0</v>
      </c>
      <c r="AB95" s="299">
        <v>1542988.61</v>
      </c>
      <c r="AC95" s="299">
        <v>123466.91</v>
      </c>
      <c r="AD95" s="299">
        <v>151868.07999999999</v>
      </c>
      <c r="AE95" s="299">
        <v>0</v>
      </c>
      <c r="AF95" s="299">
        <v>131522.57</v>
      </c>
      <c r="AG95" s="299">
        <v>13461.57</v>
      </c>
      <c r="AH95" s="299">
        <v>8180.79</v>
      </c>
      <c r="AI95" s="299">
        <v>3965.4</v>
      </c>
      <c r="AJ95" s="299">
        <v>0</v>
      </c>
      <c r="AK95" s="299">
        <v>32655.439999999999</v>
      </c>
      <c r="AL95" s="299">
        <v>4992</v>
      </c>
      <c r="AM95" s="299">
        <v>14282.24</v>
      </c>
      <c r="AN95" s="299">
        <v>6713.08</v>
      </c>
      <c r="AO95" s="299">
        <v>89953.75</v>
      </c>
      <c r="AP95" s="299">
        <v>0</v>
      </c>
      <c r="AQ95" s="299">
        <v>21621.41</v>
      </c>
      <c r="AR95" s="299">
        <v>93771.07</v>
      </c>
      <c r="AS95" s="299">
        <v>37828.089999999997</v>
      </c>
      <c r="AT95" s="299">
        <v>843.21</v>
      </c>
      <c r="AU95" s="299">
        <v>8486.2000000000007</v>
      </c>
      <c r="AV95" s="299">
        <v>12316.85</v>
      </c>
      <c r="AW95" s="299">
        <v>200.8</v>
      </c>
      <c r="AX95" s="299">
        <v>63268.78</v>
      </c>
      <c r="AY95" s="299">
        <v>0</v>
      </c>
      <c r="AZ95" s="299">
        <v>1090.32</v>
      </c>
      <c r="BA95" s="299">
        <v>67750.27</v>
      </c>
      <c r="BB95" s="299">
        <v>0</v>
      </c>
      <c r="BC95" s="299">
        <v>3992.65</v>
      </c>
      <c r="BD95" s="299">
        <v>12747.06</v>
      </c>
      <c r="BE95" s="299">
        <f t="shared" si="18"/>
        <v>3916413.7199999997</v>
      </c>
      <c r="BF95" s="299">
        <f t="shared" si="19"/>
        <v>224350.85999999987</v>
      </c>
      <c r="BG95" s="299">
        <v>284394.91999999981</v>
      </c>
      <c r="BH95" s="299">
        <f t="shared" si="20"/>
        <v>508745.77999999968</v>
      </c>
      <c r="BI95" s="299">
        <v>0</v>
      </c>
      <c r="BJ95" s="299">
        <v>0</v>
      </c>
      <c r="BK95" s="299">
        <f t="shared" si="21"/>
        <v>0</v>
      </c>
      <c r="BL95" s="299">
        <v>0</v>
      </c>
      <c r="BM95" s="299">
        <v>0</v>
      </c>
      <c r="BN95" s="299">
        <f t="shared" si="22"/>
        <v>0</v>
      </c>
      <c r="BO95" s="299">
        <f t="shared" si="23"/>
        <v>0</v>
      </c>
      <c r="BP95" s="299">
        <v>0</v>
      </c>
      <c r="BQ95" s="299">
        <f t="shared" si="24"/>
        <v>0</v>
      </c>
      <c r="BR95" s="299">
        <v>65328.4</v>
      </c>
      <c r="BS95" s="299">
        <v>443417.37999999919</v>
      </c>
      <c r="BT95" s="299">
        <v>0</v>
      </c>
      <c r="BU95" s="299">
        <f t="shared" si="25"/>
        <v>508745.77999999968</v>
      </c>
      <c r="BV95" s="299">
        <v>10176.25</v>
      </c>
      <c r="BW95" s="299">
        <v>28962.54</v>
      </c>
      <c r="BX95" s="299">
        <v>0</v>
      </c>
      <c r="BY95" s="299">
        <f t="shared" si="26"/>
        <v>39138.79</v>
      </c>
      <c r="BZ95" s="299">
        <v>0</v>
      </c>
      <c r="CA95" s="299">
        <v>28962.54</v>
      </c>
      <c r="CB95" s="299">
        <v>0</v>
      </c>
      <c r="CC95" s="299">
        <v>10176.25</v>
      </c>
      <c r="CD95" s="299">
        <f t="shared" si="27"/>
        <v>39138.79</v>
      </c>
      <c r="CE95" s="299">
        <f t="shared" si="28"/>
        <v>0</v>
      </c>
      <c r="CF95" s="299">
        <v>0</v>
      </c>
      <c r="CG95" s="299">
        <f t="shared" si="29"/>
        <v>0</v>
      </c>
      <c r="CH95" s="299">
        <v>0</v>
      </c>
      <c r="CI95" s="299">
        <v>0</v>
      </c>
      <c r="CJ95" s="299">
        <f t="shared" si="30"/>
        <v>0</v>
      </c>
    </row>
    <row r="96" spans="1:88" ht="13.8">
      <c r="A96" s="252" t="s">
        <v>1377</v>
      </c>
      <c r="B96" s="288">
        <v>2255</v>
      </c>
      <c r="C96" s="288" t="s">
        <v>794</v>
      </c>
      <c r="D96" s="248" t="s">
        <v>704</v>
      </c>
      <c r="E96" s="380" t="str">
        <f t="shared" si="16"/>
        <v>30EP2255</v>
      </c>
      <c r="F96" s="299">
        <v>1150489.24</v>
      </c>
      <c r="G96" s="299">
        <v>0</v>
      </c>
      <c r="H96" s="299">
        <v>66159.06</v>
      </c>
      <c r="I96" s="299">
        <v>0</v>
      </c>
      <c r="J96" s="299">
        <v>61765</v>
      </c>
      <c r="K96" s="299">
        <v>82145.86</v>
      </c>
      <c r="L96" s="299">
        <v>0</v>
      </c>
      <c r="M96" s="299">
        <v>15000</v>
      </c>
      <c r="N96" s="299">
        <v>7357.17</v>
      </c>
      <c r="O96" s="299">
        <v>117</v>
      </c>
      <c r="P96" s="299">
        <v>0</v>
      </c>
      <c r="Q96" s="299">
        <v>0</v>
      </c>
      <c r="R96" s="299">
        <v>1387.2</v>
      </c>
      <c r="S96" s="299">
        <v>8545.2000000000007</v>
      </c>
      <c r="T96" s="299">
        <v>0</v>
      </c>
      <c r="U96" s="299">
        <v>0</v>
      </c>
      <c r="V96" s="299">
        <v>0</v>
      </c>
      <c r="W96" s="299">
        <v>0</v>
      </c>
      <c r="X96" s="299">
        <v>0</v>
      </c>
      <c r="Y96" s="299">
        <f t="shared" si="17"/>
        <v>1392965.73</v>
      </c>
      <c r="Z96" s="299">
        <v>656309.37</v>
      </c>
      <c r="AA96" s="299">
        <v>347.86</v>
      </c>
      <c r="AB96" s="299">
        <v>391049.99</v>
      </c>
      <c r="AC96" s="299">
        <v>37846.51</v>
      </c>
      <c r="AD96" s="299">
        <v>54841.11</v>
      </c>
      <c r="AE96" s="299">
        <v>0</v>
      </c>
      <c r="AF96" s="299">
        <v>19274.63</v>
      </c>
      <c r="AG96" s="299">
        <v>4946.8</v>
      </c>
      <c r="AH96" s="299">
        <v>3233.9</v>
      </c>
      <c r="AI96" s="299">
        <v>1822</v>
      </c>
      <c r="AJ96" s="299">
        <v>0</v>
      </c>
      <c r="AK96" s="299">
        <v>21505.66</v>
      </c>
      <c r="AL96" s="299">
        <v>1476</v>
      </c>
      <c r="AM96" s="299">
        <v>3377.46</v>
      </c>
      <c r="AN96" s="299">
        <v>1688.76</v>
      </c>
      <c r="AO96" s="299">
        <v>17668.830000000002</v>
      </c>
      <c r="AP96" s="299">
        <v>16342.25</v>
      </c>
      <c r="AQ96" s="299">
        <v>1615.29</v>
      </c>
      <c r="AR96" s="299">
        <v>25664.62</v>
      </c>
      <c r="AS96" s="299">
        <v>38788.44</v>
      </c>
      <c r="AT96" s="299">
        <v>0</v>
      </c>
      <c r="AU96" s="299">
        <v>4971.96</v>
      </c>
      <c r="AV96" s="299">
        <v>5513</v>
      </c>
      <c r="AW96" s="299">
        <v>0</v>
      </c>
      <c r="AX96" s="299">
        <v>74665.600000000006</v>
      </c>
      <c r="AY96" s="299">
        <v>630</v>
      </c>
      <c r="AZ96" s="299">
        <v>10201.52</v>
      </c>
      <c r="BA96" s="299">
        <v>16728.900000000001</v>
      </c>
      <c r="BB96" s="299">
        <v>0</v>
      </c>
      <c r="BC96" s="299">
        <v>0</v>
      </c>
      <c r="BD96" s="299">
        <v>0</v>
      </c>
      <c r="BE96" s="299">
        <f t="shared" si="18"/>
        <v>1410510.46</v>
      </c>
      <c r="BF96" s="299">
        <f t="shared" si="19"/>
        <v>-17544.729999999981</v>
      </c>
      <c r="BG96" s="299">
        <v>201223.73999999993</v>
      </c>
      <c r="BH96" s="299">
        <f t="shared" si="20"/>
        <v>183679.00999999995</v>
      </c>
      <c r="BI96" s="299">
        <v>0</v>
      </c>
      <c r="BJ96" s="299">
        <v>0</v>
      </c>
      <c r="BK96" s="299">
        <f t="shared" si="21"/>
        <v>0</v>
      </c>
      <c r="BL96" s="299">
        <v>0</v>
      </c>
      <c r="BM96" s="299">
        <v>0</v>
      </c>
      <c r="BN96" s="299">
        <f t="shared" si="22"/>
        <v>0</v>
      </c>
      <c r="BO96" s="299">
        <f t="shared" si="23"/>
        <v>0</v>
      </c>
      <c r="BP96" s="299">
        <v>0</v>
      </c>
      <c r="BQ96" s="299">
        <f t="shared" si="24"/>
        <v>0</v>
      </c>
      <c r="BR96" s="299">
        <v>7111.75</v>
      </c>
      <c r="BS96" s="299">
        <v>176567.25999999995</v>
      </c>
      <c r="BT96" s="299">
        <v>0</v>
      </c>
      <c r="BU96" s="299">
        <f t="shared" si="25"/>
        <v>183679.00999999995</v>
      </c>
      <c r="BV96" s="299">
        <v>6205</v>
      </c>
      <c r="BW96" s="299">
        <v>0</v>
      </c>
      <c r="BX96" s="299">
        <v>0</v>
      </c>
      <c r="BY96" s="299">
        <f t="shared" si="26"/>
        <v>6205</v>
      </c>
      <c r="BZ96" s="299">
        <v>0</v>
      </c>
      <c r="CA96" s="299">
        <v>0</v>
      </c>
      <c r="CB96" s="299">
        <v>0</v>
      </c>
      <c r="CC96" s="299">
        <v>4537.2</v>
      </c>
      <c r="CD96" s="299">
        <f t="shared" si="27"/>
        <v>4537.2</v>
      </c>
      <c r="CE96" s="299">
        <f t="shared" si="28"/>
        <v>1667.8000000000002</v>
      </c>
      <c r="CF96" s="299">
        <v>10459.92</v>
      </c>
      <c r="CG96" s="299">
        <f t="shared" si="29"/>
        <v>12127.720000000001</v>
      </c>
      <c r="CH96" s="299">
        <v>6150.63</v>
      </c>
      <c r="CI96" s="299">
        <v>5977.09</v>
      </c>
      <c r="CJ96" s="299">
        <f t="shared" si="30"/>
        <v>12127.720000000001</v>
      </c>
    </row>
    <row r="97" spans="1:88" ht="13.8">
      <c r="A97" s="252" t="s">
        <v>1377</v>
      </c>
      <c r="B97" s="288">
        <v>2115</v>
      </c>
      <c r="C97" s="288" t="s">
        <v>795</v>
      </c>
      <c r="D97" s="248" t="s">
        <v>704</v>
      </c>
      <c r="E97" s="380" t="str">
        <f t="shared" si="16"/>
        <v>30EP2115</v>
      </c>
      <c r="F97" s="299">
        <v>2235067.44</v>
      </c>
      <c r="G97" s="299">
        <v>0</v>
      </c>
      <c r="H97" s="299">
        <v>200284</v>
      </c>
      <c r="I97" s="299">
        <v>0</v>
      </c>
      <c r="J97" s="299">
        <v>235966</v>
      </c>
      <c r="K97" s="299">
        <v>58026</v>
      </c>
      <c r="L97" s="299">
        <v>1900</v>
      </c>
      <c r="M97" s="299">
        <v>16412.59</v>
      </c>
      <c r="N97" s="299">
        <v>59728.91</v>
      </c>
      <c r="O97" s="299">
        <v>23560.48</v>
      </c>
      <c r="P97" s="299">
        <v>13749.4</v>
      </c>
      <c r="Q97" s="299">
        <v>0</v>
      </c>
      <c r="R97" s="299">
        <v>7139.03</v>
      </c>
      <c r="S97" s="299">
        <v>1379.25</v>
      </c>
      <c r="T97" s="299">
        <v>0</v>
      </c>
      <c r="U97" s="299">
        <v>0</v>
      </c>
      <c r="V97" s="299">
        <v>0</v>
      </c>
      <c r="W97" s="299">
        <v>0</v>
      </c>
      <c r="X97" s="299">
        <v>0</v>
      </c>
      <c r="Y97" s="299">
        <f t="shared" si="17"/>
        <v>2853213.0999999996</v>
      </c>
      <c r="Z97" s="299">
        <v>1152667.06</v>
      </c>
      <c r="AA97" s="299">
        <v>7540.55</v>
      </c>
      <c r="AB97" s="299">
        <v>645587.62</v>
      </c>
      <c r="AC97" s="299">
        <v>78554.149999999994</v>
      </c>
      <c r="AD97" s="299">
        <v>201523.86</v>
      </c>
      <c r="AE97" s="299">
        <v>0</v>
      </c>
      <c r="AF97" s="299">
        <v>17825.63</v>
      </c>
      <c r="AG97" s="299">
        <v>11626.99</v>
      </c>
      <c r="AH97" s="299">
        <v>6556.5</v>
      </c>
      <c r="AI97" s="299">
        <v>8875</v>
      </c>
      <c r="AJ97" s="299">
        <v>0</v>
      </c>
      <c r="AK97" s="299">
        <v>35279.19</v>
      </c>
      <c r="AL97" s="299">
        <v>3412.5</v>
      </c>
      <c r="AM97" s="299">
        <v>4141.63</v>
      </c>
      <c r="AN97" s="299">
        <v>7988.64</v>
      </c>
      <c r="AO97" s="299">
        <v>62149.4</v>
      </c>
      <c r="AP97" s="299">
        <v>67155</v>
      </c>
      <c r="AQ97" s="299">
        <v>72120.86</v>
      </c>
      <c r="AR97" s="299">
        <v>32902.94</v>
      </c>
      <c r="AS97" s="299">
        <v>46981.37</v>
      </c>
      <c r="AT97" s="299">
        <v>0</v>
      </c>
      <c r="AU97" s="299">
        <v>116934.09</v>
      </c>
      <c r="AV97" s="299">
        <v>9742.8700000000008</v>
      </c>
      <c r="AW97" s="299">
        <v>0</v>
      </c>
      <c r="AX97" s="299">
        <v>107821.42</v>
      </c>
      <c r="AY97" s="299">
        <v>0</v>
      </c>
      <c r="AZ97" s="299">
        <v>14542.22</v>
      </c>
      <c r="BA97" s="299">
        <v>195925.14</v>
      </c>
      <c r="BB97" s="299">
        <v>0</v>
      </c>
      <c r="BC97" s="299">
        <v>0</v>
      </c>
      <c r="BD97" s="299">
        <v>19254.66</v>
      </c>
      <c r="BE97" s="299">
        <f t="shared" si="18"/>
        <v>2927109.29</v>
      </c>
      <c r="BF97" s="299">
        <f t="shared" si="19"/>
        <v>-73896.19000000041</v>
      </c>
      <c r="BG97" s="299">
        <v>-180869.30000000037</v>
      </c>
      <c r="BH97" s="299">
        <f t="shared" si="20"/>
        <v>-254765.49000000078</v>
      </c>
      <c r="BI97" s="299">
        <v>162612.29999999999</v>
      </c>
      <c r="BJ97" s="299">
        <v>2713.27</v>
      </c>
      <c r="BK97" s="299">
        <f t="shared" si="21"/>
        <v>165325.56999999998</v>
      </c>
      <c r="BL97" s="299">
        <v>144739.16</v>
      </c>
      <c r="BM97" s="299">
        <v>1369.34</v>
      </c>
      <c r="BN97" s="299">
        <f t="shared" si="22"/>
        <v>146108.5</v>
      </c>
      <c r="BO97" s="299">
        <f t="shared" si="23"/>
        <v>19217.069999999978</v>
      </c>
      <c r="BP97" s="299">
        <v>0</v>
      </c>
      <c r="BQ97" s="299">
        <f t="shared" si="24"/>
        <v>19217.069999999978</v>
      </c>
      <c r="BR97" s="299">
        <v>0</v>
      </c>
      <c r="BS97" s="299">
        <v>-254765.49000000078</v>
      </c>
      <c r="BT97" s="299">
        <v>19217.069999999978</v>
      </c>
      <c r="BU97" s="299">
        <f t="shared" si="25"/>
        <v>-235548.4200000008</v>
      </c>
      <c r="BV97" s="299">
        <v>7915</v>
      </c>
      <c r="BW97" s="299">
        <v>0</v>
      </c>
      <c r="BX97" s="299">
        <v>0</v>
      </c>
      <c r="BY97" s="299">
        <f t="shared" si="26"/>
        <v>7915</v>
      </c>
      <c r="BZ97" s="299">
        <v>0</v>
      </c>
      <c r="CA97" s="299">
        <v>0</v>
      </c>
      <c r="CB97" s="299">
        <v>0</v>
      </c>
      <c r="CC97" s="299">
        <v>3049.39</v>
      </c>
      <c r="CD97" s="299">
        <f t="shared" si="27"/>
        <v>3049.39</v>
      </c>
      <c r="CE97" s="299">
        <f t="shared" si="28"/>
        <v>4865.6100000000006</v>
      </c>
      <c r="CF97" s="299">
        <v>249.06</v>
      </c>
      <c r="CG97" s="299">
        <f t="shared" si="29"/>
        <v>5114.670000000001</v>
      </c>
      <c r="CH97" s="299">
        <v>5114.670000000001</v>
      </c>
      <c r="CI97" s="299">
        <v>0</v>
      </c>
      <c r="CJ97" s="299">
        <f t="shared" si="30"/>
        <v>5114.670000000001</v>
      </c>
    </row>
    <row r="98" spans="1:88" ht="13.8">
      <c r="A98" s="252" t="s">
        <v>1377</v>
      </c>
      <c r="B98" s="288">
        <v>2329</v>
      </c>
      <c r="C98" s="288" t="s">
        <v>796</v>
      </c>
      <c r="D98" s="248" t="s">
        <v>704</v>
      </c>
      <c r="E98" s="380" t="str">
        <f t="shared" si="16"/>
        <v>30EP2329</v>
      </c>
      <c r="F98" s="299">
        <v>1136112.57</v>
      </c>
      <c r="G98" s="299">
        <v>0</v>
      </c>
      <c r="H98" s="299">
        <v>284328.08</v>
      </c>
      <c r="I98" s="299">
        <v>0</v>
      </c>
      <c r="J98" s="299">
        <v>67962</v>
      </c>
      <c r="K98" s="299">
        <v>57556.93</v>
      </c>
      <c r="L98" s="299">
        <v>0</v>
      </c>
      <c r="M98" s="299">
        <v>38745.79</v>
      </c>
      <c r="N98" s="299">
        <v>22009.919999999998</v>
      </c>
      <c r="O98" s="299">
        <v>5280.81</v>
      </c>
      <c r="P98" s="299">
        <v>0</v>
      </c>
      <c r="Q98" s="299">
        <v>304.56</v>
      </c>
      <c r="R98" s="299">
        <v>2225.8000000000002</v>
      </c>
      <c r="S98" s="299">
        <v>3268.54</v>
      </c>
      <c r="T98" s="299">
        <v>0</v>
      </c>
      <c r="U98" s="299">
        <v>0</v>
      </c>
      <c r="V98" s="299">
        <v>0</v>
      </c>
      <c r="W98" s="299">
        <v>0</v>
      </c>
      <c r="X98" s="299">
        <v>0</v>
      </c>
      <c r="Y98" s="299">
        <f t="shared" si="17"/>
        <v>1617795.0000000002</v>
      </c>
      <c r="Z98" s="299">
        <v>595948.32999999996</v>
      </c>
      <c r="AA98" s="299">
        <v>0</v>
      </c>
      <c r="AB98" s="299">
        <v>503116.13</v>
      </c>
      <c r="AC98" s="299">
        <v>69800.7</v>
      </c>
      <c r="AD98" s="299">
        <v>80900.91</v>
      </c>
      <c r="AE98" s="299">
        <v>35171.69</v>
      </c>
      <c r="AF98" s="299">
        <v>30431.08</v>
      </c>
      <c r="AG98" s="299">
        <v>6832</v>
      </c>
      <c r="AH98" s="299">
        <v>7542.8</v>
      </c>
      <c r="AI98" s="299">
        <v>3550</v>
      </c>
      <c r="AJ98" s="299">
        <v>405</v>
      </c>
      <c r="AK98" s="299">
        <v>11457.71</v>
      </c>
      <c r="AL98" s="299">
        <v>1706.56</v>
      </c>
      <c r="AM98" s="299">
        <v>4327.6099999999997</v>
      </c>
      <c r="AN98" s="299">
        <v>5228.07</v>
      </c>
      <c r="AO98" s="299">
        <v>34401.22</v>
      </c>
      <c r="AP98" s="299">
        <v>43290</v>
      </c>
      <c r="AQ98" s="299">
        <v>11230.87</v>
      </c>
      <c r="AR98" s="299">
        <v>20588.46</v>
      </c>
      <c r="AS98" s="299">
        <v>31386.09</v>
      </c>
      <c r="AT98" s="299">
        <v>0</v>
      </c>
      <c r="AU98" s="299">
        <v>6219.33</v>
      </c>
      <c r="AV98" s="299">
        <v>4429.49</v>
      </c>
      <c r="AW98" s="299">
        <v>0</v>
      </c>
      <c r="AX98" s="299">
        <v>24229.45</v>
      </c>
      <c r="AY98" s="299">
        <v>12654.49</v>
      </c>
      <c r="AZ98" s="299">
        <v>17111.400000000001</v>
      </c>
      <c r="BA98" s="299">
        <v>13222.4</v>
      </c>
      <c r="BB98" s="299">
        <v>0</v>
      </c>
      <c r="BC98" s="299">
        <v>0</v>
      </c>
      <c r="BD98" s="299">
        <v>9527.82</v>
      </c>
      <c r="BE98" s="299">
        <f t="shared" si="18"/>
        <v>1584709.61</v>
      </c>
      <c r="BF98" s="299">
        <f t="shared" si="19"/>
        <v>33085.39000000013</v>
      </c>
      <c r="BG98" s="299">
        <v>-61808.539999999892</v>
      </c>
      <c r="BH98" s="299">
        <f t="shared" si="20"/>
        <v>-28723.149999999761</v>
      </c>
      <c r="BI98" s="299">
        <v>255880.99</v>
      </c>
      <c r="BJ98" s="299">
        <v>14368.31</v>
      </c>
      <c r="BK98" s="299">
        <f t="shared" si="21"/>
        <v>270249.3</v>
      </c>
      <c r="BL98" s="299">
        <v>258073.09</v>
      </c>
      <c r="BM98" s="299">
        <v>17412.87</v>
      </c>
      <c r="BN98" s="299">
        <f t="shared" si="22"/>
        <v>275485.96000000002</v>
      </c>
      <c r="BO98" s="299">
        <f t="shared" si="23"/>
        <v>-5236.6600000000326</v>
      </c>
      <c r="BP98" s="299">
        <v>3491.3099999999831</v>
      </c>
      <c r="BQ98" s="299">
        <f t="shared" si="24"/>
        <v>-1745.3500000000495</v>
      </c>
      <c r="BR98" s="299">
        <v>0</v>
      </c>
      <c r="BS98" s="299">
        <v>-28723.149999999529</v>
      </c>
      <c r="BT98" s="299">
        <v>-1745.3500000000495</v>
      </c>
      <c r="BU98" s="299">
        <f t="shared" si="25"/>
        <v>-30468.499999999811</v>
      </c>
      <c r="BV98" s="299">
        <v>5541.25</v>
      </c>
      <c r="BW98" s="299">
        <v>0</v>
      </c>
      <c r="BX98" s="299">
        <v>0</v>
      </c>
      <c r="BY98" s="299">
        <f t="shared" si="26"/>
        <v>5541.25</v>
      </c>
      <c r="BZ98" s="299">
        <v>0</v>
      </c>
      <c r="CA98" s="299">
        <v>0</v>
      </c>
      <c r="CB98" s="299">
        <v>0</v>
      </c>
      <c r="CC98" s="299">
        <v>5541.25</v>
      </c>
      <c r="CD98" s="299">
        <f t="shared" si="27"/>
        <v>5541.25</v>
      </c>
      <c r="CE98" s="299">
        <f t="shared" si="28"/>
        <v>0</v>
      </c>
      <c r="CF98" s="299">
        <v>0</v>
      </c>
      <c r="CG98" s="299">
        <f t="shared" si="29"/>
        <v>0</v>
      </c>
      <c r="CH98" s="299">
        <v>0</v>
      </c>
      <c r="CI98" s="299">
        <v>0</v>
      </c>
      <c r="CJ98" s="299">
        <f t="shared" si="30"/>
        <v>0</v>
      </c>
    </row>
    <row r="99" spans="1:88" ht="13.8">
      <c r="A99" s="252" t="s">
        <v>1377</v>
      </c>
      <c r="B99" s="288">
        <v>3384</v>
      </c>
      <c r="C99" s="288" t="s">
        <v>797</v>
      </c>
      <c r="D99" s="248" t="s">
        <v>704</v>
      </c>
      <c r="E99" s="380" t="str">
        <f t="shared" si="16"/>
        <v>30EP3384</v>
      </c>
      <c r="F99" s="299">
        <v>1106564.25</v>
      </c>
      <c r="G99" s="299">
        <v>0</v>
      </c>
      <c r="H99" s="299">
        <v>34521.17</v>
      </c>
      <c r="I99" s="299">
        <v>0</v>
      </c>
      <c r="J99" s="299">
        <v>66610</v>
      </c>
      <c r="K99" s="299">
        <v>48398</v>
      </c>
      <c r="L99" s="299">
        <v>13000</v>
      </c>
      <c r="M99" s="299">
        <v>3730</v>
      </c>
      <c r="N99" s="299">
        <v>43512.959999999999</v>
      </c>
      <c r="O99" s="299">
        <v>22925.1</v>
      </c>
      <c r="P99" s="299">
        <v>2250</v>
      </c>
      <c r="Q99" s="299">
        <v>0</v>
      </c>
      <c r="R99" s="299">
        <v>18198.75</v>
      </c>
      <c r="S99" s="299">
        <v>1916</v>
      </c>
      <c r="T99" s="299">
        <v>0</v>
      </c>
      <c r="U99" s="299">
        <v>0</v>
      </c>
      <c r="V99" s="299">
        <v>0</v>
      </c>
      <c r="W99" s="299">
        <v>0</v>
      </c>
      <c r="X99" s="299">
        <v>0</v>
      </c>
      <c r="Y99" s="299">
        <f t="shared" si="17"/>
        <v>1361626.23</v>
      </c>
      <c r="Z99" s="299">
        <v>695582.36</v>
      </c>
      <c r="AA99" s="299">
        <v>19722.759999999998</v>
      </c>
      <c r="AB99" s="299">
        <v>276925.59999999998</v>
      </c>
      <c r="AC99" s="299">
        <v>30356.54</v>
      </c>
      <c r="AD99" s="299">
        <v>64112.639999999999</v>
      </c>
      <c r="AE99" s="299">
        <v>37272.28</v>
      </c>
      <c r="AF99" s="299">
        <v>49752.26</v>
      </c>
      <c r="AG99" s="299">
        <v>561</v>
      </c>
      <c r="AH99" s="299">
        <v>2727.17</v>
      </c>
      <c r="AI99" s="299">
        <v>3459</v>
      </c>
      <c r="AJ99" s="299">
        <v>0</v>
      </c>
      <c r="AK99" s="299">
        <v>4918.24</v>
      </c>
      <c r="AL99" s="299">
        <v>3780</v>
      </c>
      <c r="AM99" s="299">
        <v>2378.7600000000002</v>
      </c>
      <c r="AN99" s="299">
        <v>3249.59</v>
      </c>
      <c r="AO99" s="299">
        <v>15409.92</v>
      </c>
      <c r="AP99" s="299">
        <v>7603.5</v>
      </c>
      <c r="AQ99" s="299">
        <v>6665.42</v>
      </c>
      <c r="AR99" s="299">
        <v>49603.02</v>
      </c>
      <c r="AS99" s="299">
        <v>21845.66</v>
      </c>
      <c r="AT99" s="299">
        <v>0</v>
      </c>
      <c r="AU99" s="299">
        <v>9569.67</v>
      </c>
      <c r="AV99" s="299">
        <v>5615.77</v>
      </c>
      <c r="AW99" s="299">
        <v>0</v>
      </c>
      <c r="AX99" s="299">
        <v>31124.9</v>
      </c>
      <c r="AY99" s="299">
        <v>0</v>
      </c>
      <c r="AZ99" s="299">
        <v>6975</v>
      </c>
      <c r="BA99" s="299">
        <v>9936.94</v>
      </c>
      <c r="BB99" s="299">
        <v>0</v>
      </c>
      <c r="BC99" s="299">
        <v>0</v>
      </c>
      <c r="BD99" s="299">
        <v>748.8</v>
      </c>
      <c r="BE99" s="299">
        <f t="shared" si="18"/>
        <v>1359896.7999999996</v>
      </c>
      <c r="BF99" s="299">
        <f t="shared" si="19"/>
        <v>1729.4300000004005</v>
      </c>
      <c r="BG99" s="299">
        <v>-97886.929999999847</v>
      </c>
      <c r="BH99" s="299">
        <f t="shared" si="20"/>
        <v>-96157.499999999447</v>
      </c>
      <c r="BI99" s="299">
        <v>0</v>
      </c>
      <c r="BJ99" s="299">
        <v>0</v>
      </c>
      <c r="BK99" s="299">
        <f t="shared" si="21"/>
        <v>0</v>
      </c>
      <c r="BL99" s="299">
        <v>0</v>
      </c>
      <c r="BM99" s="299">
        <v>0</v>
      </c>
      <c r="BN99" s="299">
        <f t="shared" si="22"/>
        <v>0</v>
      </c>
      <c r="BO99" s="299">
        <f t="shared" si="23"/>
        <v>0</v>
      </c>
      <c r="BP99" s="299">
        <v>0</v>
      </c>
      <c r="BQ99" s="299">
        <f t="shared" si="24"/>
        <v>0</v>
      </c>
      <c r="BR99" s="299">
        <v>0</v>
      </c>
      <c r="BS99" s="299">
        <v>-96157.49999999968</v>
      </c>
      <c r="BT99" s="299">
        <v>0</v>
      </c>
      <c r="BU99" s="299">
        <f t="shared" si="25"/>
        <v>-96157.499999999447</v>
      </c>
      <c r="BV99" s="299">
        <v>0</v>
      </c>
      <c r="BW99" s="299">
        <v>0</v>
      </c>
      <c r="BX99" s="299">
        <v>0</v>
      </c>
      <c r="BY99" s="299">
        <f t="shared" si="26"/>
        <v>0</v>
      </c>
      <c r="BZ99" s="299">
        <v>0</v>
      </c>
      <c r="CA99" s="299">
        <v>0</v>
      </c>
      <c r="CB99" s="299">
        <v>0</v>
      </c>
      <c r="CC99" s="299">
        <v>0</v>
      </c>
      <c r="CD99" s="299">
        <f t="shared" si="27"/>
        <v>0</v>
      </c>
      <c r="CE99" s="299">
        <f t="shared" si="28"/>
        <v>0</v>
      </c>
      <c r="CF99" s="299">
        <v>0</v>
      </c>
      <c r="CG99" s="299">
        <f t="shared" si="29"/>
        <v>0</v>
      </c>
      <c r="CH99" s="299">
        <v>0</v>
      </c>
      <c r="CI99" s="299">
        <v>0</v>
      </c>
      <c r="CJ99" s="299">
        <f t="shared" si="30"/>
        <v>0</v>
      </c>
    </row>
    <row r="100" spans="1:88" ht="13.8">
      <c r="A100" s="252" t="s">
        <v>1377</v>
      </c>
      <c r="B100" s="288">
        <v>5200</v>
      </c>
      <c r="C100" s="288" t="s">
        <v>798</v>
      </c>
      <c r="D100" s="248" t="s">
        <v>799</v>
      </c>
      <c r="E100" s="380" t="str">
        <f t="shared" si="16"/>
        <v>30ES5200</v>
      </c>
      <c r="F100" s="299">
        <v>980057.44</v>
      </c>
      <c r="G100" s="299">
        <v>0</v>
      </c>
      <c r="H100" s="299">
        <v>10315.700000000001</v>
      </c>
      <c r="I100" s="299">
        <v>0</v>
      </c>
      <c r="J100" s="299">
        <v>38125</v>
      </c>
      <c r="K100" s="299">
        <v>59816</v>
      </c>
      <c r="L100" s="299">
        <v>0</v>
      </c>
      <c r="M100" s="299">
        <v>24800.86</v>
      </c>
      <c r="N100" s="299">
        <v>12128.15</v>
      </c>
      <c r="O100" s="299">
        <v>0</v>
      </c>
      <c r="P100" s="299">
        <v>1350</v>
      </c>
      <c r="Q100" s="299">
        <v>1947.97</v>
      </c>
      <c r="R100" s="299">
        <v>0</v>
      </c>
      <c r="S100" s="299">
        <v>15079.61</v>
      </c>
      <c r="T100" s="299">
        <v>0</v>
      </c>
      <c r="U100" s="299">
        <v>0</v>
      </c>
      <c r="V100" s="299">
        <v>0</v>
      </c>
      <c r="W100" s="299">
        <v>0</v>
      </c>
      <c r="X100" s="299">
        <v>0</v>
      </c>
      <c r="Y100" s="299">
        <f t="shared" si="17"/>
        <v>1143620.73</v>
      </c>
      <c r="Z100" s="299">
        <v>656395.29</v>
      </c>
      <c r="AA100" s="299">
        <v>2441.3000000000002</v>
      </c>
      <c r="AB100" s="299">
        <v>194793.86</v>
      </c>
      <c r="AC100" s="299">
        <v>26901.98</v>
      </c>
      <c r="AD100" s="299">
        <v>57016.78</v>
      </c>
      <c r="AE100" s="299">
        <v>0</v>
      </c>
      <c r="AF100" s="299">
        <v>21961.59</v>
      </c>
      <c r="AG100" s="299">
        <v>313.5</v>
      </c>
      <c r="AH100" s="299">
        <v>15785.05</v>
      </c>
      <c r="AI100" s="299">
        <v>5231.42</v>
      </c>
      <c r="AJ100" s="299">
        <v>0</v>
      </c>
      <c r="AK100" s="299">
        <v>5976.73</v>
      </c>
      <c r="AL100" s="299">
        <v>3540</v>
      </c>
      <c r="AM100" s="299">
        <v>1912.55</v>
      </c>
      <c r="AN100" s="299">
        <v>3583.72</v>
      </c>
      <c r="AO100" s="299">
        <v>21469</v>
      </c>
      <c r="AP100" s="299">
        <v>3642.7</v>
      </c>
      <c r="AQ100" s="299">
        <v>7644.7</v>
      </c>
      <c r="AR100" s="299">
        <v>49781.34</v>
      </c>
      <c r="AS100" s="299">
        <v>25942.080000000002</v>
      </c>
      <c r="AT100" s="299">
        <v>0</v>
      </c>
      <c r="AU100" s="299">
        <v>2480.4299999999998</v>
      </c>
      <c r="AV100" s="299">
        <v>5643.29</v>
      </c>
      <c r="AW100" s="299">
        <v>0</v>
      </c>
      <c r="AX100" s="299">
        <v>42524.03</v>
      </c>
      <c r="AY100" s="299">
        <v>7616.25</v>
      </c>
      <c r="AZ100" s="299">
        <v>439</v>
      </c>
      <c r="BA100" s="299">
        <v>14116.36</v>
      </c>
      <c r="BB100" s="299">
        <v>0</v>
      </c>
      <c r="BC100" s="299">
        <v>0</v>
      </c>
      <c r="BD100" s="299">
        <v>0</v>
      </c>
      <c r="BE100" s="299">
        <f t="shared" si="18"/>
        <v>1177152.9500000002</v>
      </c>
      <c r="BF100" s="299">
        <f t="shared" si="19"/>
        <v>-33532.220000000205</v>
      </c>
      <c r="BG100" s="299">
        <v>-60628.239999999714</v>
      </c>
      <c r="BH100" s="299">
        <f t="shared" si="20"/>
        <v>-94160.459999999919</v>
      </c>
      <c r="BI100" s="299">
        <v>0</v>
      </c>
      <c r="BJ100" s="299">
        <v>0</v>
      </c>
      <c r="BK100" s="299">
        <f t="shared" si="21"/>
        <v>0</v>
      </c>
      <c r="BL100" s="299">
        <v>0</v>
      </c>
      <c r="BM100" s="299">
        <v>0</v>
      </c>
      <c r="BN100" s="299">
        <f t="shared" si="22"/>
        <v>0</v>
      </c>
      <c r="BO100" s="299">
        <f t="shared" si="23"/>
        <v>0</v>
      </c>
      <c r="BP100" s="299">
        <v>0</v>
      </c>
      <c r="BQ100" s="299">
        <f t="shared" si="24"/>
        <v>0</v>
      </c>
      <c r="BR100" s="299">
        <v>0</v>
      </c>
      <c r="BS100" s="299">
        <v>-94160.459999999686</v>
      </c>
      <c r="BT100" s="299">
        <v>0</v>
      </c>
      <c r="BU100" s="299">
        <f t="shared" si="25"/>
        <v>-94160.459999999919</v>
      </c>
      <c r="BV100" s="299">
        <v>-146823.75</v>
      </c>
      <c r="BW100" s="299">
        <v>7348.79</v>
      </c>
      <c r="BX100" s="299">
        <v>0</v>
      </c>
      <c r="BY100" s="299">
        <f t="shared" si="26"/>
        <v>-139474.96</v>
      </c>
      <c r="BZ100" s="299">
        <v>0</v>
      </c>
      <c r="CA100" s="299">
        <v>3510.29</v>
      </c>
      <c r="CB100" s="299">
        <v>0</v>
      </c>
      <c r="CC100" s="299">
        <v>7348.79</v>
      </c>
      <c r="CD100" s="299">
        <f t="shared" si="27"/>
        <v>10859.08</v>
      </c>
      <c r="CE100" s="299">
        <f t="shared" si="28"/>
        <v>-150334.03999999998</v>
      </c>
      <c r="CF100" s="299">
        <v>159597.28999999998</v>
      </c>
      <c r="CG100" s="299">
        <f t="shared" si="29"/>
        <v>9263.25</v>
      </c>
      <c r="CH100" s="299">
        <v>8302.8399999999965</v>
      </c>
      <c r="CI100" s="299">
        <v>960.40999999997439</v>
      </c>
      <c r="CJ100" s="299">
        <f t="shared" si="30"/>
        <v>9263.2499999999709</v>
      </c>
    </row>
    <row r="101" spans="1:88" ht="13.8">
      <c r="A101" s="252" t="s">
        <v>1377</v>
      </c>
      <c r="B101" s="288">
        <v>2317</v>
      </c>
      <c r="C101" s="288" t="s">
        <v>800</v>
      </c>
      <c r="D101" s="248" t="s">
        <v>704</v>
      </c>
      <c r="E101" s="380" t="str">
        <f t="shared" ref="E101:E127" si="31">_xlfn.CONCAT("30",IF(D101="Primary","EP",IF(D101="Nursery","EN","ES")),B101)</f>
        <v>30EP2317</v>
      </c>
      <c r="F101" s="299">
        <v>3388004.21</v>
      </c>
      <c r="G101" s="299">
        <v>0</v>
      </c>
      <c r="H101" s="299">
        <v>177224.71</v>
      </c>
      <c r="I101" s="299">
        <v>0</v>
      </c>
      <c r="J101" s="299">
        <v>157186</v>
      </c>
      <c r="K101" s="299">
        <v>120062.86</v>
      </c>
      <c r="L101" s="299">
        <v>0</v>
      </c>
      <c r="M101" s="299">
        <v>43100.49</v>
      </c>
      <c r="N101" s="299">
        <v>86219.51</v>
      </c>
      <c r="O101" s="299">
        <v>56357.88</v>
      </c>
      <c r="P101" s="299">
        <v>2434</v>
      </c>
      <c r="Q101" s="299">
        <v>1007.76</v>
      </c>
      <c r="R101" s="299">
        <v>43061.02</v>
      </c>
      <c r="S101" s="299">
        <v>0</v>
      </c>
      <c r="T101" s="299">
        <v>0</v>
      </c>
      <c r="U101" s="299">
        <v>0</v>
      </c>
      <c r="V101" s="299">
        <v>0</v>
      </c>
      <c r="W101" s="299">
        <v>0</v>
      </c>
      <c r="X101" s="299">
        <v>0</v>
      </c>
      <c r="Y101" s="299">
        <f t="shared" si="17"/>
        <v>4074658.4399999995</v>
      </c>
      <c r="Z101" s="299">
        <v>1920284.94</v>
      </c>
      <c r="AA101" s="299">
        <v>0</v>
      </c>
      <c r="AB101" s="299">
        <v>829634.47</v>
      </c>
      <c r="AC101" s="299">
        <v>87064.22</v>
      </c>
      <c r="AD101" s="299">
        <v>157811.76999999999</v>
      </c>
      <c r="AE101" s="299">
        <v>0</v>
      </c>
      <c r="AF101" s="299">
        <v>54545.26</v>
      </c>
      <c r="AG101" s="299">
        <v>19061.580000000002</v>
      </c>
      <c r="AH101" s="299">
        <v>6438</v>
      </c>
      <c r="AI101" s="299">
        <v>15675</v>
      </c>
      <c r="AJ101" s="299">
        <v>4043.75</v>
      </c>
      <c r="AK101" s="299">
        <v>36040.080000000002</v>
      </c>
      <c r="AL101" s="299">
        <v>6677.78</v>
      </c>
      <c r="AM101" s="299">
        <v>62231.11</v>
      </c>
      <c r="AN101" s="299">
        <v>23150.22</v>
      </c>
      <c r="AO101" s="299">
        <v>56980.65</v>
      </c>
      <c r="AP101" s="299">
        <v>105450</v>
      </c>
      <c r="AQ101" s="299">
        <v>25767.8</v>
      </c>
      <c r="AR101" s="299">
        <v>137978.79999999999</v>
      </c>
      <c r="AS101" s="299">
        <v>71215.64</v>
      </c>
      <c r="AT101" s="299">
        <v>0</v>
      </c>
      <c r="AU101" s="299">
        <v>36719.89</v>
      </c>
      <c r="AV101" s="299">
        <v>17528.060000000001</v>
      </c>
      <c r="AW101" s="299">
        <v>0</v>
      </c>
      <c r="AX101" s="299">
        <v>165593.01999999999</v>
      </c>
      <c r="AY101" s="299">
        <v>26794.29</v>
      </c>
      <c r="AZ101" s="299">
        <v>241812.04</v>
      </c>
      <c r="BA101" s="299">
        <v>148781.98000000001</v>
      </c>
      <c r="BB101" s="299">
        <v>0</v>
      </c>
      <c r="BC101" s="299">
        <v>0</v>
      </c>
      <c r="BD101" s="299">
        <v>0</v>
      </c>
      <c r="BE101" s="299">
        <f t="shared" si="18"/>
        <v>4257280.3500000006</v>
      </c>
      <c r="BF101" s="299">
        <f t="shared" si="19"/>
        <v>-182621.91000000108</v>
      </c>
      <c r="BG101" s="299">
        <v>-147045.11999999909</v>
      </c>
      <c r="BH101" s="299">
        <f t="shared" si="20"/>
        <v>-329667.03000000014</v>
      </c>
      <c r="BI101" s="299">
        <v>0</v>
      </c>
      <c r="BJ101" s="299">
        <v>0</v>
      </c>
      <c r="BK101" s="299">
        <f t="shared" si="21"/>
        <v>0</v>
      </c>
      <c r="BL101" s="299">
        <v>0</v>
      </c>
      <c r="BM101" s="299">
        <v>0</v>
      </c>
      <c r="BN101" s="299">
        <f t="shared" ref="BN101:BN127" si="32">SUBTOTAL(9,BL101:BM101)</f>
        <v>0</v>
      </c>
      <c r="BO101" s="299">
        <f t="shared" si="23"/>
        <v>0</v>
      </c>
      <c r="BP101" s="299">
        <v>0</v>
      </c>
      <c r="BQ101" s="299">
        <f t="shared" si="24"/>
        <v>0</v>
      </c>
      <c r="BR101" s="299">
        <v>0</v>
      </c>
      <c r="BS101" s="299">
        <v>-329667.02999999962</v>
      </c>
      <c r="BT101" s="299">
        <v>0</v>
      </c>
      <c r="BU101" s="299">
        <f t="shared" si="25"/>
        <v>-329667.03000000014</v>
      </c>
      <c r="BV101" s="299">
        <v>11345.8</v>
      </c>
      <c r="BW101" s="299">
        <v>0</v>
      </c>
      <c r="BX101" s="299">
        <v>0</v>
      </c>
      <c r="BY101" s="299">
        <f t="shared" si="26"/>
        <v>11345.8</v>
      </c>
      <c r="BZ101" s="299">
        <v>0</v>
      </c>
      <c r="CA101" s="299">
        <v>8327.7999999999993</v>
      </c>
      <c r="CB101" s="299">
        <v>0</v>
      </c>
      <c r="CC101" s="299">
        <v>3018</v>
      </c>
      <c r="CD101" s="299">
        <f t="shared" si="27"/>
        <v>11345.8</v>
      </c>
      <c r="CE101" s="299">
        <f t="shared" si="28"/>
        <v>0</v>
      </c>
      <c r="CF101" s="299">
        <v>0</v>
      </c>
      <c r="CG101" s="299">
        <f t="shared" si="29"/>
        <v>0</v>
      </c>
      <c r="CH101" s="299">
        <v>0</v>
      </c>
      <c r="CI101" s="299">
        <v>0</v>
      </c>
      <c r="CJ101" s="299">
        <f t="shared" si="30"/>
        <v>0</v>
      </c>
    </row>
    <row r="102" spans="1:88" ht="13.8">
      <c r="A102" s="252" t="s">
        <v>1377</v>
      </c>
      <c r="B102" s="288">
        <v>3356</v>
      </c>
      <c r="C102" s="288" t="s">
        <v>801</v>
      </c>
      <c r="D102" s="248" t="s">
        <v>704</v>
      </c>
      <c r="E102" s="380" t="str">
        <f t="shared" si="31"/>
        <v>30EP3356</v>
      </c>
      <c r="F102" s="299">
        <v>878823.05</v>
      </c>
      <c r="G102" s="299">
        <v>0</v>
      </c>
      <c r="H102" s="299">
        <v>40664.74</v>
      </c>
      <c r="I102" s="299">
        <v>0</v>
      </c>
      <c r="J102" s="299">
        <v>48015</v>
      </c>
      <c r="K102" s="299">
        <v>39832</v>
      </c>
      <c r="L102" s="299">
        <v>0</v>
      </c>
      <c r="M102" s="299">
        <v>7234</v>
      </c>
      <c r="N102" s="299">
        <v>8273.4699999999993</v>
      </c>
      <c r="O102" s="299">
        <v>0</v>
      </c>
      <c r="P102" s="299">
        <v>2250</v>
      </c>
      <c r="Q102" s="299">
        <v>0</v>
      </c>
      <c r="R102" s="299">
        <v>12664.25</v>
      </c>
      <c r="S102" s="299">
        <v>81328.160000000003</v>
      </c>
      <c r="T102" s="299">
        <v>0</v>
      </c>
      <c r="U102" s="299">
        <v>0</v>
      </c>
      <c r="V102" s="299">
        <v>0</v>
      </c>
      <c r="W102" s="299">
        <v>0</v>
      </c>
      <c r="X102" s="299">
        <v>0</v>
      </c>
      <c r="Y102" s="299">
        <f t="shared" si="17"/>
        <v>1119084.67</v>
      </c>
      <c r="Z102" s="299">
        <v>567274.41</v>
      </c>
      <c r="AA102" s="299">
        <v>1454.35</v>
      </c>
      <c r="AB102" s="299">
        <v>202207.19</v>
      </c>
      <c r="AC102" s="299">
        <v>25489.91</v>
      </c>
      <c r="AD102" s="299">
        <v>48665.24</v>
      </c>
      <c r="AE102" s="299">
        <v>0</v>
      </c>
      <c r="AF102" s="299">
        <v>676.69</v>
      </c>
      <c r="AG102" s="299">
        <v>397.5</v>
      </c>
      <c r="AH102" s="299">
        <v>5955.67</v>
      </c>
      <c r="AI102" s="299">
        <v>3700</v>
      </c>
      <c r="AJ102" s="299">
        <v>0</v>
      </c>
      <c r="AK102" s="299">
        <v>9019.32</v>
      </c>
      <c r="AL102" s="299">
        <v>126.87</v>
      </c>
      <c r="AM102" s="299">
        <v>25760.61</v>
      </c>
      <c r="AN102" s="299">
        <v>1905.42</v>
      </c>
      <c r="AO102" s="299">
        <v>14950.55</v>
      </c>
      <c r="AP102" s="299">
        <v>3917.15</v>
      </c>
      <c r="AQ102" s="299">
        <v>5221.5</v>
      </c>
      <c r="AR102" s="299">
        <v>60316.76</v>
      </c>
      <c r="AS102" s="299">
        <v>32402.389999999996</v>
      </c>
      <c r="AT102" s="299">
        <v>0</v>
      </c>
      <c r="AU102" s="299">
        <v>12291.93</v>
      </c>
      <c r="AV102" s="299">
        <v>4221.4399999999996</v>
      </c>
      <c r="AW102" s="299">
        <v>0</v>
      </c>
      <c r="AX102" s="299">
        <v>35505.800000000003</v>
      </c>
      <c r="AY102" s="299">
        <v>56189.23</v>
      </c>
      <c r="AZ102" s="299">
        <v>17260.52</v>
      </c>
      <c r="BA102" s="299">
        <v>25159.89</v>
      </c>
      <c r="BB102" s="299">
        <v>0</v>
      </c>
      <c r="BC102" s="299">
        <v>0</v>
      </c>
      <c r="BD102" s="299">
        <v>0</v>
      </c>
      <c r="BE102" s="299">
        <f t="shared" si="18"/>
        <v>1160070.3399999999</v>
      </c>
      <c r="BF102" s="299">
        <f t="shared" si="19"/>
        <v>-40985.669999999925</v>
      </c>
      <c r="BG102" s="299">
        <v>257639.14000000013</v>
      </c>
      <c r="BH102" s="299">
        <f t="shared" si="20"/>
        <v>216653.4700000002</v>
      </c>
      <c r="BI102" s="299">
        <v>0</v>
      </c>
      <c r="BJ102" s="299">
        <v>0</v>
      </c>
      <c r="BK102" s="299">
        <f t="shared" si="21"/>
        <v>0</v>
      </c>
      <c r="BL102" s="299">
        <v>0</v>
      </c>
      <c r="BM102" s="299">
        <v>0</v>
      </c>
      <c r="BN102" s="299">
        <f t="shared" si="32"/>
        <v>0</v>
      </c>
      <c r="BO102" s="299">
        <f t="shared" si="23"/>
        <v>0</v>
      </c>
      <c r="BP102" s="299">
        <v>0</v>
      </c>
      <c r="BQ102" s="299">
        <f t="shared" si="24"/>
        <v>0</v>
      </c>
      <c r="BR102" s="299">
        <v>1776.95</v>
      </c>
      <c r="BS102" s="299">
        <v>214876.52000000019</v>
      </c>
      <c r="BT102" s="299">
        <v>0</v>
      </c>
      <c r="BU102" s="299">
        <f t="shared" si="25"/>
        <v>216653.4700000002</v>
      </c>
      <c r="BV102" s="299">
        <v>0</v>
      </c>
      <c r="BW102" s="299">
        <v>0</v>
      </c>
      <c r="BX102" s="299">
        <v>0</v>
      </c>
      <c r="BY102" s="299">
        <f t="shared" si="26"/>
        <v>0</v>
      </c>
      <c r="BZ102" s="299">
        <v>0</v>
      </c>
      <c r="CA102" s="299">
        <v>0</v>
      </c>
      <c r="CB102" s="299">
        <v>0</v>
      </c>
      <c r="CC102" s="299">
        <v>0</v>
      </c>
      <c r="CD102" s="299">
        <f t="shared" si="27"/>
        <v>0</v>
      </c>
      <c r="CE102" s="299">
        <f t="shared" si="28"/>
        <v>0</v>
      </c>
      <c r="CF102" s="299">
        <v>0</v>
      </c>
      <c r="CG102" s="299">
        <f t="shared" si="29"/>
        <v>0</v>
      </c>
      <c r="CH102" s="299">
        <v>0</v>
      </c>
      <c r="CI102" s="299">
        <v>0</v>
      </c>
      <c r="CJ102" s="299">
        <f t="shared" si="30"/>
        <v>0</v>
      </c>
    </row>
    <row r="103" spans="1:88" ht="13.8">
      <c r="A103" s="252" t="s">
        <v>1377</v>
      </c>
      <c r="B103" s="288">
        <v>3358</v>
      </c>
      <c r="C103" s="288" t="s">
        <v>802</v>
      </c>
      <c r="D103" s="248" t="s">
        <v>704</v>
      </c>
      <c r="E103" s="380" t="str">
        <f t="shared" si="31"/>
        <v>30EP3358</v>
      </c>
      <c r="F103" s="299">
        <v>1360369</v>
      </c>
      <c r="G103" s="299">
        <v>0</v>
      </c>
      <c r="H103" s="299">
        <v>18237.310000000001</v>
      </c>
      <c r="I103" s="299">
        <v>0</v>
      </c>
      <c r="J103" s="299">
        <v>121581</v>
      </c>
      <c r="K103" s="299">
        <v>47614.93</v>
      </c>
      <c r="L103" s="299">
        <v>0</v>
      </c>
      <c r="M103" s="299">
        <v>13350</v>
      </c>
      <c r="N103" s="299">
        <v>90284.38</v>
      </c>
      <c r="O103" s="299">
        <v>2611.9499999999998</v>
      </c>
      <c r="P103" s="299">
        <v>8956</v>
      </c>
      <c r="Q103" s="299">
        <v>0</v>
      </c>
      <c r="R103" s="299">
        <v>14930.04</v>
      </c>
      <c r="S103" s="299">
        <v>10869.85</v>
      </c>
      <c r="T103" s="299">
        <v>0</v>
      </c>
      <c r="U103" s="299">
        <v>0</v>
      </c>
      <c r="V103" s="299">
        <v>0</v>
      </c>
      <c r="W103" s="299">
        <v>0</v>
      </c>
      <c r="X103" s="299">
        <v>0</v>
      </c>
      <c r="Y103" s="299">
        <f t="shared" si="17"/>
        <v>1688804.4600000002</v>
      </c>
      <c r="Z103" s="299">
        <v>795103.43</v>
      </c>
      <c r="AA103" s="299">
        <v>0</v>
      </c>
      <c r="AB103" s="299">
        <v>272633.43</v>
      </c>
      <c r="AC103" s="299">
        <v>55545.83</v>
      </c>
      <c r="AD103" s="299">
        <v>102639.95</v>
      </c>
      <c r="AE103" s="299">
        <v>0</v>
      </c>
      <c r="AF103" s="299">
        <v>9411.11</v>
      </c>
      <c r="AG103" s="299">
        <v>26177.49</v>
      </c>
      <c r="AH103" s="299">
        <v>5643.74</v>
      </c>
      <c r="AI103" s="299">
        <v>5900</v>
      </c>
      <c r="AJ103" s="299">
        <v>0</v>
      </c>
      <c r="AK103" s="299">
        <v>29142.560000000001</v>
      </c>
      <c r="AL103" s="299">
        <v>4925</v>
      </c>
      <c r="AM103" s="299">
        <v>2831.86</v>
      </c>
      <c r="AN103" s="299">
        <v>2862.88</v>
      </c>
      <c r="AO103" s="299">
        <v>22034.75</v>
      </c>
      <c r="AP103" s="299">
        <v>6882</v>
      </c>
      <c r="AQ103" s="299">
        <v>11313.23</v>
      </c>
      <c r="AR103" s="299">
        <v>44878.85</v>
      </c>
      <c r="AS103" s="299">
        <v>53959.570000000007</v>
      </c>
      <c r="AT103" s="299">
        <v>0</v>
      </c>
      <c r="AU103" s="299">
        <v>10048.85</v>
      </c>
      <c r="AV103" s="299">
        <v>6318</v>
      </c>
      <c r="AW103" s="299">
        <v>0</v>
      </c>
      <c r="AX103" s="299">
        <v>53589.33</v>
      </c>
      <c r="AY103" s="299">
        <v>102514.28</v>
      </c>
      <c r="AZ103" s="299">
        <v>61941.58</v>
      </c>
      <c r="BA103" s="299">
        <v>34622.01</v>
      </c>
      <c r="BB103" s="299">
        <v>0</v>
      </c>
      <c r="BC103" s="299">
        <v>0</v>
      </c>
      <c r="BD103" s="299">
        <v>0</v>
      </c>
      <c r="BE103" s="299">
        <f t="shared" si="18"/>
        <v>1720919.7300000007</v>
      </c>
      <c r="BF103" s="299">
        <f t="shared" si="19"/>
        <v>-32115.270000000484</v>
      </c>
      <c r="BG103" s="299">
        <v>30349.039999999899</v>
      </c>
      <c r="BH103" s="299">
        <f t="shared" si="20"/>
        <v>-1766.2300000005853</v>
      </c>
      <c r="BI103" s="299">
        <v>77713.679999999993</v>
      </c>
      <c r="BJ103" s="299">
        <v>6895.85</v>
      </c>
      <c r="BK103" s="299">
        <f t="shared" si="21"/>
        <v>84609.53</v>
      </c>
      <c r="BL103" s="299">
        <v>93833.3</v>
      </c>
      <c r="BM103" s="299">
        <v>3067.55</v>
      </c>
      <c r="BN103" s="299">
        <f t="shared" si="32"/>
        <v>96900.85</v>
      </c>
      <c r="BO103" s="299">
        <f t="shared" si="23"/>
        <v>-12291.320000000007</v>
      </c>
      <c r="BP103" s="299">
        <v>-96.000000000001023</v>
      </c>
      <c r="BQ103" s="299">
        <f t="shared" si="24"/>
        <v>-12387.320000000009</v>
      </c>
      <c r="BR103" s="299">
        <v>29989</v>
      </c>
      <c r="BS103" s="299">
        <v>-32280.230000000542</v>
      </c>
      <c r="BT103" s="299">
        <v>-11862.319999999992</v>
      </c>
      <c r="BU103" s="299">
        <f t="shared" si="25"/>
        <v>-14153.550000000594</v>
      </c>
      <c r="BV103" s="299">
        <v>0</v>
      </c>
      <c r="BW103" s="299">
        <v>0</v>
      </c>
      <c r="BX103" s="299">
        <v>0</v>
      </c>
      <c r="BY103" s="299">
        <f t="shared" si="26"/>
        <v>0</v>
      </c>
      <c r="BZ103" s="299">
        <v>0</v>
      </c>
      <c r="CA103" s="299">
        <v>0</v>
      </c>
      <c r="CB103" s="299">
        <v>0</v>
      </c>
      <c r="CC103" s="299">
        <v>0</v>
      </c>
      <c r="CD103" s="299">
        <f t="shared" si="27"/>
        <v>0</v>
      </c>
      <c r="CE103" s="299">
        <f t="shared" si="28"/>
        <v>0</v>
      </c>
      <c r="CF103" s="299">
        <v>0</v>
      </c>
      <c r="CG103" s="299">
        <f t="shared" si="29"/>
        <v>0</v>
      </c>
      <c r="CH103" s="299">
        <v>0</v>
      </c>
      <c r="CI103" s="299">
        <v>0</v>
      </c>
      <c r="CJ103" s="299">
        <f t="shared" si="30"/>
        <v>0</v>
      </c>
    </row>
    <row r="104" spans="1:88" ht="13.8">
      <c r="A104" s="252" t="s">
        <v>1377</v>
      </c>
      <c r="B104" s="288">
        <v>3029</v>
      </c>
      <c r="C104" s="288" t="s">
        <v>803</v>
      </c>
      <c r="D104" s="248" t="s">
        <v>704</v>
      </c>
      <c r="E104" s="380" t="str">
        <f t="shared" si="31"/>
        <v>30EP3029</v>
      </c>
      <c r="F104" s="299">
        <v>876246.9</v>
      </c>
      <c r="G104" s="299">
        <v>0</v>
      </c>
      <c r="H104" s="299">
        <v>30198.11</v>
      </c>
      <c r="I104" s="299">
        <v>0</v>
      </c>
      <c r="J104" s="299">
        <v>31815</v>
      </c>
      <c r="K104" s="299">
        <v>40185</v>
      </c>
      <c r="L104" s="299">
        <v>0</v>
      </c>
      <c r="M104" s="299">
        <v>0</v>
      </c>
      <c r="N104" s="299">
        <v>17870.849999999999</v>
      </c>
      <c r="O104" s="299">
        <v>13862.73</v>
      </c>
      <c r="P104" s="299">
        <v>12916.8</v>
      </c>
      <c r="Q104" s="299">
        <v>0</v>
      </c>
      <c r="R104" s="299">
        <v>8005.63</v>
      </c>
      <c r="S104" s="299">
        <v>8500.81</v>
      </c>
      <c r="T104" s="299">
        <v>0</v>
      </c>
      <c r="U104" s="299">
        <v>0</v>
      </c>
      <c r="V104" s="299">
        <v>0</v>
      </c>
      <c r="W104" s="299">
        <v>0</v>
      </c>
      <c r="X104" s="299">
        <v>0</v>
      </c>
      <c r="Y104" s="299">
        <f t="shared" si="17"/>
        <v>1039601.8300000001</v>
      </c>
      <c r="Z104" s="299">
        <v>556381.18000000005</v>
      </c>
      <c r="AA104" s="299">
        <v>8594.5</v>
      </c>
      <c r="AB104" s="299">
        <v>209591.92</v>
      </c>
      <c r="AC104" s="299">
        <v>16214</v>
      </c>
      <c r="AD104" s="299">
        <v>46831.88</v>
      </c>
      <c r="AE104" s="299">
        <v>38893.93</v>
      </c>
      <c r="AF104" s="299">
        <v>15290.67</v>
      </c>
      <c r="AG104" s="299">
        <v>4234.8</v>
      </c>
      <c r="AH104" s="299">
        <v>2852</v>
      </c>
      <c r="AI104" s="299">
        <v>3775</v>
      </c>
      <c r="AJ104" s="299">
        <v>0</v>
      </c>
      <c r="AK104" s="299">
        <v>15241.18</v>
      </c>
      <c r="AL104" s="299">
        <v>1570.08</v>
      </c>
      <c r="AM104" s="299">
        <v>4127.49</v>
      </c>
      <c r="AN104" s="299">
        <v>2572</v>
      </c>
      <c r="AO104" s="299">
        <v>25447.200000000001</v>
      </c>
      <c r="AP104" s="299">
        <v>19960</v>
      </c>
      <c r="AQ104" s="299">
        <v>2351.81</v>
      </c>
      <c r="AR104" s="299">
        <v>38249.089999999997</v>
      </c>
      <c r="AS104" s="299">
        <v>20692.379999999997</v>
      </c>
      <c r="AT104" s="299">
        <v>0</v>
      </c>
      <c r="AU104" s="299">
        <v>5717.48</v>
      </c>
      <c r="AV104" s="299">
        <v>4504.8900000000003</v>
      </c>
      <c r="AW104" s="299">
        <v>0</v>
      </c>
      <c r="AX104" s="299">
        <v>19599.91</v>
      </c>
      <c r="AY104" s="299">
        <v>27152.99</v>
      </c>
      <c r="AZ104" s="299">
        <v>8826</v>
      </c>
      <c r="BA104" s="299">
        <v>23595.18</v>
      </c>
      <c r="BB104" s="299">
        <v>0</v>
      </c>
      <c r="BC104" s="299">
        <v>1644.96</v>
      </c>
      <c r="BD104" s="299">
        <v>4633.2</v>
      </c>
      <c r="BE104" s="299">
        <f t="shared" si="18"/>
        <v>1128545.72</v>
      </c>
      <c r="BF104" s="299">
        <f t="shared" si="19"/>
        <v>-88943.889999999898</v>
      </c>
      <c r="BG104" s="299">
        <v>-59558.049999999806</v>
      </c>
      <c r="BH104" s="299">
        <f t="shared" si="20"/>
        <v>-148501.93999999971</v>
      </c>
      <c r="BI104" s="299">
        <v>0</v>
      </c>
      <c r="BJ104" s="299">
        <v>0</v>
      </c>
      <c r="BK104" s="299">
        <f t="shared" si="21"/>
        <v>0</v>
      </c>
      <c r="BL104" s="299">
        <v>0</v>
      </c>
      <c r="BM104" s="299">
        <v>0</v>
      </c>
      <c r="BN104" s="299">
        <f t="shared" si="32"/>
        <v>0</v>
      </c>
      <c r="BO104" s="299">
        <f t="shared" si="23"/>
        <v>0</v>
      </c>
      <c r="BP104" s="299">
        <v>0</v>
      </c>
      <c r="BQ104" s="299">
        <f t="shared" si="24"/>
        <v>0</v>
      </c>
      <c r="BR104" s="299">
        <v>0</v>
      </c>
      <c r="BS104" s="299">
        <v>-148501.93999999971</v>
      </c>
      <c r="BT104" s="299">
        <v>0</v>
      </c>
      <c r="BU104" s="299">
        <f t="shared" si="25"/>
        <v>-148501.93999999971</v>
      </c>
      <c r="BV104" s="299">
        <v>5845</v>
      </c>
      <c r="BW104" s="299">
        <v>0</v>
      </c>
      <c r="BX104" s="299">
        <v>0</v>
      </c>
      <c r="BY104" s="299">
        <f t="shared" si="26"/>
        <v>5845</v>
      </c>
      <c r="BZ104" s="299">
        <v>0</v>
      </c>
      <c r="CA104" s="299">
        <v>14260.51</v>
      </c>
      <c r="CB104" s="299">
        <v>0</v>
      </c>
      <c r="CC104" s="299">
        <v>0</v>
      </c>
      <c r="CD104" s="299">
        <f t="shared" si="27"/>
        <v>14260.51</v>
      </c>
      <c r="CE104" s="299">
        <f t="shared" si="28"/>
        <v>-8415.51</v>
      </c>
      <c r="CF104" s="299">
        <v>17389.12</v>
      </c>
      <c r="CG104" s="299">
        <f t="shared" si="29"/>
        <v>8973.6099999999988</v>
      </c>
      <c r="CH104" s="299">
        <v>8380.17</v>
      </c>
      <c r="CI104" s="299">
        <v>593.44000000000005</v>
      </c>
      <c r="CJ104" s="299">
        <f t="shared" si="30"/>
        <v>8973.61</v>
      </c>
    </row>
    <row r="105" spans="1:88" ht="13.8">
      <c r="A105" s="252" t="s">
        <v>1377</v>
      </c>
      <c r="B105" s="288">
        <v>2084</v>
      </c>
      <c r="C105" s="288" t="s">
        <v>804</v>
      </c>
      <c r="D105" s="248" t="s">
        <v>704</v>
      </c>
      <c r="E105" s="380" t="str">
        <f t="shared" si="31"/>
        <v>30EP2084</v>
      </c>
      <c r="F105" s="299">
        <v>1011053.95</v>
      </c>
      <c r="G105" s="299">
        <v>0</v>
      </c>
      <c r="H105" s="299">
        <v>42460.14</v>
      </c>
      <c r="I105" s="299">
        <v>0</v>
      </c>
      <c r="J105" s="299">
        <v>64745</v>
      </c>
      <c r="K105" s="299">
        <v>36822</v>
      </c>
      <c r="L105" s="299">
        <v>0</v>
      </c>
      <c r="M105" s="299">
        <v>5109.8900000000003</v>
      </c>
      <c r="N105" s="299">
        <v>11125.89</v>
      </c>
      <c r="O105" s="299">
        <v>14934.55</v>
      </c>
      <c r="P105" s="299">
        <v>9430</v>
      </c>
      <c r="Q105" s="299">
        <v>441.8</v>
      </c>
      <c r="R105" s="299">
        <v>21057.82</v>
      </c>
      <c r="S105" s="299">
        <v>7295.25</v>
      </c>
      <c r="T105" s="299">
        <v>0</v>
      </c>
      <c r="U105" s="299">
        <v>0</v>
      </c>
      <c r="V105" s="299">
        <v>0</v>
      </c>
      <c r="W105" s="299">
        <v>0</v>
      </c>
      <c r="X105" s="299">
        <v>0</v>
      </c>
      <c r="Y105" s="299">
        <f t="shared" si="17"/>
        <v>1224476.2899999998</v>
      </c>
      <c r="Z105" s="299">
        <v>666649.54</v>
      </c>
      <c r="AA105" s="299">
        <v>591.45000000000005</v>
      </c>
      <c r="AB105" s="299">
        <v>240134.76</v>
      </c>
      <c r="AC105" s="299">
        <v>14342.24</v>
      </c>
      <c r="AD105" s="299">
        <v>53552.27</v>
      </c>
      <c r="AE105" s="299">
        <v>0</v>
      </c>
      <c r="AF105" s="299">
        <v>20241.259999999998</v>
      </c>
      <c r="AG105" s="299">
        <v>4081</v>
      </c>
      <c r="AH105" s="299">
        <v>7117</v>
      </c>
      <c r="AI105" s="299">
        <v>4425</v>
      </c>
      <c r="AJ105" s="299">
        <v>238.75</v>
      </c>
      <c r="AK105" s="299">
        <v>6722.15</v>
      </c>
      <c r="AL105" s="299">
        <v>3908.58</v>
      </c>
      <c r="AM105" s="299">
        <v>20531.39</v>
      </c>
      <c r="AN105" s="299">
        <v>2860.01</v>
      </c>
      <c r="AO105" s="299">
        <v>28019.5</v>
      </c>
      <c r="AP105" s="299">
        <v>22205.5</v>
      </c>
      <c r="AQ105" s="299">
        <v>4049.06</v>
      </c>
      <c r="AR105" s="299">
        <v>46595.14</v>
      </c>
      <c r="AS105" s="299">
        <v>31378.93</v>
      </c>
      <c r="AT105" s="299">
        <v>0</v>
      </c>
      <c r="AU105" s="299">
        <v>6365.29</v>
      </c>
      <c r="AV105" s="299">
        <v>4958.08</v>
      </c>
      <c r="AW105" s="299">
        <v>0</v>
      </c>
      <c r="AX105" s="299">
        <v>81457.37</v>
      </c>
      <c r="AY105" s="299">
        <v>10571.68</v>
      </c>
      <c r="AZ105" s="299">
        <v>14897.86</v>
      </c>
      <c r="BA105" s="299">
        <v>14987.99</v>
      </c>
      <c r="BB105" s="299">
        <v>0</v>
      </c>
      <c r="BC105" s="299">
        <v>0</v>
      </c>
      <c r="BD105" s="299">
        <v>5606.18</v>
      </c>
      <c r="BE105" s="299">
        <f t="shared" si="18"/>
        <v>1316487.98</v>
      </c>
      <c r="BF105" s="299">
        <f t="shared" si="19"/>
        <v>-92011.690000000177</v>
      </c>
      <c r="BG105" s="299">
        <v>41908.050000000454</v>
      </c>
      <c r="BH105" s="299">
        <f t="shared" si="20"/>
        <v>-50103.639999999723</v>
      </c>
      <c r="BI105" s="299">
        <v>0</v>
      </c>
      <c r="BJ105" s="299">
        <v>0</v>
      </c>
      <c r="BK105" s="299">
        <f t="shared" si="21"/>
        <v>0</v>
      </c>
      <c r="BL105" s="299">
        <v>0</v>
      </c>
      <c r="BM105" s="299">
        <v>0</v>
      </c>
      <c r="BN105" s="299">
        <f t="shared" si="32"/>
        <v>0</v>
      </c>
      <c r="BO105" s="299">
        <f t="shared" si="23"/>
        <v>0</v>
      </c>
      <c r="BP105" s="299">
        <v>0</v>
      </c>
      <c r="BQ105" s="299">
        <f t="shared" si="24"/>
        <v>0</v>
      </c>
      <c r="BR105" s="299">
        <v>0</v>
      </c>
      <c r="BS105" s="299">
        <v>-50103.639999999723</v>
      </c>
      <c r="BT105" s="299">
        <v>0</v>
      </c>
      <c r="BU105" s="299">
        <f t="shared" si="25"/>
        <v>-50103.639999999723</v>
      </c>
      <c r="BV105" s="299">
        <v>5923.75</v>
      </c>
      <c r="BW105" s="299">
        <v>9400.59</v>
      </c>
      <c r="BX105" s="299">
        <v>0</v>
      </c>
      <c r="BY105" s="299">
        <f t="shared" si="26"/>
        <v>15324.34</v>
      </c>
      <c r="BZ105" s="299">
        <v>0</v>
      </c>
      <c r="CA105" s="299">
        <v>99690</v>
      </c>
      <c r="CB105" s="299">
        <v>0</v>
      </c>
      <c r="CC105" s="299">
        <v>4955</v>
      </c>
      <c r="CD105" s="299">
        <f t="shared" si="27"/>
        <v>104645</v>
      </c>
      <c r="CE105" s="299">
        <f t="shared" si="28"/>
        <v>-89320.66</v>
      </c>
      <c r="CF105" s="299">
        <v>92130.260000000009</v>
      </c>
      <c r="CG105" s="299">
        <f t="shared" si="29"/>
        <v>2809.6000000000058</v>
      </c>
      <c r="CH105" s="299">
        <v>497.19999999999982</v>
      </c>
      <c r="CI105" s="299">
        <v>2312.4000000000087</v>
      </c>
      <c r="CJ105" s="299">
        <f t="shared" si="30"/>
        <v>2809.6000000000085</v>
      </c>
    </row>
    <row r="106" spans="1:88" ht="13.8">
      <c r="A106" s="252" t="s">
        <v>1377</v>
      </c>
      <c r="B106" s="288">
        <v>2443</v>
      </c>
      <c r="C106" s="288" t="s">
        <v>805</v>
      </c>
      <c r="D106" s="248" t="s">
        <v>704</v>
      </c>
      <c r="E106" s="380" t="str">
        <f t="shared" si="31"/>
        <v>30EP2443</v>
      </c>
      <c r="F106" s="299">
        <v>2025588.7</v>
      </c>
      <c r="G106" s="299">
        <v>0</v>
      </c>
      <c r="H106" s="299">
        <v>104001.85</v>
      </c>
      <c r="I106" s="299">
        <v>0</v>
      </c>
      <c r="J106" s="299">
        <v>79239.5</v>
      </c>
      <c r="K106" s="299">
        <v>91775.93</v>
      </c>
      <c r="L106" s="299">
        <v>0</v>
      </c>
      <c r="M106" s="299">
        <v>43345.33</v>
      </c>
      <c r="N106" s="299">
        <v>16959.98</v>
      </c>
      <c r="O106" s="299">
        <v>42819.99</v>
      </c>
      <c r="P106" s="299">
        <v>0</v>
      </c>
      <c r="Q106" s="299">
        <v>0</v>
      </c>
      <c r="R106" s="299">
        <v>20035</v>
      </c>
      <c r="S106" s="299">
        <v>0</v>
      </c>
      <c r="T106" s="299">
        <v>0</v>
      </c>
      <c r="U106" s="299">
        <v>0</v>
      </c>
      <c r="V106" s="299">
        <v>0</v>
      </c>
      <c r="W106" s="299">
        <v>0</v>
      </c>
      <c r="X106" s="299">
        <v>0</v>
      </c>
      <c r="Y106" s="299">
        <f t="shared" si="17"/>
        <v>2423766.2800000003</v>
      </c>
      <c r="Z106" s="299">
        <v>1151199.3899999999</v>
      </c>
      <c r="AA106" s="299">
        <v>2516.25</v>
      </c>
      <c r="AB106" s="299">
        <v>636646.30000000005</v>
      </c>
      <c r="AC106" s="299">
        <v>60917.99</v>
      </c>
      <c r="AD106" s="299">
        <v>104033.01</v>
      </c>
      <c r="AE106" s="299">
        <v>0</v>
      </c>
      <c r="AF106" s="299">
        <v>43697.02</v>
      </c>
      <c r="AG106" s="299">
        <v>8102.87</v>
      </c>
      <c r="AH106" s="299">
        <v>5202.8999999999996</v>
      </c>
      <c r="AI106" s="299">
        <v>0</v>
      </c>
      <c r="AJ106" s="299">
        <v>0</v>
      </c>
      <c r="AK106" s="299">
        <v>10076.48</v>
      </c>
      <c r="AL106" s="299">
        <v>9900.59</v>
      </c>
      <c r="AM106" s="299">
        <v>4530.6400000000003</v>
      </c>
      <c r="AN106" s="299">
        <v>10677.01</v>
      </c>
      <c r="AO106" s="299">
        <v>26257.96</v>
      </c>
      <c r="AP106" s="299">
        <v>56055</v>
      </c>
      <c r="AQ106" s="299">
        <v>17287.59</v>
      </c>
      <c r="AR106" s="299">
        <v>47365.57</v>
      </c>
      <c r="AS106" s="299">
        <v>44471.360000000001</v>
      </c>
      <c r="AT106" s="299">
        <v>0</v>
      </c>
      <c r="AU106" s="299">
        <v>12970</v>
      </c>
      <c r="AV106" s="299">
        <v>10388.94</v>
      </c>
      <c r="AW106" s="299">
        <v>0</v>
      </c>
      <c r="AX106" s="299">
        <v>114984.43</v>
      </c>
      <c r="AY106" s="299">
        <v>16159.14</v>
      </c>
      <c r="AZ106" s="299">
        <v>21267.4</v>
      </c>
      <c r="BA106" s="299">
        <v>11541.44</v>
      </c>
      <c r="BB106" s="299">
        <v>0</v>
      </c>
      <c r="BC106" s="299">
        <v>3130.79</v>
      </c>
      <c r="BD106" s="299">
        <v>7622.88</v>
      </c>
      <c r="BE106" s="299">
        <f t="shared" si="18"/>
        <v>2437002.9499999997</v>
      </c>
      <c r="BF106" s="299">
        <f t="shared" si="19"/>
        <v>-13236.66999999946</v>
      </c>
      <c r="BG106" s="299">
        <v>97625.819999999541</v>
      </c>
      <c r="BH106" s="299">
        <f t="shared" si="20"/>
        <v>84389.150000000081</v>
      </c>
      <c r="BI106" s="299">
        <v>0</v>
      </c>
      <c r="BJ106" s="299">
        <v>0</v>
      </c>
      <c r="BK106" s="299">
        <f t="shared" si="21"/>
        <v>0</v>
      </c>
      <c r="BL106" s="299">
        <v>0</v>
      </c>
      <c r="BM106" s="299">
        <v>0</v>
      </c>
      <c r="BN106" s="299">
        <f t="shared" si="32"/>
        <v>0</v>
      </c>
      <c r="BO106" s="299">
        <f t="shared" si="23"/>
        <v>0</v>
      </c>
      <c r="BP106" s="299">
        <v>0</v>
      </c>
      <c r="BQ106" s="299">
        <f t="shared" si="24"/>
        <v>0</v>
      </c>
      <c r="BR106" s="299">
        <v>0</v>
      </c>
      <c r="BS106" s="299">
        <v>84389.149999999616</v>
      </c>
      <c r="BT106" s="299">
        <v>0</v>
      </c>
      <c r="BU106" s="299">
        <f t="shared" si="25"/>
        <v>84389.150000000081</v>
      </c>
      <c r="BV106" s="299">
        <v>8500</v>
      </c>
      <c r="BW106" s="299">
        <v>0</v>
      </c>
      <c r="BX106" s="299">
        <v>0</v>
      </c>
      <c r="BY106" s="299">
        <f t="shared" si="26"/>
        <v>8500</v>
      </c>
      <c r="BZ106" s="299">
        <v>0</v>
      </c>
      <c r="CA106" s="299">
        <v>15734.96</v>
      </c>
      <c r="CB106" s="299">
        <v>0</v>
      </c>
      <c r="CC106" s="299">
        <v>0</v>
      </c>
      <c r="CD106" s="299">
        <f t="shared" si="27"/>
        <v>15734.96</v>
      </c>
      <c r="CE106" s="299">
        <f t="shared" si="28"/>
        <v>-7234.9599999999991</v>
      </c>
      <c r="CF106" s="299">
        <v>20475.440000000002</v>
      </c>
      <c r="CG106" s="299">
        <f t="shared" si="29"/>
        <v>13240.480000000003</v>
      </c>
      <c r="CH106" s="299">
        <v>7195.7400000000016</v>
      </c>
      <c r="CI106" s="299">
        <v>6044.74</v>
      </c>
      <c r="CJ106" s="299">
        <f t="shared" si="30"/>
        <v>13240.480000000001</v>
      </c>
    </row>
    <row r="107" spans="1:88" ht="13.8">
      <c r="A107" s="252" t="s">
        <v>1377</v>
      </c>
      <c r="B107" s="288">
        <v>3052</v>
      </c>
      <c r="C107" s="288" t="s">
        <v>806</v>
      </c>
      <c r="D107" s="248" t="s">
        <v>704</v>
      </c>
      <c r="E107" s="380" t="str">
        <f t="shared" si="31"/>
        <v>30EP3052</v>
      </c>
      <c r="F107" s="299">
        <v>1600000.09</v>
      </c>
      <c r="G107" s="299">
        <v>0</v>
      </c>
      <c r="H107" s="299">
        <v>144551.53</v>
      </c>
      <c r="I107" s="299">
        <v>0</v>
      </c>
      <c r="J107" s="299">
        <v>89549</v>
      </c>
      <c r="K107" s="299">
        <v>66425.929999999993</v>
      </c>
      <c r="L107" s="299">
        <v>0</v>
      </c>
      <c r="M107" s="299">
        <v>9876.75</v>
      </c>
      <c r="N107" s="299">
        <v>121455.62</v>
      </c>
      <c r="O107" s="299">
        <v>27493.8</v>
      </c>
      <c r="P107" s="299">
        <v>2250</v>
      </c>
      <c r="Q107" s="299">
        <v>0</v>
      </c>
      <c r="R107" s="299">
        <v>15517.15</v>
      </c>
      <c r="S107" s="299">
        <v>15311.44</v>
      </c>
      <c r="T107" s="299">
        <v>0</v>
      </c>
      <c r="U107" s="299">
        <v>0</v>
      </c>
      <c r="V107" s="299">
        <v>0</v>
      </c>
      <c r="W107" s="299">
        <v>0</v>
      </c>
      <c r="X107" s="299">
        <v>0</v>
      </c>
      <c r="Y107" s="299">
        <f t="shared" si="17"/>
        <v>2092431.3099999998</v>
      </c>
      <c r="Z107" s="299">
        <v>910902.62</v>
      </c>
      <c r="AA107" s="299">
        <v>8523.2000000000007</v>
      </c>
      <c r="AB107" s="299">
        <v>494894.26</v>
      </c>
      <c r="AC107" s="299">
        <v>78980.399999999994</v>
      </c>
      <c r="AD107" s="299">
        <v>83382.679999999993</v>
      </c>
      <c r="AE107" s="299">
        <v>56153.06</v>
      </c>
      <c r="AF107" s="299">
        <v>0</v>
      </c>
      <c r="AG107" s="299">
        <v>6595.54</v>
      </c>
      <c r="AH107" s="299">
        <v>3313.5</v>
      </c>
      <c r="AI107" s="299">
        <v>6625</v>
      </c>
      <c r="AJ107" s="299">
        <v>500</v>
      </c>
      <c r="AK107" s="299">
        <v>9034.9500000000007</v>
      </c>
      <c r="AL107" s="299">
        <v>4642.0600000000004</v>
      </c>
      <c r="AM107" s="299">
        <v>6891.76</v>
      </c>
      <c r="AN107" s="299">
        <v>5071.3599999999997</v>
      </c>
      <c r="AO107" s="299">
        <v>17375.88</v>
      </c>
      <c r="AP107" s="299">
        <v>36075</v>
      </c>
      <c r="AQ107" s="299">
        <v>13492.7</v>
      </c>
      <c r="AR107" s="299">
        <v>65070.91</v>
      </c>
      <c r="AS107" s="299">
        <v>41251.64</v>
      </c>
      <c r="AT107" s="299">
        <v>0</v>
      </c>
      <c r="AU107" s="299">
        <v>14719.68</v>
      </c>
      <c r="AV107" s="299">
        <v>7983.85</v>
      </c>
      <c r="AW107" s="299">
        <v>22134.47</v>
      </c>
      <c r="AX107" s="299">
        <v>38217.58</v>
      </c>
      <c r="AY107" s="299">
        <v>5330.76</v>
      </c>
      <c r="AZ107" s="299">
        <v>7638.7</v>
      </c>
      <c r="BA107" s="299">
        <v>19338.36</v>
      </c>
      <c r="BB107" s="299">
        <v>0</v>
      </c>
      <c r="BC107" s="299">
        <v>2207.9899999999998</v>
      </c>
      <c r="BD107" s="299">
        <v>5652.84</v>
      </c>
      <c r="BE107" s="299">
        <f t="shared" si="18"/>
        <v>1972000.75</v>
      </c>
      <c r="BF107" s="299">
        <f t="shared" si="19"/>
        <v>120430.55999999982</v>
      </c>
      <c r="BG107" s="299">
        <v>32413.149999999929</v>
      </c>
      <c r="BH107" s="299">
        <f t="shared" si="20"/>
        <v>152843.70999999976</v>
      </c>
      <c r="BI107" s="299">
        <v>191062.5</v>
      </c>
      <c r="BJ107" s="299">
        <v>15048.06</v>
      </c>
      <c r="BK107" s="299">
        <f t="shared" si="21"/>
        <v>206110.56</v>
      </c>
      <c r="BL107" s="299">
        <v>187436.61</v>
      </c>
      <c r="BM107" s="299">
        <v>35263.230000000003</v>
      </c>
      <c r="BN107" s="299">
        <f t="shared" si="32"/>
        <v>222699.84</v>
      </c>
      <c r="BO107" s="299">
        <f t="shared" si="23"/>
        <v>-16589.28</v>
      </c>
      <c r="BP107" s="299">
        <v>50459.100000000006</v>
      </c>
      <c r="BQ107" s="299">
        <f t="shared" si="24"/>
        <v>33869.820000000007</v>
      </c>
      <c r="BR107" s="299">
        <v>55063.46</v>
      </c>
      <c r="BS107" s="299">
        <v>97780.25</v>
      </c>
      <c r="BT107" s="299">
        <v>33869.819999999978</v>
      </c>
      <c r="BU107" s="299">
        <f t="shared" si="25"/>
        <v>186713.52999999977</v>
      </c>
      <c r="BV107" s="299">
        <v>6868.75</v>
      </c>
      <c r="BW107" s="299">
        <v>0</v>
      </c>
      <c r="BX107" s="299">
        <v>0</v>
      </c>
      <c r="BY107" s="299">
        <f t="shared" si="26"/>
        <v>6868.75</v>
      </c>
      <c r="BZ107" s="299">
        <v>0</v>
      </c>
      <c r="CA107" s="299">
        <v>3347.5</v>
      </c>
      <c r="CB107" s="299">
        <v>0</v>
      </c>
      <c r="CC107" s="299">
        <v>0</v>
      </c>
      <c r="CD107" s="299">
        <f t="shared" si="27"/>
        <v>3347.5</v>
      </c>
      <c r="CE107" s="299">
        <f t="shared" si="28"/>
        <v>3521.25</v>
      </c>
      <c r="CF107" s="299">
        <v>0</v>
      </c>
      <c r="CG107" s="299">
        <f t="shared" si="29"/>
        <v>3521.25</v>
      </c>
      <c r="CH107" s="299">
        <v>3521.25</v>
      </c>
      <c r="CI107" s="299">
        <v>0</v>
      </c>
      <c r="CJ107" s="299">
        <f t="shared" si="30"/>
        <v>3521.25</v>
      </c>
    </row>
    <row r="108" spans="1:88" ht="13.8">
      <c r="A108" s="252" t="s">
        <v>1377</v>
      </c>
      <c r="B108" s="288">
        <v>2046</v>
      </c>
      <c r="C108" s="288" t="s">
        <v>807</v>
      </c>
      <c r="D108" s="248" t="s">
        <v>704</v>
      </c>
      <c r="E108" s="380" t="str">
        <f t="shared" si="31"/>
        <v>30EP2046</v>
      </c>
      <c r="F108" s="299">
        <v>1613721.65</v>
      </c>
      <c r="G108" s="299">
        <v>0</v>
      </c>
      <c r="H108" s="299">
        <v>77079.48</v>
      </c>
      <c r="I108" s="299">
        <v>0</v>
      </c>
      <c r="J108" s="299">
        <v>35550.559999999998</v>
      </c>
      <c r="K108" s="299">
        <v>73501</v>
      </c>
      <c r="L108" s="299">
        <v>0</v>
      </c>
      <c r="M108" s="299">
        <v>4195</v>
      </c>
      <c r="N108" s="299">
        <v>133840.97</v>
      </c>
      <c r="O108" s="299">
        <v>31180.74</v>
      </c>
      <c r="P108" s="299">
        <v>4500</v>
      </c>
      <c r="Q108" s="299">
        <v>0</v>
      </c>
      <c r="R108" s="299">
        <v>26718.2</v>
      </c>
      <c r="S108" s="299">
        <v>8957.74</v>
      </c>
      <c r="T108" s="299">
        <v>0</v>
      </c>
      <c r="U108" s="299">
        <v>0</v>
      </c>
      <c r="V108" s="299">
        <v>0</v>
      </c>
      <c r="W108" s="299">
        <v>0</v>
      </c>
      <c r="X108" s="299">
        <v>0</v>
      </c>
      <c r="Y108" s="299">
        <f t="shared" si="17"/>
        <v>2009245.3399999999</v>
      </c>
      <c r="Z108" s="299">
        <v>1115206.26</v>
      </c>
      <c r="AA108" s="299">
        <v>15092.47</v>
      </c>
      <c r="AB108" s="299">
        <v>302123.12</v>
      </c>
      <c r="AC108" s="299">
        <v>82697.03</v>
      </c>
      <c r="AD108" s="299">
        <v>107719.01</v>
      </c>
      <c r="AE108" s="299">
        <v>0</v>
      </c>
      <c r="AF108" s="299">
        <v>34591.96</v>
      </c>
      <c r="AG108" s="299">
        <v>8518.34</v>
      </c>
      <c r="AH108" s="299">
        <v>12460.69</v>
      </c>
      <c r="AI108" s="299">
        <v>7725</v>
      </c>
      <c r="AJ108" s="299">
        <v>1592.5</v>
      </c>
      <c r="AK108" s="299">
        <v>13953.42</v>
      </c>
      <c r="AL108" s="299">
        <v>3000</v>
      </c>
      <c r="AM108" s="299">
        <v>6147.35</v>
      </c>
      <c r="AN108" s="299">
        <v>4866.3599999999997</v>
      </c>
      <c r="AO108" s="299">
        <v>19723.400000000001</v>
      </c>
      <c r="AP108" s="299">
        <v>46065</v>
      </c>
      <c r="AQ108" s="299">
        <v>9599.9699999999993</v>
      </c>
      <c r="AR108" s="299">
        <v>55894.9</v>
      </c>
      <c r="AS108" s="299">
        <v>30405.530000000002</v>
      </c>
      <c r="AT108" s="299">
        <v>0</v>
      </c>
      <c r="AU108" s="299">
        <v>6550.08</v>
      </c>
      <c r="AV108" s="299">
        <v>8605.74</v>
      </c>
      <c r="AW108" s="299">
        <v>14.48</v>
      </c>
      <c r="AX108" s="299">
        <v>85535.78</v>
      </c>
      <c r="AY108" s="299">
        <v>4577.22</v>
      </c>
      <c r="AZ108" s="299">
        <v>8165.59</v>
      </c>
      <c r="BA108" s="299">
        <v>16063.06</v>
      </c>
      <c r="BB108" s="299">
        <v>0</v>
      </c>
      <c r="BC108" s="299">
        <v>1658.79</v>
      </c>
      <c r="BD108" s="299">
        <v>4350.4799999999996</v>
      </c>
      <c r="BE108" s="299">
        <f t="shared" si="18"/>
        <v>2012903.5300000003</v>
      </c>
      <c r="BF108" s="299">
        <f t="shared" si="19"/>
        <v>-3658.1900000004098</v>
      </c>
      <c r="BG108" s="299">
        <v>124477.64999999985</v>
      </c>
      <c r="BH108" s="299">
        <f t="shared" si="20"/>
        <v>120819.45999999944</v>
      </c>
      <c r="BI108" s="299">
        <v>133902.26</v>
      </c>
      <c r="BJ108" s="299">
        <v>152223.25</v>
      </c>
      <c r="BK108" s="299">
        <f t="shared" si="21"/>
        <v>286125.51</v>
      </c>
      <c r="BL108" s="299">
        <v>210886.99</v>
      </c>
      <c r="BM108" s="299">
        <v>89799.18</v>
      </c>
      <c r="BN108" s="299">
        <f t="shared" si="32"/>
        <v>300686.17</v>
      </c>
      <c r="BO108" s="299">
        <f t="shared" si="23"/>
        <v>-14560.659999999974</v>
      </c>
      <c r="BP108" s="299">
        <v>65869.909999999974</v>
      </c>
      <c r="BQ108" s="299">
        <f t="shared" si="24"/>
        <v>51309.25</v>
      </c>
      <c r="BR108" s="299">
        <v>14924.38</v>
      </c>
      <c r="BS108" s="299">
        <v>105895.07999999943</v>
      </c>
      <c r="BT108" s="299">
        <v>51309.25</v>
      </c>
      <c r="BU108" s="299">
        <f t="shared" si="25"/>
        <v>172128.70999999944</v>
      </c>
      <c r="BV108" s="299">
        <v>7510</v>
      </c>
      <c r="BW108" s="299">
        <v>0</v>
      </c>
      <c r="BX108" s="299">
        <v>0</v>
      </c>
      <c r="BY108" s="299">
        <f t="shared" si="26"/>
        <v>7510</v>
      </c>
      <c r="BZ108" s="299">
        <v>0</v>
      </c>
      <c r="CA108" s="299">
        <v>11141.88</v>
      </c>
      <c r="CB108" s="299">
        <v>0</v>
      </c>
      <c r="CC108" s="299">
        <v>5117.66</v>
      </c>
      <c r="CD108" s="299">
        <f t="shared" si="27"/>
        <v>16259.539999999999</v>
      </c>
      <c r="CE108" s="299">
        <f t="shared" si="28"/>
        <v>-8749.5399999999991</v>
      </c>
      <c r="CF108" s="299">
        <v>9484.18</v>
      </c>
      <c r="CG108" s="299">
        <f t="shared" si="29"/>
        <v>734.64000000000124</v>
      </c>
      <c r="CH108" s="299">
        <v>734.64000000000124</v>
      </c>
      <c r="CI108" s="299">
        <v>0</v>
      </c>
      <c r="CJ108" s="299">
        <f t="shared" si="30"/>
        <v>734.64000000000124</v>
      </c>
    </row>
    <row r="109" spans="1:88" ht="13.8">
      <c r="A109" s="252" t="s">
        <v>1377</v>
      </c>
      <c r="B109" s="288">
        <v>3325</v>
      </c>
      <c r="C109" s="288" t="s">
        <v>808</v>
      </c>
      <c r="D109" s="248" t="s">
        <v>704</v>
      </c>
      <c r="E109" s="380" t="str">
        <f t="shared" si="31"/>
        <v>30EP3325</v>
      </c>
      <c r="F109" s="299">
        <v>1008278.18</v>
      </c>
      <c r="G109" s="299">
        <v>0</v>
      </c>
      <c r="H109" s="299">
        <v>84243.95</v>
      </c>
      <c r="I109" s="299">
        <v>0</v>
      </c>
      <c r="J109" s="299">
        <v>103515</v>
      </c>
      <c r="K109" s="299">
        <v>38811.86</v>
      </c>
      <c r="L109" s="299">
        <v>0</v>
      </c>
      <c r="M109" s="299">
        <v>5260</v>
      </c>
      <c r="N109" s="299">
        <v>42427.33</v>
      </c>
      <c r="O109" s="299">
        <v>6894.47</v>
      </c>
      <c r="P109" s="299">
        <v>0</v>
      </c>
      <c r="Q109" s="299">
        <v>0</v>
      </c>
      <c r="R109" s="299">
        <v>19665.2</v>
      </c>
      <c r="S109" s="299">
        <v>21410.51</v>
      </c>
      <c r="T109" s="299">
        <v>0</v>
      </c>
      <c r="U109" s="299">
        <v>0</v>
      </c>
      <c r="V109" s="299">
        <v>0</v>
      </c>
      <c r="W109" s="299">
        <v>0</v>
      </c>
      <c r="X109" s="299">
        <v>0</v>
      </c>
      <c r="Y109" s="299">
        <f t="shared" si="17"/>
        <v>1330506.5000000002</v>
      </c>
      <c r="Z109" s="299">
        <v>635814.36</v>
      </c>
      <c r="AA109" s="299">
        <v>6851.09</v>
      </c>
      <c r="AB109" s="299">
        <v>313274.57</v>
      </c>
      <c r="AC109" s="299">
        <v>0</v>
      </c>
      <c r="AD109" s="299">
        <v>80636.789999999994</v>
      </c>
      <c r="AE109" s="299">
        <v>0</v>
      </c>
      <c r="AF109" s="299">
        <v>46089.08</v>
      </c>
      <c r="AG109" s="299">
        <v>3897.04</v>
      </c>
      <c r="AH109" s="299">
        <v>4221.13</v>
      </c>
      <c r="AI109" s="299">
        <v>4225</v>
      </c>
      <c r="AJ109" s="299">
        <v>0</v>
      </c>
      <c r="AK109" s="299">
        <v>6383.25</v>
      </c>
      <c r="AL109" s="299">
        <v>3809.54</v>
      </c>
      <c r="AM109" s="299">
        <v>38413.519999999997</v>
      </c>
      <c r="AN109" s="299">
        <v>5562.2</v>
      </c>
      <c r="AO109" s="299">
        <v>22720.2</v>
      </c>
      <c r="AP109" s="299">
        <v>5065.1400000000003</v>
      </c>
      <c r="AQ109" s="299">
        <v>5440.56</v>
      </c>
      <c r="AR109" s="299">
        <v>36865.81</v>
      </c>
      <c r="AS109" s="299">
        <v>30373.19</v>
      </c>
      <c r="AT109" s="299">
        <v>0</v>
      </c>
      <c r="AU109" s="299">
        <v>8438.16</v>
      </c>
      <c r="AV109" s="299">
        <v>5040.92</v>
      </c>
      <c r="AW109" s="299">
        <v>2554.9699999999998</v>
      </c>
      <c r="AX109" s="299">
        <v>49582.879999999997</v>
      </c>
      <c r="AY109" s="299">
        <v>434.41</v>
      </c>
      <c r="AZ109" s="299">
        <v>10981.24</v>
      </c>
      <c r="BA109" s="299">
        <v>31030.240000000002</v>
      </c>
      <c r="BB109" s="299">
        <v>0</v>
      </c>
      <c r="BC109" s="299">
        <v>0</v>
      </c>
      <c r="BD109" s="299">
        <v>1408.08</v>
      </c>
      <c r="BE109" s="299">
        <f t="shared" si="18"/>
        <v>1359113.3699999996</v>
      </c>
      <c r="BF109" s="299">
        <f t="shared" si="19"/>
        <v>-28606.869999999413</v>
      </c>
      <c r="BG109" s="299">
        <v>56683.43</v>
      </c>
      <c r="BH109" s="299">
        <f t="shared" si="20"/>
        <v>28076.560000000587</v>
      </c>
      <c r="BI109" s="299">
        <v>56749.37</v>
      </c>
      <c r="BJ109" s="299">
        <v>5067.5</v>
      </c>
      <c r="BK109" s="299">
        <f t="shared" si="21"/>
        <v>61816.87</v>
      </c>
      <c r="BL109" s="299">
        <v>42806.54</v>
      </c>
      <c r="BM109" s="299">
        <v>7617.1</v>
      </c>
      <c r="BN109" s="299">
        <f t="shared" si="32"/>
        <v>50423.64</v>
      </c>
      <c r="BO109" s="299">
        <f t="shared" si="23"/>
        <v>11393.230000000003</v>
      </c>
      <c r="BP109" s="299">
        <v>-6834.9899999999898</v>
      </c>
      <c r="BQ109" s="299">
        <f t="shared" si="24"/>
        <v>4558.2400000000134</v>
      </c>
      <c r="BR109" s="299">
        <v>0</v>
      </c>
      <c r="BS109" s="299">
        <v>21066.280000000595</v>
      </c>
      <c r="BT109" s="299">
        <v>11568.520000000013</v>
      </c>
      <c r="BU109" s="299">
        <f t="shared" si="25"/>
        <v>32634.8000000006</v>
      </c>
      <c r="BV109" s="299">
        <v>0</v>
      </c>
      <c r="BW109" s="299">
        <v>0</v>
      </c>
      <c r="BX109" s="299">
        <v>0</v>
      </c>
      <c r="BY109" s="299">
        <f t="shared" si="26"/>
        <v>0</v>
      </c>
      <c r="BZ109" s="299">
        <v>0</v>
      </c>
      <c r="CA109" s="299">
        <v>0</v>
      </c>
      <c r="CB109" s="299">
        <v>0</v>
      </c>
      <c r="CC109" s="299">
        <v>0</v>
      </c>
      <c r="CD109" s="299">
        <f t="shared" si="27"/>
        <v>0</v>
      </c>
      <c r="CE109" s="299">
        <f t="shared" si="28"/>
        <v>0</v>
      </c>
      <c r="CF109" s="299">
        <v>0</v>
      </c>
      <c r="CG109" s="299">
        <f t="shared" si="29"/>
        <v>0</v>
      </c>
      <c r="CH109" s="299">
        <v>0</v>
      </c>
      <c r="CI109" s="299">
        <v>0</v>
      </c>
      <c r="CJ109" s="299">
        <f t="shared" si="30"/>
        <v>0</v>
      </c>
    </row>
    <row r="110" spans="1:88" ht="13.8">
      <c r="A110" s="252" t="s">
        <v>1377</v>
      </c>
      <c r="B110" s="288">
        <v>1001</v>
      </c>
      <c r="C110" s="288" t="s">
        <v>809</v>
      </c>
      <c r="D110" s="248" t="s">
        <v>720</v>
      </c>
      <c r="E110" s="380" t="str">
        <f t="shared" si="31"/>
        <v>30EN1001</v>
      </c>
      <c r="F110" s="299">
        <v>535031.23</v>
      </c>
      <c r="G110" s="299">
        <v>0</v>
      </c>
      <c r="H110" s="299">
        <v>5908.43</v>
      </c>
      <c r="I110" s="299">
        <v>0</v>
      </c>
      <c r="J110" s="299">
        <v>190</v>
      </c>
      <c r="K110" s="299">
        <v>70</v>
      </c>
      <c r="L110" s="299">
        <v>0</v>
      </c>
      <c r="M110" s="299">
        <v>6100.64</v>
      </c>
      <c r="N110" s="299">
        <v>20772.2</v>
      </c>
      <c r="O110" s="299">
        <v>40902.35</v>
      </c>
      <c r="P110" s="299">
        <v>0</v>
      </c>
      <c r="Q110" s="299">
        <v>1043.1199999999999</v>
      </c>
      <c r="R110" s="299">
        <v>70079.39</v>
      </c>
      <c r="S110" s="299">
        <v>4278.05</v>
      </c>
      <c r="T110" s="299">
        <v>0</v>
      </c>
      <c r="U110" s="299">
        <v>0</v>
      </c>
      <c r="V110" s="299">
        <v>0</v>
      </c>
      <c r="W110" s="299">
        <v>0</v>
      </c>
      <c r="X110" s="299">
        <v>0</v>
      </c>
      <c r="Y110" s="299">
        <f t="shared" si="17"/>
        <v>684375.41</v>
      </c>
      <c r="Z110" s="299">
        <v>176008.77</v>
      </c>
      <c r="AA110" s="299">
        <v>0</v>
      </c>
      <c r="AB110" s="299">
        <v>303058.27</v>
      </c>
      <c r="AC110" s="299">
        <v>0</v>
      </c>
      <c r="AD110" s="299">
        <v>24208.47</v>
      </c>
      <c r="AE110" s="299">
        <v>57768.37</v>
      </c>
      <c r="AF110" s="299">
        <v>4200.4799999999996</v>
      </c>
      <c r="AG110" s="299">
        <v>2523</v>
      </c>
      <c r="AH110" s="299">
        <v>636.80999999999995</v>
      </c>
      <c r="AI110" s="299">
        <v>1725</v>
      </c>
      <c r="AJ110" s="299">
        <v>1560</v>
      </c>
      <c r="AK110" s="299">
        <v>12969.2</v>
      </c>
      <c r="AL110" s="299">
        <v>1743.93</v>
      </c>
      <c r="AM110" s="299">
        <v>17451.02</v>
      </c>
      <c r="AN110" s="299">
        <v>4450</v>
      </c>
      <c r="AO110" s="299">
        <v>9316</v>
      </c>
      <c r="AP110" s="299">
        <v>14595.75</v>
      </c>
      <c r="AQ110" s="299">
        <v>1419.49</v>
      </c>
      <c r="AR110" s="299">
        <v>3427.2</v>
      </c>
      <c r="AS110" s="299">
        <v>8057.3</v>
      </c>
      <c r="AT110" s="299">
        <v>0</v>
      </c>
      <c r="AU110" s="299">
        <v>1635.55</v>
      </c>
      <c r="AV110" s="299">
        <v>1897.3</v>
      </c>
      <c r="AW110" s="299">
        <v>0</v>
      </c>
      <c r="AX110" s="299">
        <v>13214.12</v>
      </c>
      <c r="AY110" s="299">
        <v>0</v>
      </c>
      <c r="AZ110" s="299">
        <v>0</v>
      </c>
      <c r="BA110" s="299">
        <v>9867.9500000000007</v>
      </c>
      <c r="BB110" s="299">
        <v>0</v>
      </c>
      <c r="BC110" s="299">
        <v>0</v>
      </c>
      <c r="BD110" s="299">
        <v>0</v>
      </c>
      <c r="BE110" s="299">
        <f t="shared" si="18"/>
        <v>671733.9800000001</v>
      </c>
      <c r="BF110" s="299">
        <f t="shared" si="19"/>
        <v>12641.429999999935</v>
      </c>
      <c r="BG110" s="299">
        <v>-183897.10999999964</v>
      </c>
      <c r="BH110" s="299">
        <f t="shared" si="20"/>
        <v>-171255.6799999997</v>
      </c>
      <c r="BI110" s="299">
        <v>70278.28</v>
      </c>
      <c r="BJ110" s="299">
        <v>0</v>
      </c>
      <c r="BK110" s="299">
        <f t="shared" si="21"/>
        <v>70278.28</v>
      </c>
      <c r="BL110" s="299">
        <v>44224.53</v>
      </c>
      <c r="BM110" s="299">
        <v>26053.75</v>
      </c>
      <c r="BN110" s="299">
        <f t="shared" si="32"/>
        <v>70278.28</v>
      </c>
      <c r="BO110" s="299">
        <f t="shared" si="23"/>
        <v>0</v>
      </c>
      <c r="BP110" s="299">
        <v>-823.4099999999944</v>
      </c>
      <c r="BQ110" s="299">
        <f t="shared" si="24"/>
        <v>-823.4099999999944</v>
      </c>
      <c r="BR110" s="299">
        <v>0</v>
      </c>
      <c r="BS110" s="299">
        <v>-171255.67999999959</v>
      </c>
      <c r="BT110" s="299">
        <v>-823.4099999999944</v>
      </c>
      <c r="BU110" s="299">
        <f t="shared" si="25"/>
        <v>-172079.08999999971</v>
      </c>
      <c r="BV110" s="299">
        <v>4471.1499999999996</v>
      </c>
      <c r="BW110" s="299">
        <v>0</v>
      </c>
      <c r="BX110" s="299">
        <v>0</v>
      </c>
      <c r="BY110" s="299">
        <f t="shared" si="26"/>
        <v>4471.1499999999996</v>
      </c>
      <c r="BZ110" s="299">
        <v>0</v>
      </c>
      <c r="CA110" s="299">
        <v>7136.47</v>
      </c>
      <c r="CB110" s="299">
        <v>0</v>
      </c>
      <c r="CC110" s="299">
        <v>2088</v>
      </c>
      <c r="CD110" s="299">
        <f t="shared" si="27"/>
        <v>9224.4700000000012</v>
      </c>
      <c r="CE110" s="299">
        <f t="shared" si="28"/>
        <v>-4753.3200000000015</v>
      </c>
      <c r="CF110" s="299">
        <v>37109.83</v>
      </c>
      <c r="CG110" s="299">
        <f t="shared" si="29"/>
        <v>32356.510000000002</v>
      </c>
      <c r="CH110" s="299">
        <v>32356.510000000002</v>
      </c>
      <c r="CI110" s="299">
        <v>0</v>
      </c>
      <c r="CJ110" s="299">
        <f t="shared" si="30"/>
        <v>32356.510000000002</v>
      </c>
    </row>
    <row r="111" spans="1:88" ht="13.8">
      <c r="A111" s="252" t="s">
        <v>1377</v>
      </c>
      <c r="B111" s="288">
        <v>2123</v>
      </c>
      <c r="C111" s="288" t="s">
        <v>810</v>
      </c>
      <c r="D111" s="248" t="s">
        <v>704</v>
      </c>
      <c r="E111" s="380" t="str">
        <f t="shared" si="31"/>
        <v>30EP2123</v>
      </c>
      <c r="F111" s="299">
        <v>1397824.8</v>
      </c>
      <c r="G111" s="299">
        <v>0</v>
      </c>
      <c r="H111" s="299">
        <v>116618.21</v>
      </c>
      <c r="I111" s="299">
        <v>0</v>
      </c>
      <c r="J111" s="299">
        <v>154597</v>
      </c>
      <c r="K111" s="299">
        <v>36671.93</v>
      </c>
      <c r="L111" s="299">
        <v>0</v>
      </c>
      <c r="M111" s="299">
        <v>83950</v>
      </c>
      <c r="N111" s="299">
        <v>50805.17</v>
      </c>
      <c r="O111" s="299">
        <v>14705.45</v>
      </c>
      <c r="P111" s="299">
        <v>0</v>
      </c>
      <c r="Q111" s="299">
        <v>335.25</v>
      </c>
      <c r="R111" s="299">
        <v>5895.29</v>
      </c>
      <c r="S111" s="299">
        <v>1000</v>
      </c>
      <c r="T111" s="299">
        <v>0</v>
      </c>
      <c r="U111" s="299">
        <v>0</v>
      </c>
      <c r="V111" s="299">
        <v>0</v>
      </c>
      <c r="W111" s="299">
        <v>0</v>
      </c>
      <c r="X111" s="299">
        <v>0</v>
      </c>
      <c r="Y111" s="299">
        <f t="shared" si="17"/>
        <v>1862403.0999999999</v>
      </c>
      <c r="Z111" s="299">
        <v>715043.2</v>
      </c>
      <c r="AA111" s="299">
        <v>0</v>
      </c>
      <c r="AB111" s="299">
        <v>451123.7</v>
      </c>
      <c r="AC111" s="299">
        <v>121218.86</v>
      </c>
      <c r="AD111" s="299">
        <v>70236.160000000003</v>
      </c>
      <c r="AE111" s="299">
        <v>0</v>
      </c>
      <c r="AF111" s="299">
        <v>67823.490000000005</v>
      </c>
      <c r="AG111" s="299">
        <v>6728.86</v>
      </c>
      <c r="AH111" s="299">
        <v>5793.94</v>
      </c>
      <c r="AI111" s="299">
        <v>5225</v>
      </c>
      <c r="AJ111" s="299">
        <v>125</v>
      </c>
      <c r="AK111" s="299">
        <v>17651.150000000001</v>
      </c>
      <c r="AL111" s="299">
        <v>11187.3</v>
      </c>
      <c r="AM111" s="299">
        <v>5537.59</v>
      </c>
      <c r="AN111" s="299">
        <v>13588</v>
      </c>
      <c r="AO111" s="299">
        <v>44662.94</v>
      </c>
      <c r="AP111" s="299">
        <v>38017.5</v>
      </c>
      <c r="AQ111" s="299">
        <v>14056.68</v>
      </c>
      <c r="AR111" s="299">
        <v>28215.01</v>
      </c>
      <c r="AS111" s="299">
        <v>37819.279999999999</v>
      </c>
      <c r="AT111" s="299">
        <v>0</v>
      </c>
      <c r="AU111" s="299">
        <v>14034.03</v>
      </c>
      <c r="AV111" s="299">
        <v>7377.65</v>
      </c>
      <c r="AW111" s="299">
        <v>4867.99</v>
      </c>
      <c r="AX111" s="299">
        <v>66529.05</v>
      </c>
      <c r="AY111" s="299">
        <v>0</v>
      </c>
      <c r="AZ111" s="299">
        <v>10853.4</v>
      </c>
      <c r="BA111" s="299">
        <v>38982.639999999999</v>
      </c>
      <c r="BB111" s="299">
        <v>0</v>
      </c>
      <c r="BC111" s="299">
        <v>0</v>
      </c>
      <c r="BD111" s="299">
        <v>12235.42</v>
      </c>
      <c r="BE111" s="299">
        <f t="shared" si="18"/>
        <v>1808933.8399999996</v>
      </c>
      <c r="BF111" s="299">
        <f t="shared" si="19"/>
        <v>53469.260000000242</v>
      </c>
      <c r="BG111" s="299">
        <v>-15080.460000000199</v>
      </c>
      <c r="BH111" s="299">
        <f t="shared" si="20"/>
        <v>38388.800000000047</v>
      </c>
      <c r="BI111" s="299">
        <v>154926.12</v>
      </c>
      <c r="BJ111" s="299">
        <v>23812</v>
      </c>
      <c r="BK111" s="299">
        <f t="shared" si="21"/>
        <v>178738.12</v>
      </c>
      <c r="BL111" s="299">
        <v>160206.10999999999</v>
      </c>
      <c r="BM111" s="299">
        <v>2628</v>
      </c>
      <c r="BN111" s="299">
        <f t="shared" si="32"/>
        <v>162834.10999999999</v>
      </c>
      <c r="BO111" s="299">
        <f t="shared" si="23"/>
        <v>15904.010000000009</v>
      </c>
      <c r="BP111" s="299">
        <v>-4746.2799999999988</v>
      </c>
      <c r="BQ111" s="299">
        <f t="shared" si="24"/>
        <v>11157.73000000001</v>
      </c>
      <c r="BR111" s="299">
        <v>44125.21</v>
      </c>
      <c r="BS111" s="299">
        <v>-25986.119999999682</v>
      </c>
      <c r="BT111" s="299">
        <v>31407.44000000001</v>
      </c>
      <c r="BU111" s="299">
        <f t="shared" si="25"/>
        <v>49546.530000000057</v>
      </c>
      <c r="BV111" s="299">
        <v>6613.15</v>
      </c>
      <c r="BW111" s="299">
        <v>0</v>
      </c>
      <c r="BX111" s="299">
        <v>0</v>
      </c>
      <c r="BY111" s="299">
        <f t="shared" si="26"/>
        <v>6613.15</v>
      </c>
      <c r="BZ111" s="299">
        <v>0</v>
      </c>
      <c r="CA111" s="299">
        <v>4560.47</v>
      </c>
      <c r="CB111" s="299">
        <v>0</v>
      </c>
      <c r="CC111" s="299">
        <v>1167.46</v>
      </c>
      <c r="CD111" s="299">
        <f t="shared" si="27"/>
        <v>5727.93</v>
      </c>
      <c r="CE111" s="299">
        <f t="shared" si="28"/>
        <v>885.21999999999935</v>
      </c>
      <c r="CF111" s="299">
        <v>601.4099999999994</v>
      </c>
      <c r="CG111" s="299">
        <f t="shared" si="29"/>
        <v>1486.6299999999987</v>
      </c>
      <c r="CH111" s="299">
        <v>1486.6299999999987</v>
      </c>
      <c r="CI111" s="299">
        <v>0</v>
      </c>
      <c r="CJ111" s="299">
        <f t="shared" si="30"/>
        <v>1486.6299999999987</v>
      </c>
    </row>
    <row r="112" spans="1:88" ht="13.8">
      <c r="A112" s="252" t="s">
        <v>1377</v>
      </c>
      <c r="B112" s="288">
        <v>2260</v>
      </c>
      <c r="C112" s="288" t="s">
        <v>811</v>
      </c>
      <c r="D112" s="248" t="s">
        <v>704</v>
      </c>
      <c r="E112" s="380" t="str">
        <f t="shared" si="31"/>
        <v>30EP2260</v>
      </c>
      <c r="F112" s="299">
        <v>482633.42</v>
      </c>
      <c r="G112" s="299">
        <v>0</v>
      </c>
      <c r="H112" s="299">
        <v>23218.54</v>
      </c>
      <c r="I112" s="299">
        <v>0</v>
      </c>
      <c r="J112" s="299">
        <v>21210</v>
      </c>
      <c r="K112" s="299">
        <v>26464.29</v>
      </c>
      <c r="L112" s="299">
        <v>0</v>
      </c>
      <c r="M112" s="299">
        <v>0</v>
      </c>
      <c r="N112" s="299">
        <v>28790.03</v>
      </c>
      <c r="O112" s="299">
        <v>5580.18</v>
      </c>
      <c r="P112" s="299">
        <v>0</v>
      </c>
      <c r="Q112" s="299">
        <v>0</v>
      </c>
      <c r="R112" s="299">
        <v>3405</v>
      </c>
      <c r="S112" s="299">
        <v>7747.71</v>
      </c>
      <c r="T112" s="299">
        <v>0</v>
      </c>
      <c r="U112" s="299">
        <v>0</v>
      </c>
      <c r="V112" s="299">
        <v>0</v>
      </c>
      <c r="W112" s="299">
        <v>0</v>
      </c>
      <c r="X112" s="299">
        <v>0</v>
      </c>
      <c r="Y112" s="299">
        <f t="shared" si="17"/>
        <v>599049.17000000004</v>
      </c>
      <c r="Z112" s="299">
        <v>253774.11</v>
      </c>
      <c r="AA112" s="299">
        <v>5498.8</v>
      </c>
      <c r="AB112" s="299">
        <v>104730.99</v>
      </c>
      <c r="AC112" s="299">
        <v>0</v>
      </c>
      <c r="AD112" s="299">
        <v>48282.38</v>
      </c>
      <c r="AE112" s="299">
        <v>3828.8</v>
      </c>
      <c r="AF112" s="299">
        <v>30173.05</v>
      </c>
      <c r="AG112" s="299">
        <v>3184.54</v>
      </c>
      <c r="AH112" s="299">
        <v>1528</v>
      </c>
      <c r="AI112" s="299">
        <v>1152</v>
      </c>
      <c r="AJ112" s="299">
        <v>0</v>
      </c>
      <c r="AK112" s="299">
        <v>6731.06</v>
      </c>
      <c r="AL112" s="299">
        <v>2232.35</v>
      </c>
      <c r="AM112" s="299">
        <v>19720.95</v>
      </c>
      <c r="AN112" s="299">
        <v>1647.54</v>
      </c>
      <c r="AO112" s="299">
        <v>10021.09</v>
      </c>
      <c r="AP112" s="299">
        <v>12724.5</v>
      </c>
      <c r="AQ112" s="299">
        <v>1804.38</v>
      </c>
      <c r="AR112" s="299">
        <v>15187.32</v>
      </c>
      <c r="AS112" s="299">
        <v>22181.17</v>
      </c>
      <c r="AT112" s="299">
        <v>0</v>
      </c>
      <c r="AU112" s="299">
        <v>3373.09</v>
      </c>
      <c r="AV112" s="299">
        <v>2060.5500000000002</v>
      </c>
      <c r="AW112" s="299">
        <v>3362.06</v>
      </c>
      <c r="AX112" s="299">
        <v>17727.13</v>
      </c>
      <c r="AY112" s="299">
        <v>670</v>
      </c>
      <c r="AZ112" s="299">
        <v>8060</v>
      </c>
      <c r="BA112" s="299">
        <v>9071.5400000000009</v>
      </c>
      <c r="BB112" s="299">
        <v>0</v>
      </c>
      <c r="BC112" s="299">
        <v>0</v>
      </c>
      <c r="BD112" s="299">
        <v>0</v>
      </c>
      <c r="BE112" s="299">
        <f t="shared" si="18"/>
        <v>588727.4</v>
      </c>
      <c r="BF112" s="299">
        <f t="shared" si="19"/>
        <v>10321.770000000019</v>
      </c>
      <c r="BG112" s="299">
        <v>61400.200000000084</v>
      </c>
      <c r="BH112" s="299">
        <f t="shared" si="20"/>
        <v>71721.970000000103</v>
      </c>
      <c r="BI112" s="299">
        <v>0</v>
      </c>
      <c r="BJ112" s="299">
        <v>0</v>
      </c>
      <c r="BK112" s="299">
        <f t="shared" si="21"/>
        <v>0</v>
      </c>
      <c r="BL112" s="299">
        <v>0</v>
      </c>
      <c r="BM112" s="299">
        <v>0</v>
      </c>
      <c r="BN112" s="299">
        <f t="shared" si="32"/>
        <v>0</v>
      </c>
      <c r="BO112" s="299">
        <f t="shared" si="23"/>
        <v>0</v>
      </c>
      <c r="BP112" s="299">
        <v>0</v>
      </c>
      <c r="BQ112" s="299">
        <f t="shared" si="24"/>
        <v>0</v>
      </c>
      <c r="BR112" s="299">
        <v>8105</v>
      </c>
      <c r="BS112" s="299">
        <v>63616.970000000219</v>
      </c>
      <c r="BT112" s="299">
        <v>0</v>
      </c>
      <c r="BU112" s="299">
        <f t="shared" si="25"/>
        <v>71721.970000000103</v>
      </c>
      <c r="BV112" s="299">
        <v>4585</v>
      </c>
      <c r="BW112" s="299">
        <v>0</v>
      </c>
      <c r="BX112" s="299">
        <v>0</v>
      </c>
      <c r="BY112" s="299">
        <f t="shared" si="26"/>
        <v>4585</v>
      </c>
      <c r="BZ112" s="299">
        <v>0</v>
      </c>
      <c r="CA112" s="299">
        <v>7840.66</v>
      </c>
      <c r="CB112" s="299">
        <v>0</v>
      </c>
      <c r="CC112" s="299">
        <v>0</v>
      </c>
      <c r="CD112" s="299">
        <f t="shared" si="27"/>
        <v>7840.66</v>
      </c>
      <c r="CE112" s="299">
        <f t="shared" si="28"/>
        <v>-3255.66</v>
      </c>
      <c r="CF112" s="299">
        <v>6112.54</v>
      </c>
      <c r="CG112" s="299">
        <f t="shared" si="29"/>
        <v>2856.88</v>
      </c>
      <c r="CH112" s="299">
        <v>2856.88</v>
      </c>
      <c r="CI112" s="299">
        <v>0</v>
      </c>
      <c r="CJ112" s="299">
        <f t="shared" si="30"/>
        <v>2856.88</v>
      </c>
    </row>
    <row r="113" spans="1:88" ht="13.8">
      <c r="A113" s="252" t="s">
        <v>1377</v>
      </c>
      <c r="B113" s="288">
        <v>3058</v>
      </c>
      <c r="C113" s="288" t="s">
        <v>812</v>
      </c>
      <c r="D113" s="248" t="s">
        <v>704</v>
      </c>
      <c r="E113" s="380" t="str">
        <f t="shared" si="31"/>
        <v>30EP3058</v>
      </c>
      <c r="F113" s="299">
        <v>1721574.04</v>
      </c>
      <c r="G113" s="299">
        <v>0</v>
      </c>
      <c r="H113" s="299">
        <v>165331.57</v>
      </c>
      <c r="I113" s="299">
        <v>0</v>
      </c>
      <c r="J113" s="299">
        <v>119217</v>
      </c>
      <c r="K113" s="299">
        <v>72991</v>
      </c>
      <c r="L113" s="299">
        <v>0</v>
      </c>
      <c r="M113" s="299">
        <v>697.5</v>
      </c>
      <c r="N113" s="299">
        <v>40040.769999999997</v>
      </c>
      <c r="O113" s="299">
        <v>32595.58</v>
      </c>
      <c r="P113" s="299">
        <v>24456.26</v>
      </c>
      <c r="Q113" s="299">
        <v>3861.52</v>
      </c>
      <c r="R113" s="299">
        <v>15702.07</v>
      </c>
      <c r="S113" s="299">
        <v>8388.35</v>
      </c>
      <c r="T113" s="299">
        <v>0</v>
      </c>
      <c r="U113" s="299">
        <v>0</v>
      </c>
      <c r="V113" s="299">
        <v>0</v>
      </c>
      <c r="W113" s="299">
        <v>0</v>
      </c>
      <c r="X113" s="299">
        <v>0</v>
      </c>
      <c r="Y113" s="299">
        <f t="shared" si="17"/>
        <v>2204855.6599999997</v>
      </c>
      <c r="Z113" s="299">
        <v>882725.58</v>
      </c>
      <c r="AA113" s="299">
        <v>0</v>
      </c>
      <c r="AB113" s="299">
        <v>582579.56999999995</v>
      </c>
      <c r="AC113" s="299">
        <v>74003.88</v>
      </c>
      <c r="AD113" s="299">
        <v>102666.77</v>
      </c>
      <c r="AE113" s="299">
        <v>62926.02</v>
      </c>
      <c r="AF113" s="299">
        <v>78254.09</v>
      </c>
      <c r="AG113" s="299">
        <v>8253.7900000000009</v>
      </c>
      <c r="AH113" s="299">
        <v>4447.21</v>
      </c>
      <c r="AI113" s="299">
        <v>7925</v>
      </c>
      <c r="AJ113" s="299">
        <v>3823.75</v>
      </c>
      <c r="AK113" s="299">
        <v>19860.62</v>
      </c>
      <c r="AL113" s="299">
        <v>1602.8</v>
      </c>
      <c r="AM113" s="299">
        <v>7029.79</v>
      </c>
      <c r="AN113" s="299">
        <v>10111</v>
      </c>
      <c r="AO113" s="299">
        <v>26890.880000000001</v>
      </c>
      <c r="AP113" s="299">
        <v>38017.5</v>
      </c>
      <c r="AQ113" s="299">
        <v>12102.33</v>
      </c>
      <c r="AR113" s="299">
        <v>65017.49</v>
      </c>
      <c r="AS113" s="299">
        <v>30097.600000000006</v>
      </c>
      <c r="AT113" s="299">
        <v>0</v>
      </c>
      <c r="AU113" s="299">
        <v>15150.73</v>
      </c>
      <c r="AV113" s="299">
        <v>8526.18</v>
      </c>
      <c r="AW113" s="299">
        <v>77.849999999999994</v>
      </c>
      <c r="AX113" s="299">
        <v>59529.63</v>
      </c>
      <c r="AY113" s="299">
        <v>15632.5</v>
      </c>
      <c r="AZ113" s="299">
        <v>0</v>
      </c>
      <c r="BA113" s="299">
        <v>19086.84</v>
      </c>
      <c r="BB113" s="299">
        <v>0</v>
      </c>
      <c r="BC113" s="299">
        <v>1821.66</v>
      </c>
      <c r="BD113" s="299">
        <v>4328.38</v>
      </c>
      <c r="BE113" s="299">
        <f t="shared" si="18"/>
        <v>2142489.44</v>
      </c>
      <c r="BF113" s="299">
        <f t="shared" si="19"/>
        <v>62366.219999999739</v>
      </c>
      <c r="BG113" s="299">
        <v>56802.5600000001</v>
      </c>
      <c r="BH113" s="299">
        <f t="shared" si="20"/>
        <v>119168.77999999984</v>
      </c>
      <c r="BI113" s="299">
        <v>140347.43</v>
      </c>
      <c r="BJ113" s="299">
        <v>17243.68</v>
      </c>
      <c r="BK113" s="299">
        <f t="shared" si="21"/>
        <v>157591.10999999999</v>
      </c>
      <c r="BL113" s="299">
        <v>129910.53</v>
      </c>
      <c r="BM113" s="299">
        <v>8000.34</v>
      </c>
      <c r="BN113" s="299">
        <f t="shared" si="32"/>
        <v>137910.87</v>
      </c>
      <c r="BO113" s="299">
        <f t="shared" si="23"/>
        <v>19680.239999999991</v>
      </c>
      <c r="BP113" s="299">
        <v>26535.54</v>
      </c>
      <c r="BQ113" s="299">
        <f t="shared" si="24"/>
        <v>46215.779999999992</v>
      </c>
      <c r="BR113" s="299">
        <v>11729.85</v>
      </c>
      <c r="BS113" s="299">
        <v>107204.92999999986</v>
      </c>
      <c r="BT113" s="299">
        <v>46449.77999999997</v>
      </c>
      <c r="BU113" s="299">
        <f t="shared" si="25"/>
        <v>165384.55999999982</v>
      </c>
      <c r="BV113" s="299">
        <v>7498.75</v>
      </c>
      <c r="BW113" s="299">
        <v>0</v>
      </c>
      <c r="BX113" s="299">
        <v>0</v>
      </c>
      <c r="BY113" s="299">
        <f t="shared" si="26"/>
        <v>7498.75</v>
      </c>
      <c r="BZ113" s="299">
        <v>0</v>
      </c>
      <c r="CA113" s="299">
        <v>0</v>
      </c>
      <c r="CB113" s="299">
        <v>0</v>
      </c>
      <c r="CC113" s="299">
        <v>10525.16</v>
      </c>
      <c r="CD113" s="299">
        <f t="shared" si="27"/>
        <v>10525.16</v>
      </c>
      <c r="CE113" s="299">
        <f t="shared" si="28"/>
        <v>-3026.41</v>
      </c>
      <c r="CF113" s="299">
        <v>5937.9399999999987</v>
      </c>
      <c r="CG113" s="299">
        <f t="shared" si="29"/>
        <v>2911.5299999999988</v>
      </c>
      <c r="CH113" s="299">
        <v>2911.5299999999988</v>
      </c>
      <c r="CI113" s="299">
        <v>0</v>
      </c>
      <c r="CJ113" s="299">
        <f t="shared" si="30"/>
        <v>2911.5299999999988</v>
      </c>
    </row>
    <row r="114" spans="1:88" ht="13.8">
      <c r="A114" s="252" t="s">
        <v>1377</v>
      </c>
      <c r="B114" s="288">
        <v>2335</v>
      </c>
      <c r="C114" s="288" t="s">
        <v>813</v>
      </c>
      <c r="D114" s="248" t="s">
        <v>704</v>
      </c>
      <c r="E114" s="380" t="str">
        <f t="shared" si="31"/>
        <v>30EP2335</v>
      </c>
      <c r="F114" s="299">
        <v>1000668.02</v>
      </c>
      <c r="G114" s="299">
        <v>0</v>
      </c>
      <c r="H114" s="299">
        <v>58703.72</v>
      </c>
      <c r="I114" s="299">
        <v>0</v>
      </c>
      <c r="J114" s="299">
        <v>22325</v>
      </c>
      <c r="K114" s="299">
        <v>56971.86</v>
      </c>
      <c r="L114" s="299">
        <v>1300</v>
      </c>
      <c r="M114" s="299">
        <v>1950</v>
      </c>
      <c r="N114" s="299">
        <v>80544.72</v>
      </c>
      <c r="O114" s="299">
        <v>17222.900000000001</v>
      </c>
      <c r="P114" s="299">
        <v>24932</v>
      </c>
      <c r="Q114" s="299">
        <v>0</v>
      </c>
      <c r="R114" s="299">
        <v>22901.85</v>
      </c>
      <c r="S114" s="299">
        <v>18642.310000000001</v>
      </c>
      <c r="T114" s="299">
        <v>0</v>
      </c>
      <c r="U114" s="299">
        <v>0</v>
      </c>
      <c r="V114" s="299">
        <v>0</v>
      </c>
      <c r="W114" s="299">
        <v>0</v>
      </c>
      <c r="X114" s="299">
        <v>0</v>
      </c>
      <c r="Y114" s="299">
        <f t="shared" si="17"/>
        <v>1306162.3800000001</v>
      </c>
      <c r="Z114" s="299">
        <v>574174.05000000005</v>
      </c>
      <c r="AA114" s="299">
        <v>0</v>
      </c>
      <c r="AB114" s="299">
        <v>182046.92</v>
      </c>
      <c r="AC114" s="299">
        <v>23882.63</v>
      </c>
      <c r="AD114" s="299">
        <v>52587.99</v>
      </c>
      <c r="AE114" s="299">
        <v>0</v>
      </c>
      <c r="AF114" s="299">
        <v>67512.78</v>
      </c>
      <c r="AG114" s="299">
        <v>4507.55</v>
      </c>
      <c r="AH114" s="299">
        <v>6026.2</v>
      </c>
      <c r="AI114" s="299">
        <v>4600</v>
      </c>
      <c r="AJ114" s="299">
        <v>787.5</v>
      </c>
      <c r="AK114" s="299">
        <v>30399.49</v>
      </c>
      <c r="AL114" s="299">
        <v>1386.33</v>
      </c>
      <c r="AM114" s="299">
        <v>9007.09</v>
      </c>
      <c r="AN114" s="299">
        <v>1701.8</v>
      </c>
      <c r="AO114" s="299">
        <v>19375.18</v>
      </c>
      <c r="AP114" s="299">
        <v>22455</v>
      </c>
      <c r="AQ114" s="299">
        <v>11702</v>
      </c>
      <c r="AR114" s="299">
        <v>83874.34</v>
      </c>
      <c r="AS114" s="299">
        <v>28297.38</v>
      </c>
      <c r="AT114" s="299">
        <v>0</v>
      </c>
      <c r="AU114" s="299">
        <v>12062.77</v>
      </c>
      <c r="AV114" s="299">
        <v>5337.36</v>
      </c>
      <c r="AW114" s="299">
        <v>5292.93</v>
      </c>
      <c r="AX114" s="299">
        <v>61897.66</v>
      </c>
      <c r="AY114" s="299">
        <v>97192.67</v>
      </c>
      <c r="AZ114" s="299">
        <v>30705.79</v>
      </c>
      <c r="BA114" s="299">
        <v>45479.97</v>
      </c>
      <c r="BB114" s="299">
        <v>0</v>
      </c>
      <c r="BC114" s="299">
        <v>0</v>
      </c>
      <c r="BD114" s="299">
        <v>0</v>
      </c>
      <c r="BE114" s="299">
        <f t="shared" si="18"/>
        <v>1382293.38</v>
      </c>
      <c r="BF114" s="299">
        <f t="shared" si="19"/>
        <v>-76130.999999999767</v>
      </c>
      <c r="BG114" s="299">
        <v>100696.98000000053</v>
      </c>
      <c r="BH114" s="299">
        <f t="shared" si="20"/>
        <v>24565.980000000767</v>
      </c>
      <c r="BI114" s="299">
        <v>0</v>
      </c>
      <c r="BJ114" s="299">
        <v>0</v>
      </c>
      <c r="BK114" s="299">
        <f t="shared" si="21"/>
        <v>0</v>
      </c>
      <c r="BL114" s="299">
        <v>0</v>
      </c>
      <c r="BM114" s="299">
        <v>0</v>
      </c>
      <c r="BN114" s="299">
        <f t="shared" si="32"/>
        <v>0</v>
      </c>
      <c r="BO114" s="299">
        <f t="shared" si="23"/>
        <v>0</v>
      </c>
      <c r="BP114" s="299">
        <v>0</v>
      </c>
      <c r="BQ114" s="299">
        <f t="shared" si="24"/>
        <v>0</v>
      </c>
      <c r="BR114" s="299">
        <v>5076</v>
      </c>
      <c r="BS114" s="299">
        <v>19489.980000000534</v>
      </c>
      <c r="BT114" s="299">
        <v>0</v>
      </c>
      <c r="BU114" s="299">
        <f t="shared" si="25"/>
        <v>24565.980000000767</v>
      </c>
      <c r="BV114" s="299">
        <v>6306.25</v>
      </c>
      <c r="BW114" s="299">
        <v>0</v>
      </c>
      <c r="BX114" s="299">
        <v>0</v>
      </c>
      <c r="BY114" s="299">
        <f t="shared" si="26"/>
        <v>6306.25</v>
      </c>
      <c r="BZ114" s="299">
        <v>0</v>
      </c>
      <c r="CA114" s="299">
        <v>8500.83</v>
      </c>
      <c r="CB114" s="299">
        <v>0</v>
      </c>
      <c r="CC114" s="299">
        <v>8571.09</v>
      </c>
      <c r="CD114" s="299">
        <f t="shared" si="27"/>
        <v>17071.919999999998</v>
      </c>
      <c r="CE114" s="299">
        <f t="shared" si="28"/>
        <v>-10765.669999999998</v>
      </c>
      <c r="CF114" s="299">
        <v>15211.54</v>
      </c>
      <c r="CG114" s="299">
        <f t="shared" si="29"/>
        <v>4445.8700000000026</v>
      </c>
      <c r="CH114" s="299">
        <v>3794.3500000000022</v>
      </c>
      <c r="CI114" s="299">
        <v>651.52</v>
      </c>
      <c r="CJ114" s="299">
        <f t="shared" si="30"/>
        <v>4445.8700000000026</v>
      </c>
    </row>
    <row r="115" spans="1:88" ht="13.8">
      <c r="A115" s="252" t="s">
        <v>1377</v>
      </c>
      <c r="B115" s="288">
        <v>3389</v>
      </c>
      <c r="C115" s="288" t="s">
        <v>814</v>
      </c>
      <c r="D115" s="248" t="s">
        <v>704</v>
      </c>
      <c r="E115" s="380" t="str">
        <f t="shared" si="31"/>
        <v>30EP3389</v>
      </c>
      <c r="F115" s="299">
        <v>1903101.82</v>
      </c>
      <c r="G115" s="299">
        <v>0</v>
      </c>
      <c r="H115" s="299">
        <v>102252.21</v>
      </c>
      <c r="I115" s="299">
        <v>0</v>
      </c>
      <c r="J115" s="299">
        <v>94595</v>
      </c>
      <c r="K115" s="299">
        <v>71294.929999999993</v>
      </c>
      <c r="L115" s="299">
        <v>0</v>
      </c>
      <c r="M115" s="299">
        <v>2385</v>
      </c>
      <c r="N115" s="299">
        <v>160159.37</v>
      </c>
      <c r="O115" s="299">
        <v>27648.95</v>
      </c>
      <c r="P115" s="299">
        <v>0</v>
      </c>
      <c r="Q115" s="299">
        <v>0</v>
      </c>
      <c r="R115" s="299">
        <v>43819.199999999997</v>
      </c>
      <c r="S115" s="299">
        <v>0</v>
      </c>
      <c r="T115" s="299">
        <v>0</v>
      </c>
      <c r="U115" s="299">
        <v>0</v>
      </c>
      <c r="V115" s="299">
        <v>0</v>
      </c>
      <c r="W115" s="299">
        <v>0</v>
      </c>
      <c r="X115" s="299">
        <v>0</v>
      </c>
      <c r="Y115" s="299">
        <f t="shared" si="17"/>
        <v>2405256.4800000009</v>
      </c>
      <c r="Z115" s="299">
        <v>1196512.33</v>
      </c>
      <c r="AA115" s="299">
        <v>0</v>
      </c>
      <c r="AB115" s="299">
        <v>443873.22</v>
      </c>
      <c r="AC115" s="299">
        <v>46006.86</v>
      </c>
      <c r="AD115" s="299">
        <v>117846.86</v>
      </c>
      <c r="AE115" s="299">
        <v>0</v>
      </c>
      <c r="AF115" s="299">
        <v>101522.4</v>
      </c>
      <c r="AG115" s="299">
        <v>3096.6</v>
      </c>
      <c r="AH115" s="299">
        <v>6550</v>
      </c>
      <c r="AI115" s="299">
        <v>0</v>
      </c>
      <c r="AJ115" s="299">
        <v>0</v>
      </c>
      <c r="AK115" s="299">
        <v>25850.46</v>
      </c>
      <c r="AL115" s="299">
        <v>3119.47</v>
      </c>
      <c r="AM115" s="299">
        <v>46199.49</v>
      </c>
      <c r="AN115" s="299">
        <v>793.06</v>
      </c>
      <c r="AO115" s="299">
        <v>30462.28</v>
      </c>
      <c r="AP115" s="299">
        <v>10545</v>
      </c>
      <c r="AQ115" s="299">
        <v>11316.45</v>
      </c>
      <c r="AR115" s="299">
        <v>75858.25</v>
      </c>
      <c r="AS115" s="299">
        <v>70561.489999999991</v>
      </c>
      <c r="AT115" s="299">
        <v>0</v>
      </c>
      <c r="AU115" s="299">
        <v>9500.86</v>
      </c>
      <c r="AV115" s="299">
        <v>10312.85</v>
      </c>
      <c r="AW115" s="299">
        <v>14179.38</v>
      </c>
      <c r="AX115" s="299">
        <v>132176.79999999999</v>
      </c>
      <c r="AY115" s="299">
        <v>2418</v>
      </c>
      <c r="AZ115" s="299">
        <v>14806.62</v>
      </c>
      <c r="BA115" s="299">
        <v>54030.41</v>
      </c>
      <c r="BB115" s="299">
        <v>0</v>
      </c>
      <c r="BC115" s="299">
        <v>0</v>
      </c>
      <c r="BD115" s="299">
        <v>59960.24</v>
      </c>
      <c r="BE115" s="299">
        <f t="shared" si="18"/>
        <v>2487499.3800000008</v>
      </c>
      <c r="BF115" s="299">
        <f t="shared" si="19"/>
        <v>-82242.899999999907</v>
      </c>
      <c r="BG115" s="299">
        <v>123780.97999999931</v>
      </c>
      <c r="BH115" s="299">
        <f t="shared" si="20"/>
        <v>41538.079999999405</v>
      </c>
      <c r="BI115" s="299">
        <v>143007.38</v>
      </c>
      <c r="BJ115" s="299">
        <v>7405.73</v>
      </c>
      <c r="BK115" s="299">
        <f t="shared" si="21"/>
        <v>150413.11000000002</v>
      </c>
      <c r="BL115" s="299">
        <v>153798.20000000001</v>
      </c>
      <c r="BM115" s="299">
        <v>27405.49</v>
      </c>
      <c r="BN115" s="299">
        <f t="shared" si="32"/>
        <v>181203.69</v>
      </c>
      <c r="BO115" s="299">
        <f t="shared" si="23"/>
        <v>-30790.579999999987</v>
      </c>
      <c r="BP115" s="299">
        <v>97328.849999999991</v>
      </c>
      <c r="BQ115" s="299">
        <f t="shared" si="24"/>
        <v>66538.27</v>
      </c>
      <c r="BR115" s="299">
        <v>31194.04</v>
      </c>
      <c r="BS115" s="299">
        <v>8513.6599999998361</v>
      </c>
      <c r="BT115" s="299">
        <v>68368.650000000009</v>
      </c>
      <c r="BU115" s="299">
        <f t="shared" si="25"/>
        <v>108076.34999999941</v>
      </c>
      <c r="BV115" s="299">
        <v>0</v>
      </c>
      <c r="BW115" s="299">
        <v>0</v>
      </c>
      <c r="BX115" s="299">
        <v>0</v>
      </c>
      <c r="BY115" s="299">
        <f t="shared" si="26"/>
        <v>0</v>
      </c>
      <c r="BZ115" s="299">
        <v>0</v>
      </c>
      <c r="CA115" s="299">
        <v>0</v>
      </c>
      <c r="CB115" s="299">
        <v>0</v>
      </c>
      <c r="CC115" s="299">
        <v>0</v>
      </c>
      <c r="CD115" s="299">
        <f t="shared" si="27"/>
        <v>0</v>
      </c>
      <c r="CE115" s="299">
        <f t="shared" si="28"/>
        <v>0</v>
      </c>
      <c r="CF115" s="299">
        <v>0</v>
      </c>
      <c r="CG115" s="299">
        <f t="shared" si="29"/>
        <v>0</v>
      </c>
      <c r="CH115" s="299">
        <v>0</v>
      </c>
      <c r="CI115" s="299">
        <v>0</v>
      </c>
      <c r="CJ115" s="299">
        <f t="shared" si="30"/>
        <v>0</v>
      </c>
    </row>
    <row r="116" spans="1:88" ht="13.8">
      <c r="A116" s="252" t="s">
        <v>1377</v>
      </c>
      <c r="B116" s="290">
        <v>2001</v>
      </c>
      <c r="C116" s="290" t="s">
        <v>815</v>
      </c>
      <c r="D116" s="248" t="s">
        <v>704</v>
      </c>
      <c r="E116" s="380" t="str">
        <f t="shared" si="31"/>
        <v>30EP2001</v>
      </c>
      <c r="F116" s="299">
        <v>2533612.35</v>
      </c>
      <c r="G116" s="299">
        <v>0</v>
      </c>
      <c r="H116" s="299">
        <v>124011.47</v>
      </c>
      <c r="I116" s="299">
        <v>0</v>
      </c>
      <c r="J116" s="299">
        <v>138411</v>
      </c>
      <c r="K116" s="299">
        <v>103671.2</v>
      </c>
      <c r="L116" s="299">
        <v>0</v>
      </c>
      <c r="M116" s="299">
        <v>14127.74</v>
      </c>
      <c r="N116" s="299">
        <v>70965.14</v>
      </c>
      <c r="O116" s="299">
        <v>42703.07</v>
      </c>
      <c r="P116" s="299">
        <v>7280</v>
      </c>
      <c r="Q116" s="299">
        <v>59216.47</v>
      </c>
      <c r="R116" s="299">
        <v>57968.85</v>
      </c>
      <c r="S116" s="299">
        <v>21500</v>
      </c>
      <c r="T116" s="299">
        <v>0</v>
      </c>
      <c r="U116" s="299">
        <v>0</v>
      </c>
      <c r="V116" s="299">
        <v>0</v>
      </c>
      <c r="W116" s="299">
        <v>0</v>
      </c>
      <c r="X116" s="299">
        <v>0</v>
      </c>
      <c r="Y116" s="299">
        <f t="shared" si="17"/>
        <v>3173467.290000001</v>
      </c>
      <c r="Z116" s="299">
        <v>1644079.06</v>
      </c>
      <c r="AA116" s="299">
        <v>16068.26</v>
      </c>
      <c r="AB116" s="299">
        <v>644055.44999999995</v>
      </c>
      <c r="AC116" s="299">
        <v>87841.68</v>
      </c>
      <c r="AD116" s="299">
        <v>148872.41</v>
      </c>
      <c r="AE116" s="299">
        <v>0</v>
      </c>
      <c r="AF116" s="299">
        <v>97378.37</v>
      </c>
      <c r="AG116" s="299">
        <v>35671.35</v>
      </c>
      <c r="AH116" s="299">
        <v>7101.3</v>
      </c>
      <c r="AI116" s="299">
        <v>10353.620000000001</v>
      </c>
      <c r="AJ116" s="299">
        <v>1802</v>
      </c>
      <c r="AK116" s="299">
        <v>29934.52</v>
      </c>
      <c r="AL116" s="299">
        <v>7332.64</v>
      </c>
      <c r="AM116" s="299">
        <v>10328.76</v>
      </c>
      <c r="AN116" s="299">
        <v>5759.61</v>
      </c>
      <c r="AO116" s="299">
        <v>75292.240000000005</v>
      </c>
      <c r="AP116" s="299">
        <v>36630</v>
      </c>
      <c r="AQ116" s="299">
        <v>14761.34</v>
      </c>
      <c r="AR116" s="299">
        <v>126934.49</v>
      </c>
      <c r="AS116" s="299">
        <v>34653.699999999997</v>
      </c>
      <c r="AT116" s="299">
        <v>0</v>
      </c>
      <c r="AU116" s="299">
        <v>6452.68</v>
      </c>
      <c r="AV116" s="299">
        <v>13691.16</v>
      </c>
      <c r="AW116" s="299">
        <v>274.95</v>
      </c>
      <c r="AX116" s="299">
        <v>136443.93</v>
      </c>
      <c r="AY116" s="299">
        <v>42946.61</v>
      </c>
      <c r="AZ116" s="299">
        <v>8066.51</v>
      </c>
      <c r="BA116" s="299">
        <v>30678.54</v>
      </c>
      <c r="BB116" s="299">
        <v>0</v>
      </c>
      <c r="BC116" s="299">
        <v>0</v>
      </c>
      <c r="BD116" s="299">
        <v>65134.87</v>
      </c>
      <c r="BE116" s="299">
        <f t="shared" si="18"/>
        <v>3338540.0500000012</v>
      </c>
      <c r="BF116" s="299">
        <f t="shared" si="19"/>
        <v>-165072.76000000024</v>
      </c>
      <c r="BG116" s="299">
        <v>-143239.21000000101</v>
      </c>
      <c r="BH116" s="299">
        <f t="shared" si="20"/>
        <v>-308311.97000000125</v>
      </c>
      <c r="BI116" s="299">
        <v>215769.75</v>
      </c>
      <c r="BJ116" s="299">
        <v>23341.5</v>
      </c>
      <c r="BK116" s="299">
        <f t="shared" si="21"/>
        <v>239111.25</v>
      </c>
      <c r="BL116" s="299">
        <v>198731.56</v>
      </c>
      <c r="BM116" s="299">
        <v>18297.88</v>
      </c>
      <c r="BN116" s="299">
        <f t="shared" si="32"/>
        <v>217029.44</v>
      </c>
      <c r="BO116" s="299">
        <f t="shared" si="23"/>
        <v>22081.809999999998</v>
      </c>
      <c r="BP116" s="299">
        <v>39890.75</v>
      </c>
      <c r="BQ116" s="299">
        <f t="shared" si="24"/>
        <v>61972.56</v>
      </c>
      <c r="BR116" s="299">
        <v>11951.89</v>
      </c>
      <c r="BS116" s="299">
        <v>-323333.16000000114</v>
      </c>
      <c r="BT116" s="299">
        <v>65041.859999999964</v>
      </c>
      <c r="BU116" s="299">
        <f t="shared" si="25"/>
        <v>-246339.41000000125</v>
      </c>
      <c r="BV116" s="299">
        <v>9636.25</v>
      </c>
      <c r="BW116" s="299">
        <v>0</v>
      </c>
      <c r="BX116" s="299">
        <v>65134.87</v>
      </c>
      <c r="BY116" s="299">
        <f t="shared" si="26"/>
        <v>74771.12</v>
      </c>
      <c r="BZ116" s="299">
        <v>0</v>
      </c>
      <c r="CA116" s="299">
        <v>62798.720000000001</v>
      </c>
      <c r="CB116" s="299">
        <v>0</v>
      </c>
      <c r="CC116" s="299">
        <v>5918.4</v>
      </c>
      <c r="CD116" s="299">
        <f t="shared" si="27"/>
        <v>68717.119999999995</v>
      </c>
      <c r="CE116" s="299">
        <f t="shared" si="28"/>
        <v>6054</v>
      </c>
      <c r="CF116" s="299">
        <v>33273.46</v>
      </c>
      <c r="CG116" s="299">
        <f t="shared" si="29"/>
        <v>39327.46</v>
      </c>
      <c r="CH116" s="299">
        <v>39327.46</v>
      </c>
      <c r="CI116" s="299">
        <v>0</v>
      </c>
      <c r="CJ116" s="299">
        <f t="shared" si="30"/>
        <v>39327.46</v>
      </c>
    </row>
    <row r="117" spans="1:88" ht="13.8">
      <c r="A117" s="252" t="s">
        <v>1377</v>
      </c>
      <c r="B117" s="288">
        <v>2064</v>
      </c>
      <c r="C117" s="288" t="s">
        <v>816</v>
      </c>
      <c r="D117" s="248" t="s">
        <v>704</v>
      </c>
      <c r="E117" s="380" t="str">
        <f t="shared" si="31"/>
        <v>30EP2064</v>
      </c>
      <c r="F117" s="299">
        <v>841749.52</v>
      </c>
      <c r="G117" s="299">
        <v>0</v>
      </c>
      <c r="H117" s="299">
        <v>160151.65</v>
      </c>
      <c r="I117" s="299">
        <v>0</v>
      </c>
      <c r="J117" s="299">
        <v>43322</v>
      </c>
      <c r="K117" s="299">
        <v>22995</v>
      </c>
      <c r="L117" s="299">
        <v>10000</v>
      </c>
      <c r="M117" s="299">
        <v>0</v>
      </c>
      <c r="N117" s="299">
        <v>98059.09</v>
      </c>
      <c r="O117" s="299">
        <v>12.26</v>
      </c>
      <c r="P117" s="299">
        <v>4048</v>
      </c>
      <c r="Q117" s="299">
        <v>2981.16</v>
      </c>
      <c r="R117" s="299">
        <v>11401.5</v>
      </c>
      <c r="S117" s="299">
        <v>317.60000000000002</v>
      </c>
      <c r="T117" s="299">
        <v>0</v>
      </c>
      <c r="U117" s="299">
        <v>0</v>
      </c>
      <c r="V117" s="299">
        <v>0</v>
      </c>
      <c r="W117" s="299">
        <v>0</v>
      </c>
      <c r="X117" s="299">
        <v>0</v>
      </c>
      <c r="Y117" s="299">
        <f t="shared" si="17"/>
        <v>1195037.78</v>
      </c>
      <c r="Z117" s="299">
        <v>433273.53</v>
      </c>
      <c r="AA117" s="299">
        <v>30395.55</v>
      </c>
      <c r="AB117" s="299">
        <v>421479.64</v>
      </c>
      <c r="AC117" s="299">
        <v>28766.29</v>
      </c>
      <c r="AD117" s="299">
        <v>37547.29</v>
      </c>
      <c r="AE117" s="299">
        <v>0</v>
      </c>
      <c r="AF117" s="299">
        <v>5405.38</v>
      </c>
      <c r="AG117" s="299">
        <v>4013</v>
      </c>
      <c r="AH117" s="299">
        <v>6933.63</v>
      </c>
      <c r="AI117" s="299">
        <v>2650</v>
      </c>
      <c r="AJ117" s="299">
        <v>1758.75</v>
      </c>
      <c r="AK117" s="299">
        <v>7506.6</v>
      </c>
      <c r="AL117" s="299">
        <v>3431.5</v>
      </c>
      <c r="AM117" s="299">
        <v>3222.14</v>
      </c>
      <c r="AN117" s="299">
        <v>1091.6400000000001</v>
      </c>
      <c r="AO117" s="299">
        <v>14876.55</v>
      </c>
      <c r="AP117" s="299">
        <v>17839.25</v>
      </c>
      <c r="AQ117" s="299">
        <v>2039.16</v>
      </c>
      <c r="AR117" s="299">
        <v>60569.47</v>
      </c>
      <c r="AS117" s="299">
        <v>31028.35</v>
      </c>
      <c r="AT117" s="299">
        <v>0</v>
      </c>
      <c r="AU117" s="299">
        <v>6342.09</v>
      </c>
      <c r="AV117" s="299">
        <v>3356.04</v>
      </c>
      <c r="AW117" s="299">
        <v>296.8</v>
      </c>
      <c r="AX117" s="299">
        <v>36570.160000000003</v>
      </c>
      <c r="AY117" s="299">
        <v>0</v>
      </c>
      <c r="AZ117" s="299">
        <v>5789.13</v>
      </c>
      <c r="BA117" s="299">
        <v>11944.35</v>
      </c>
      <c r="BB117" s="299">
        <v>0</v>
      </c>
      <c r="BC117" s="299">
        <v>0</v>
      </c>
      <c r="BD117" s="299">
        <v>0</v>
      </c>
      <c r="BE117" s="299">
        <f t="shared" si="18"/>
        <v>1178126.2900000003</v>
      </c>
      <c r="BF117" s="299">
        <f t="shared" si="19"/>
        <v>16911.489999999758</v>
      </c>
      <c r="BG117" s="299">
        <v>166839.16999999984</v>
      </c>
      <c r="BH117" s="299">
        <f t="shared" si="20"/>
        <v>183750.6599999996</v>
      </c>
      <c r="BI117" s="299">
        <v>0</v>
      </c>
      <c r="BJ117" s="299">
        <v>0</v>
      </c>
      <c r="BK117" s="299">
        <f t="shared" si="21"/>
        <v>0</v>
      </c>
      <c r="BL117" s="299">
        <v>0</v>
      </c>
      <c r="BM117" s="299">
        <v>0</v>
      </c>
      <c r="BN117" s="299">
        <f t="shared" si="32"/>
        <v>0</v>
      </c>
      <c r="BO117" s="299">
        <f t="shared" si="23"/>
        <v>0</v>
      </c>
      <c r="BP117" s="299">
        <v>0</v>
      </c>
      <c r="BQ117" s="299">
        <f t="shared" si="24"/>
        <v>0</v>
      </c>
      <c r="BR117" s="299">
        <v>55840.21</v>
      </c>
      <c r="BS117" s="299">
        <v>127910.44999999984</v>
      </c>
      <c r="BT117" s="299">
        <v>0</v>
      </c>
      <c r="BU117" s="299">
        <f t="shared" si="25"/>
        <v>183750.6599999996</v>
      </c>
      <c r="BV117" s="299">
        <v>5088.1000000000004</v>
      </c>
      <c r="BW117" s="299">
        <v>84903</v>
      </c>
      <c r="BX117" s="299">
        <v>0</v>
      </c>
      <c r="BY117" s="299">
        <f t="shared" si="26"/>
        <v>89991.1</v>
      </c>
      <c r="BZ117" s="299">
        <v>0</v>
      </c>
      <c r="CA117" s="299">
        <v>248878.9</v>
      </c>
      <c r="CB117" s="299">
        <v>0</v>
      </c>
      <c r="CC117" s="299">
        <v>0</v>
      </c>
      <c r="CD117" s="299">
        <f t="shared" si="27"/>
        <v>248878.9</v>
      </c>
      <c r="CE117" s="299">
        <f t="shared" si="28"/>
        <v>-158887.79999999999</v>
      </c>
      <c r="CF117" s="299">
        <v>270988.52</v>
      </c>
      <c r="CG117" s="299">
        <f t="shared" si="29"/>
        <v>112100.72000000003</v>
      </c>
      <c r="CH117" s="299">
        <v>5346.0599999999995</v>
      </c>
      <c r="CI117" s="299">
        <v>106754.66</v>
      </c>
      <c r="CJ117" s="299">
        <f t="shared" si="30"/>
        <v>112100.72</v>
      </c>
    </row>
    <row r="118" spans="1:88" ht="13.8">
      <c r="A118" s="252" t="s">
        <v>1377</v>
      </c>
      <c r="B118" s="290">
        <v>1</v>
      </c>
      <c r="C118" s="290" t="s">
        <v>1375</v>
      </c>
      <c r="D118" s="248" t="s">
        <v>704</v>
      </c>
      <c r="E118" s="380" t="str">
        <f t="shared" si="31"/>
        <v>30EP1</v>
      </c>
      <c r="F118" s="299" t="e">
        <v>#N/A</v>
      </c>
      <c r="G118" s="299" t="e">
        <v>#N/A</v>
      </c>
      <c r="H118" s="299" t="e">
        <v>#N/A</v>
      </c>
      <c r="I118" s="299" t="e">
        <v>#N/A</v>
      </c>
      <c r="J118" s="299" t="e">
        <v>#N/A</v>
      </c>
      <c r="K118" s="299" t="e">
        <v>#N/A</v>
      </c>
      <c r="L118" s="299" t="e">
        <v>#N/A</v>
      </c>
      <c r="M118" s="299" t="e">
        <v>#N/A</v>
      </c>
      <c r="N118" s="299" t="e">
        <v>#N/A</v>
      </c>
      <c r="O118" s="299" t="e">
        <v>#N/A</v>
      </c>
      <c r="P118" s="299" t="e">
        <v>#N/A</v>
      </c>
      <c r="Q118" s="299" t="e">
        <v>#N/A</v>
      </c>
      <c r="R118" s="299" t="e">
        <v>#N/A</v>
      </c>
      <c r="S118" s="299" t="e">
        <v>#N/A</v>
      </c>
      <c r="T118" s="299" t="e">
        <v>#N/A</v>
      </c>
      <c r="U118" s="299" t="e">
        <v>#N/A</v>
      </c>
      <c r="V118" s="299" t="e">
        <v>#N/A</v>
      </c>
      <c r="W118" s="299" t="e">
        <v>#N/A</v>
      </c>
      <c r="X118" s="299" t="e">
        <v>#N/A</v>
      </c>
      <c r="Y118" s="299" t="e">
        <f t="shared" si="17"/>
        <v>#N/A</v>
      </c>
      <c r="Z118" s="299" t="e">
        <v>#N/A</v>
      </c>
      <c r="AA118" s="299" t="e">
        <v>#N/A</v>
      </c>
      <c r="AB118" s="299" t="e">
        <v>#N/A</v>
      </c>
      <c r="AC118" s="299" t="e">
        <v>#N/A</v>
      </c>
      <c r="AD118" s="299" t="e">
        <v>#N/A</v>
      </c>
      <c r="AE118" s="299" t="e">
        <v>#N/A</v>
      </c>
      <c r="AF118" s="299" t="e">
        <v>#N/A</v>
      </c>
      <c r="AG118" s="299" t="e">
        <v>#N/A</v>
      </c>
      <c r="AH118" s="299" t="e">
        <v>#N/A</v>
      </c>
      <c r="AI118" s="299" t="e">
        <v>#N/A</v>
      </c>
      <c r="AJ118" s="299" t="e">
        <v>#N/A</v>
      </c>
      <c r="AK118" s="299" t="e">
        <v>#N/A</v>
      </c>
      <c r="AL118" s="299" t="e">
        <v>#N/A</v>
      </c>
      <c r="AM118" s="299" t="e">
        <v>#N/A</v>
      </c>
      <c r="AN118" s="299" t="e">
        <v>#N/A</v>
      </c>
      <c r="AO118" s="299" t="e">
        <v>#N/A</v>
      </c>
      <c r="AP118" s="299" t="e">
        <v>#N/A</v>
      </c>
      <c r="AQ118" s="299" t="e">
        <v>#N/A</v>
      </c>
      <c r="AR118" s="299" t="e">
        <v>#N/A</v>
      </c>
      <c r="AS118" s="299" t="e">
        <v>#N/A</v>
      </c>
      <c r="AT118" s="299" t="e">
        <v>#N/A</v>
      </c>
      <c r="AU118" s="299" t="e">
        <v>#N/A</v>
      </c>
      <c r="AV118" s="299" t="e">
        <v>#N/A</v>
      </c>
      <c r="AW118" s="299" t="e">
        <v>#N/A</v>
      </c>
      <c r="AX118" s="299" t="e">
        <v>#N/A</v>
      </c>
      <c r="AY118" s="299" t="e">
        <v>#N/A</v>
      </c>
      <c r="AZ118" s="299" t="e">
        <v>#N/A</v>
      </c>
      <c r="BA118" s="299" t="e">
        <v>#N/A</v>
      </c>
      <c r="BB118" s="299" t="e">
        <v>#N/A</v>
      </c>
      <c r="BC118" s="299" t="e">
        <v>#N/A</v>
      </c>
      <c r="BD118" s="299" t="e">
        <v>#N/A</v>
      </c>
      <c r="BE118" s="299" t="e">
        <f t="shared" si="18"/>
        <v>#N/A</v>
      </c>
      <c r="BF118" s="299" t="e">
        <f t="shared" si="19"/>
        <v>#N/A</v>
      </c>
      <c r="BG118" s="299" t="e">
        <v>#N/A</v>
      </c>
      <c r="BH118" s="299" t="e">
        <f t="shared" si="20"/>
        <v>#N/A</v>
      </c>
      <c r="BI118" s="299" t="e">
        <v>#N/A</v>
      </c>
      <c r="BJ118" s="299" t="e">
        <v>#N/A</v>
      </c>
      <c r="BK118" s="299" t="e">
        <f t="shared" si="21"/>
        <v>#N/A</v>
      </c>
      <c r="BL118" s="299" t="e">
        <v>#N/A</v>
      </c>
      <c r="BM118" s="299" t="e">
        <v>#N/A</v>
      </c>
      <c r="BN118" s="299" t="e">
        <f t="shared" si="32"/>
        <v>#N/A</v>
      </c>
      <c r="BO118" s="299" t="e">
        <f t="shared" si="23"/>
        <v>#N/A</v>
      </c>
      <c r="BP118" s="299" t="e">
        <v>#N/A</v>
      </c>
      <c r="BQ118" s="299" t="e">
        <f t="shared" si="24"/>
        <v>#N/A</v>
      </c>
      <c r="BR118" s="299" t="e">
        <v>#N/A</v>
      </c>
      <c r="BS118" s="299" t="e">
        <v>#N/A</v>
      </c>
      <c r="BT118" s="299" t="e">
        <v>#N/A</v>
      </c>
      <c r="BU118" s="299" t="e">
        <f t="shared" si="25"/>
        <v>#N/A</v>
      </c>
      <c r="BV118" s="299" t="e">
        <v>#N/A</v>
      </c>
      <c r="BW118" s="299" t="e">
        <v>#N/A</v>
      </c>
      <c r="BX118" s="299" t="e">
        <v>#N/A</v>
      </c>
      <c r="BY118" s="299" t="e">
        <f t="shared" si="26"/>
        <v>#N/A</v>
      </c>
      <c r="BZ118" s="299" t="e">
        <v>#N/A</v>
      </c>
      <c r="CA118" s="299" t="e">
        <v>#N/A</v>
      </c>
      <c r="CB118" s="299" t="e">
        <v>#N/A</v>
      </c>
      <c r="CC118" s="299" t="e">
        <v>#N/A</v>
      </c>
      <c r="CD118" s="299" t="e">
        <f t="shared" si="27"/>
        <v>#N/A</v>
      </c>
      <c r="CE118" s="299" t="e">
        <f t="shared" si="28"/>
        <v>#N/A</v>
      </c>
      <c r="CF118" s="299" t="e">
        <v>#N/A</v>
      </c>
      <c r="CG118" s="299" t="e">
        <f t="shared" si="29"/>
        <v>#N/A</v>
      </c>
      <c r="CH118" s="299" t="e">
        <v>#N/A</v>
      </c>
      <c r="CI118" s="299" t="e">
        <v>#N/A</v>
      </c>
      <c r="CJ118" s="299" t="e">
        <f t="shared" si="30"/>
        <v>#N/A</v>
      </c>
    </row>
    <row r="119" spans="1:88" ht="13.8">
      <c r="A119" s="252" t="s">
        <v>1377</v>
      </c>
      <c r="B119" s="290">
        <v>2000</v>
      </c>
      <c r="C119" s="290" t="s">
        <v>817</v>
      </c>
      <c r="D119" s="248"/>
      <c r="E119" s="380"/>
      <c r="F119" s="299">
        <v>3589821.83</v>
      </c>
      <c r="G119" s="299">
        <v>0</v>
      </c>
      <c r="H119" s="299">
        <v>127626.38</v>
      </c>
      <c r="I119" s="299">
        <v>0</v>
      </c>
      <c r="J119" s="299">
        <v>312496</v>
      </c>
      <c r="K119" s="299">
        <v>136918.13999999998</v>
      </c>
      <c r="L119" s="299">
        <v>0</v>
      </c>
      <c r="M119" s="299">
        <v>67018.84</v>
      </c>
      <c r="N119" s="299">
        <v>262736.02</v>
      </c>
      <c r="O119" s="299">
        <v>55164.799999999996</v>
      </c>
      <c r="P119" s="299">
        <v>26338.67</v>
      </c>
      <c r="Q119" s="299">
        <v>10241.36</v>
      </c>
      <c r="R119" s="299">
        <v>49016.97</v>
      </c>
      <c r="S119" s="299">
        <v>16238.06</v>
      </c>
      <c r="T119" s="299">
        <v>0</v>
      </c>
      <c r="U119" s="299">
        <v>0</v>
      </c>
      <c r="V119" s="299">
        <v>0</v>
      </c>
      <c r="W119" s="299">
        <v>0</v>
      </c>
      <c r="X119" s="299">
        <v>0</v>
      </c>
      <c r="Y119" s="299">
        <f t="shared" si="17"/>
        <v>4653617.07</v>
      </c>
      <c r="Z119" s="299">
        <v>2123208.62</v>
      </c>
      <c r="AA119" s="299">
        <v>0</v>
      </c>
      <c r="AB119" s="299">
        <v>764263.98</v>
      </c>
      <c r="AC119" s="299">
        <v>107871.99</v>
      </c>
      <c r="AD119" s="299">
        <v>321061.48</v>
      </c>
      <c r="AE119" s="299">
        <v>0</v>
      </c>
      <c r="AF119" s="299">
        <v>128405.65000000001</v>
      </c>
      <c r="AG119" s="299">
        <v>22506.41</v>
      </c>
      <c r="AH119" s="299">
        <v>14224.5</v>
      </c>
      <c r="AI119" s="299">
        <v>15050</v>
      </c>
      <c r="AJ119" s="299">
        <v>3818.75</v>
      </c>
      <c r="AK119" s="299">
        <v>65225.79</v>
      </c>
      <c r="AL119" s="299">
        <v>11723.47</v>
      </c>
      <c r="AM119" s="299">
        <v>70757.56</v>
      </c>
      <c r="AN119" s="299">
        <v>18186.09</v>
      </c>
      <c r="AO119" s="299">
        <v>120225.85</v>
      </c>
      <c r="AP119" s="299">
        <v>24978.6</v>
      </c>
      <c r="AQ119" s="299">
        <v>15700.81</v>
      </c>
      <c r="AR119" s="299">
        <v>159713.38</v>
      </c>
      <c r="AS119" s="299">
        <v>74663.540000000008</v>
      </c>
      <c r="AT119" s="299">
        <v>0</v>
      </c>
      <c r="AU119" s="299">
        <v>21026.190000000002</v>
      </c>
      <c r="AV119" s="299">
        <v>18004.72</v>
      </c>
      <c r="AW119" s="299">
        <v>4457.1000000000004</v>
      </c>
      <c r="AX119" s="299">
        <v>186862.34</v>
      </c>
      <c r="AY119" s="299">
        <v>122415</v>
      </c>
      <c r="AZ119" s="299">
        <v>225560.22999999998</v>
      </c>
      <c r="BA119" s="299">
        <v>71888.569999999992</v>
      </c>
      <c r="BB119" s="299">
        <v>0</v>
      </c>
      <c r="BC119" s="299">
        <v>4419.21</v>
      </c>
      <c r="BD119" s="299">
        <v>12999.720000000001</v>
      </c>
      <c r="BE119" s="299">
        <f t="shared" si="18"/>
        <v>4729219.5500000007</v>
      </c>
      <c r="BF119" s="299">
        <f t="shared" si="19"/>
        <v>-75602.480000000447</v>
      </c>
      <c r="BG119" s="299">
        <v>237299.49000000005</v>
      </c>
      <c r="BH119" s="299">
        <f t="shared" si="20"/>
        <v>161697.0099999996</v>
      </c>
      <c r="BI119" s="299">
        <v>79503.73</v>
      </c>
      <c r="BJ119" s="299">
        <v>55957.21</v>
      </c>
      <c r="BK119" s="299">
        <f t="shared" si="21"/>
        <v>135460.94</v>
      </c>
      <c r="BL119" s="299">
        <v>46834.01</v>
      </c>
      <c r="BM119" s="299">
        <v>133753.43</v>
      </c>
      <c r="BN119" s="299">
        <f t="shared" si="32"/>
        <v>180587.44</v>
      </c>
      <c r="BO119" s="299">
        <f t="shared" si="23"/>
        <v>-45126.5</v>
      </c>
      <c r="BP119" s="299">
        <v>99920.549999999988</v>
      </c>
      <c r="BQ119" s="299">
        <f t="shared" si="24"/>
        <v>54794.049999999988</v>
      </c>
      <c r="BR119" s="299">
        <v>0</v>
      </c>
      <c r="BS119" s="299">
        <v>161697.0099999996</v>
      </c>
      <c r="BT119" s="299">
        <v>54794.049999999988</v>
      </c>
      <c r="BU119" s="299">
        <f t="shared" si="25"/>
        <v>216491.05999999959</v>
      </c>
      <c r="BV119" s="299">
        <v>15463.25</v>
      </c>
      <c r="BW119" s="299">
        <v>0</v>
      </c>
      <c r="BX119" s="299">
        <v>0</v>
      </c>
      <c r="BY119" s="299">
        <f t="shared" si="26"/>
        <v>15463.25</v>
      </c>
      <c r="BZ119" s="299">
        <v>0</v>
      </c>
      <c r="CA119" s="299">
        <v>0</v>
      </c>
      <c r="CB119" s="299">
        <v>0</v>
      </c>
      <c r="CC119" s="299">
        <v>5983.75</v>
      </c>
      <c r="CD119" s="299">
        <f t="shared" si="27"/>
        <v>5983.75</v>
      </c>
      <c r="CE119" s="299">
        <f t="shared" si="28"/>
        <v>9479.5</v>
      </c>
      <c r="CF119" s="299">
        <v>7010.6799999999985</v>
      </c>
      <c r="CG119" s="299">
        <f t="shared" si="29"/>
        <v>16490.18</v>
      </c>
      <c r="CH119" s="299">
        <v>16490.18</v>
      </c>
      <c r="CI119" s="299">
        <v>0</v>
      </c>
      <c r="CJ119" s="299">
        <f t="shared" si="30"/>
        <v>16490.18</v>
      </c>
    </row>
    <row r="120" spans="1:88" ht="13.8">
      <c r="A120" s="252" t="s">
        <v>1377</v>
      </c>
      <c r="B120" s="288">
        <v>2048</v>
      </c>
      <c r="C120" s="288" t="s">
        <v>818</v>
      </c>
      <c r="D120" s="248" t="s">
        <v>704</v>
      </c>
      <c r="E120" s="380" t="str">
        <f t="shared" si="31"/>
        <v>30EP2048</v>
      </c>
      <c r="F120" s="299">
        <v>2773903.95</v>
      </c>
      <c r="G120" s="299">
        <v>0</v>
      </c>
      <c r="H120" s="299">
        <v>91822.71</v>
      </c>
      <c r="I120" s="299">
        <v>3591</v>
      </c>
      <c r="J120" s="299">
        <v>177485</v>
      </c>
      <c r="K120" s="299">
        <v>112893.5</v>
      </c>
      <c r="L120" s="299">
        <v>0</v>
      </c>
      <c r="M120" s="299">
        <v>34830.57</v>
      </c>
      <c r="N120" s="299">
        <v>15551.8</v>
      </c>
      <c r="O120" s="299">
        <v>51122.64</v>
      </c>
      <c r="P120" s="299">
        <v>11325.48</v>
      </c>
      <c r="Q120" s="299">
        <v>1358.83</v>
      </c>
      <c r="R120" s="299">
        <v>30739.4</v>
      </c>
      <c r="S120" s="299">
        <v>5873.53</v>
      </c>
      <c r="T120" s="299">
        <v>0</v>
      </c>
      <c r="U120" s="299">
        <v>0</v>
      </c>
      <c r="V120" s="299">
        <v>0</v>
      </c>
      <c r="W120" s="299">
        <v>0</v>
      </c>
      <c r="X120" s="299">
        <v>0</v>
      </c>
      <c r="Y120" s="299">
        <f t="shared" si="17"/>
        <v>3310498.4099999997</v>
      </c>
      <c r="Z120" s="299">
        <v>1470094.88</v>
      </c>
      <c r="AA120" s="299">
        <v>25331.11</v>
      </c>
      <c r="AB120" s="299">
        <v>657221.23</v>
      </c>
      <c r="AC120" s="299">
        <v>83281.100000000006</v>
      </c>
      <c r="AD120" s="299">
        <v>166795.94</v>
      </c>
      <c r="AE120" s="299">
        <v>0</v>
      </c>
      <c r="AF120" s="299">
        <v>66133.53</v>
      </c>
      <c r="AG120" s="299">
        <v>11175.89</v>
      </c>
      <c r="AH120" s="299">
        <v>9695.6</v>
      </c>
      <c r="AI120" s="299">
        <v>13125</v>
      </c>
      <c r="AJ120" s="299">
        <v>1290</v>
      </c>
      <c r="AK120" s="299">
        <v>32443.63</v>
      </c>
      <c r="AL120" s="299">
        <v>8908.6</v>
      </c>
      <c r="AM120" s="299">
        <v>57465.95</v>
      </c>
      <c r="AN120" s="299">
        <v>6869.89</v>
      </c>
      <c r="AO120" s="299">
        <v>40632.07</v>
      </c>
      <c r="AP120" s="299">
        <v>105450</v>
      </c>
      <c r="AQ120" s="299">
        <v>20164.3</v>
      </c>
      <c r="AR120" s="299">
        <v>85180.53</v>
      </c>
      <c r="AS120" s="299">
        <v>65398.61</v>
      </c>
      <c r="AT120" s="299">
        <v>0</v>
      </c>
      <c r="AU120" s="299">
        <v>15448.55</v>
      </c>
      <c r="AV120" s="299">
        <v>15070.3</v>
      </c>
      <c r="AW120" s="299">
        <v>936.95</v>
      </c>
      <c r="AX120" s="299">
        <v>162333.01999999999</v>
      </c>
      <c r="AY120" s="299">
        <v>116017.55</v>
      </c>
      <c r="AZ120" s="299">
        <v>47771.79</v>
      </c>
      <c r="BA120" s="299">
        <v>24245.08</v>
      </c>
      <c r="BB120" s="299">
        <v>0</v>
      </c>
      <c r="BC120" s="299">
        <v>0</v>
      </c>
      <c r="BD120" s="299">
        <v>0</v>
      </c>
      <c r="BE120" s="299">
        <f t="shared" si="18"/>
        <v>3308481.0999999992</v>
      </c>
      <c r="BF120" s="299">
        <f t="shared" si="19"/>
        <v>2017.3100000005215</v>
      </c>
      <c r="BG120" s="299">
        <v>49325.530000000916</v>
      </c>
      <c r="BH120" s="299">
        <f t="shared" si="20"/>
        <v>51342.840000001437</v>
      </c>
      <c r="BI120" s="299">
        <v>0</v>
      </c>
      <c r="BJ120" s="299">
        <v>0</v>
      </c>
      <c r="BK120" s="299">
        <f t="shared" si="21"/>
        <v>0</v>
      </c>
      <c r="BL120" s="299">
        <v>0</v>
      </c>
      <c r="BM120" s="299">
        <v>0</v>
      </c>
      <c r="BN120" s="299">
        <f t="shared" si="32"/>
        <v>0</v>
      </c>
      <c r="BO120" s="299">
        <f t="shared" si="23"/>
        <v>0</v>
      </c>
      <c r="BP120" s="299">
        <v>0</v>
      </c>
      <c r="BQ120" s="299">
        <f t="shared" si="24"/>
        <v>0</v>
      </c>
      <c r="BR120" s="299">
        <v>2217</v>
      </c>
      <c r="BS120" s="299">
        <v>49125.840000000971</v>
      </c>
      <c r="BT120" s="299">
        <v>0</v>
      </c>
      <c r="BU120" s="299">
        <f t="shared" si="25"/>
        <v>51342.840000001437</v>
      </c>
      <c r="BV120" s="299">
        <v>9805</v>
      </c>
      <c r="BW120" s="299">
        <v>0</v>
      </c>
      <c r="BX120" s="299">
        <v>0</v>
      </c>
      <c r="BY120" s="299">
        <f t="shared" si="26"/>
        <v>9805</v>
      </c>
      <c r="BZ120" s="299">
        <v>0</v>
      </c>
      <c r="CA120" s="299">
        <v>8668.56</v>
      </c>
      <c r="CB120" s="299">
        <v>0</v>
      </c>
      <c r="CC120" s="299">
        <v>0</v>
      </c>
      <c r="CD120" s="299">
        <f t="shared" si="27"/>
        <v>8668.56</v>
      </c>
      <c r="CE120" s="299">
        <f t="shared" si="28"/>
        <v>1136.4400000000005</v>
      </c>
      <c r="CF120" s="299">
        <v>1604.5400000000002</v>
      </c>
      <c r="CG120" s="299">
        <f t="shared" si="29"/>
        <v>2740.9800000000005</v>
      </c>
      <c r="CH120" s="299">
        <v>2740.9799999999987</v>
      </c>
      <c r="CI120" s="299">
        <v>0</v>
      </c>
      <c r="CJ120" s="299">
        <f t="shared" si="30"/>
        <v>2740.9799999999987</v>
      </c>
    </row>
    <row r="121" spans="1:88" ht="13.8">
      <c r="A121" s="252" t="s">
        <v>1377</v>
      </c>
      <c r="B121" s="288">
        <v>2232</v>
      </c>
      <c r="C121" s="288" t="s">
        <v>819</v>
      </c>
      <c r="D121" s="248" t="s">
        <v>704</v>
      </c>
      <c r="E121" s="380" t="str">
        <f t="shared" si="31"/>
        <v>30EP2232</v>
      </c>
      <c r="F121" s="299">
        <v>1262876.29</v>
      </c>
      <c r="G121" s="299">
        <v>0</v>
      </c>
      <c r="H121" s="299">
        <v>110008.7</v>
      </c>
      <c r="I121" s="299">
        <v>0</v>
      </c>
      <c r="J121" s="299">
        <v>83675</v>
      </c>
      <c r="K121" s="299">
        <v>17595.8</v>
      </c>
      <c r="L121" s="299">
        <v>0</v>
      </c>
      <c r="M121" s="299">
        <v>24978.87</v>
      </c>
      <c r="N121" s="299">
        <v>25181.439999999999</v>
      </c>
      <c r="O121" s="299">
        <v>53897.7</v>
      </c>
      <c r="P121" s="299">
        <v>0</v>
      </c>
      <c r="Q121" s="299">
        <v>3156.4</v>
      </c>
      <c r="R121" s="299">
        <v>33068.5</v>
      </c>
      <c r="S121" s="299">
        <v>2287.13</v>
      </c>
      <c r="T121" s="299">
        <v>0</v>
      </c>
      <c r="U121" s="299">
        <v>0</v>
      </c>
      <c r="V121" s="299">
        <v>0</v>
      </c>
      <c r="W121" s="299">
        <v>0</v>
      </c>
      <c r="X121" s="299">
        <v>0</v>
      </c>
      <c r="Y121" s="299">
        <f t="shared" si="17"/>
        <v>1616725.8299999998</v>
      </c>
      <c r="Z121" s="299">
        <v>877608.99</v>
      </c>
      <c r="AA121" s="299">
        <v>17923</v>
      </c>
      <c r="AB121" s="299">
        <v>267241.01</v>
      </c>
      <c r="AC121" s="299">
        <v>44555</v>
      </c>
      <c r="AD121" s="299">
        <v>67699.14</v>
      </c>
      <c r="AE121" s="299">
        <v>55273.04</v>
      </c>
      <c r="AF121" s="299">
        <v>36069.870000000003</v>
      </c>
      <c r="AG121" s="299">
        <v>7871.5</v>
      </c>
      <c r="AH121" s="299">
        <v>6950.13</v>
      </c>
      <c r="AI121" s="299">
        <v>5775</v>
      </c>
      <c r="AJ121" s="299">
        <v>1712.5</v>
      </c>
      <c r="AK121" s="299">
        <v>8735.65</v>
      </c>
      <c r="AL121" s="299">
        <v>4140</v>
      </c>
      <c r="AM121" s="299">
        <v>607.49</v>
      </c>
      <c r="AN121" s="299">
        <v>1969</v>
      </c>
      <c r="AO121" s="299">
        <v>22723.919999999998</v>
      </c>
      <c r="AP121" s="299">
        <v>23078.75</v>
      </c>
      <c r="AQ121" s="299">
        <v>6663.19</v>
      </c>
      <c r="AR121" s="299">
        <v>56826.86</v>
      </c>
      <c r="AS121" s="299">
        <v>24791.599999999999</v>
      </c>
      <c r="AT121" s="299">
        <v>0</v>
      </c>
      <c r="AU121" s="299">
        <v>7865.42</v>
      </c>
      <c r="AV121" s="299">
        <v>6565.92</v>
      </c>
      <c r="AW121" s="299">
        <v>0</v>
      </c>
      <c r="AX121" s="299">
        <v>33919.65</v>
      </c>
      <c r="AY121" s="299">
        <v>0</v>
      </c>
      <c r="AZ121" s="299">
        <v>0</v>
      </c>
      <c r="BA121" s="299">
        <v>10657.16</v>
      </c>
      <c r="BB121" s="299">
        <v>0</v>
      </c>
      <c r="BC121" s="299">
        <v>471.3</v>
      </c>
      <c r="BD121" s="299">
        <v>3282.48</v>
      </c>
      <c r="BE121" s="299">
        <f t="shared" si="18"/>
        <v>1600977.5699999996</v>
      </c>
      <c r="BF121" s="299">
        <f t="shared" si="19"/>
        <v>15748.260000000242</v>
      </c>
      <c r="BG121" s="299">
        <v>-12795.26000000026</v>
      </c>
      <c r="BH121" s="299">
        <f t="shared" si="20"/>
        <v>2952.9999999999818</v>
      </c>
      <c r="BI121" s="299">
        <v>0</v>
      </c>
      <c r="BJ121" s="299">
        <v>0</v>
      </c>
      <c r="BK121" s="299">
        <f t="shared" si="21"/>
        <v>0</v>
      </c>
      <c r="BL121" s="299">
        <v>0</v>
      </c>
      <c r="BM121" s="299">
        <v>0</v>
      </c>
      <c r="BN121" s="299">
        <f t="shared" si="32"/>
        <v>0</v>
      </c>
      <c r="BO121" s="299">
        <f t="shared" si="23"/>
        <v>0</v>
      </c>
      <c r="BP121" s="299">
        <v>0</v>
      </c>
      <c r="BQ121" s="299">
        <f t="shared" si="24"/>
        <v>0</v>
      </c>
      <c r="BR121" s="299">
        <v>0</v>
      </c>
      <c r="BS121" s="299">
        <v>2953.0000000002146</v>
      </c>
      <c r="BT121" s="299">
        <v>0</v>
      </c>
      <c r="BU121" s="299">
        <f t="shared" si="25"/>
        <v>2952.9999999999818</v>
      </c>
      <c r="BV121" s="299">
        <v>6857.5</v>
      </c>
      <c r="BW121" s="299">
        <v>10995</v>
      </c>
      <c r="BX121" s="299">
        <v>0</v>
      </c>
      <c r="BY121" s="299">
        <f t="shared" si="26"/>
        <v>17852.5</v>
      </c>
      <c r="BZ121" s="299">
        <v>0</v>
      </c>
      <c r="CA121" s="299">
        <v>17458.3</v>
      </c>
      <c r="CB121" s="299">
        <v>0</v>
      </c>
      <c r="CC121" s="299">
        <v>1876</v>
      </c>
      <c r="CD121" s="299">
        <f t="shared" si="27"/>
        <v>19334.3</v>
      </c>
      <c r="CE121" s="299">
        <f t="shared" si="28"/>
        <v>-1481.7999999999993</v>
      </c>
      <c r="CF121" s="299">
        <v>16774.379999999997</v>
      </c>
      <c r="CG121" s="299">
        <f t="shared" si="29"/>
        <v>15292.579999999998</v>
      </c>
      <c r="CH121" s="299">
        <v>4971.6399999999994</v>
      </c>
      <c r="CI121" s="299">
        <v>10320.94</v>
      </c>
      <c r="CJ121" s="299">
        <f t="shared" si="30"/>
        <v>15292.58</v>
      </c>
    </row>
    <row r="122" spans="1:88" ht="13.8">
      <c r="A122" s="252" t="s">
        <v>1377</v>
      </c>
      <c r="B122" s="290">
        <v>3392</v>
      </c>
      <c r="C122" s="290" t="s">
        <v>820</v>
      </c>
      <c r="D122" s="248" t="s">
        <v>704</v>
      </c>
      <c r="E122" s="380" t="str">
        <f t="shared" si="31"/>
        <v>30EP3392</v>
      </c>
      <c r="F122" s="299">
        <v>1548126.17</v>
      </c>
      <c r="G122" s="299">
        <v>0</v>
      </c>
      <c r="H122" s="299">
        <v>58905.16</v>
      </c>
      <c r="I122" s="299">
        <v>0</v>
      </c>
      <c r="J122" s="299">
        <v>73420</v>
      </c>
      <c r="K122" s="299">
        <v>67866</v>
      </c>
      <c r="L122" s="299">
        <v>0</v>
      </c>
      <c r="M122" s="299">
        <v>27565</v>
      </c>
      <c r="N122" s="299">
        <v>88334.64</v>
      </c>
      <c r="O122" s="299">
        <v>45846.65</v>
      </c>
      <c r="P122" s="299">
        <v>2250</v>
      </c>
      <c r="Q122" s="299">
        <v>0</v>
      </c>
      <c r="R122" s="299">
        <v>14446.38</v>
      </c>
      <c r="S122" s="299">
        <v>1464.77</v>
      </c>
      <c r="T122" s="299">
        <v>0</v>
      </c>
      <c r="U122" s="299">
        <v>0</v>
      </c>
      <c r="V122" s="299">
        <v>0</v>
      </c>
      <c r="W122" s="299">
        <v>0</v>
      </c>
      <c r="X122" s="299">
        <v>0</v>
      </c>
      <c r="Y122" s="299">
        <f t="shared" si="17"/>
        <v>1928224.7699999996</v>
      </c>
      <c r="Z122" s="299">
        <v>992673.48</v>
      </c>
      <c r="AA122" s="299">
        <v>7390</v>
      </c>
      <c r="AB122" s="299">
        <v>362369.41</v>
      </c>
      <c r="AC122" s="299">
        <v>78673.009999999995</v>
      </c>
      <c r="AD122" s="299">
        <v>103207.9</v>
      </c>
      <c r="AE122" s="299">
        <v>61268.08</v>
      </c>
      <c r="AF122" s="299">
        <v>84329.68</v>
      </c>
      <c r="AG122" s="299">
        <v>773.16</v>
      </c>
      <c r="AH122" s="299">
        <v>6432.5</v>
      </c>
      <c r="AI122" s="299">
        <v>7360.68</v>
      </c>
      <c r="AJ122" s="299">
        <v>0</v>
      </c>
      <c r="AK122" s="299">
        <v>17258.86</v>
      </c>
      <c r="AL122" s="299">
        <v>4103</v>
      </c>
      <c r="AM122" s="299">
        <v>7850.62</v>
      </c>
      <c r="AN122" s="299">
        <v>24425.67</v>
      </c>
      <c r="AO122" s="299">
        <v>36963.83</v>
      </c>
      <c r="AP122" s="299">
        <v>7992</v>
      </c>
      <c r="AQ122" s="299">
        <v>30155.06</v>
      </c>
      <c r="AR122" s="299">
        <v>98600.8</v>
      </c>
      <c r="AS122" s="299">
        <v>29316.68</v>
      </c>
      <c r="AT122" s="299">
        <v>0</v>
      </c>
      <c r="AU122" s="299">
        <v>13570.21</v>
      </c>
      <c r="AV122" s="299">
        <v>7693.11</v>
      </c>
      <c r="AW122" s="299">
        <v>242.9</v>
      </c>
      <c r="AX122" s="299">
        <v>35363.81</v>
      </c>
      <c r="AY122" s="299">
        <v>14579.62</v>
      </c>
      <c r="AZ122" s="299">
        <v>0</v>
      </c>
      <c r="BA122" s="299">
        <v>15698.87</v>
      </c>
      <c r="BB122" s="299">
        <v>0</v>
      </c>
      <c r="BC122" s="299">
        <v>0</v>
      </c>
      <c r="BD122" s="299">
        <v>0</v>
      </c>
      <c r="BE122" s="299">
        <f t="shared" si="18"/>
        <v>2048292.9400000002</v>
      </c>
      <c r="BF122" s="299">
        <f t="shared" si="19"/>
        <v>-120068.17000000062</v>
      </c>
      <c r="BG122" s="299">
        <v>-96620.040000000998</v>
      </c>
      <c r="BH122" s="299">
        <f t="shared" si="20"/>
        <v>-216688.21000000162</v>
      </c>
      <c r="BI122" s="299">
        <v>116531.97</v>
      </c>
      <c r="BJ122" s="299">
        <v>12582.5</v>
      </c>
      <c r="BK122" s="299">
        <f t="shared" si="21"/>
        <v>129114.47</v>
      </c>
      <c r="BL122" s="299">
        <v>108625.26</v>
      </c>
      <c r="BM122" s="299">
        <v>10110.56</v>
      </c>
      <c r="BN122" s="299">
        <f t="shared" si="32"/>
        <v>118735.81999999999</v>
      </c>
      <c r="BO122" s="299">
        <f t="shared" si="23"/>
        <v>10378.650000000009</v>
      </c>
      <c r="BP122" s="299">
        <v>20635.46</v>
      </c>
      <c r="BQ122" s="299">
        <f t="shared" si="24"/>
        <v>31014.110000000008</v>
      </c>
      <c r="BR122" s="299">
        <v>21750.06</v>
      </c>
      <c r="BS122" s="299">
        <v>-241285.44000000134</v>
      </c>
      <c r="BT122" s="299">
        <v>33861.280000000013</v>
      </c>
      <c r="BU122" s="299">
        <f t="shared" si="25"/>
        <v>-185674.10000000161</v>
      </c>
      <c r="BV122" s="299">
        <v>7465</v>
      </c>
      <c r="BW122" s="299">
        <v>0</v>
      </c>
      <c r="BX122" s="299">
        <v>0</v>
      </c>
      <c r="BY122" s="299">
        <f t="shared" si="26"/>
        <v>7465</v>
      </c>
      <c r="BZ122" s="299">
        <v>0</v>
      </c>
      <c r="CA122" s="299">
        <v>3578</v>
      </c>
      <c r="CB122" s="299">
        <v>0</v>
      </c>
      <c r="CC122" s="299">
        <v>0</v>
      </c>
      <c r="CD122" s="299">
        <f t="shared" si="27"/>
        <v>3578</v>
      </c>
      <c r="CE122" s="299">
        <f t="shared" si="28"/>
        <v>3887</v>
      </c>
      <c r="CF122" s="299">
        <v>16102.400000000001</v>
      </c>
      <c r="CG122" s="299">
        <f t="shared" si="29"/>
        <v>19989.400000000001</v>
      </c>
      <c r="CH122" s="299">
        <v>19989.400000000001</v>
      </c>
      <c r="CI122" s="299">
        <v>0</v>
      </c>
      <c r="CJ122" s="299">
        <f t="shared" si="30"/>
        <v>19989.400000000001</v>
      </c>
    </row>
    <row r="123" spans="1:88" ht="13.8">
      <c r="A123" s="252" t="s">
        <v>1377</v>
      </c>
      <c r="B123" s="288">
        <v>3054</v>
      </c>
      <c r="C123" s="288" t="s">
        <v>821</v>
      </c>
      <c r="D123" s="248" t="s">
        <v>704</v>
      </c>
      <c r="E123" s="380" t="str">
        <f t="shared" si="31"/>
        <v>30EP3054</v>
      </c>
      <c r="F123" s="299">
        <v>721060.06</v>
      </c>
      <c r="G123" s="299">
        <v>0</v>
      </c>
      <c r="H123" s="299">
        <v>48899.66</v>
      </c>
      <c r="I123" s="299">
        <v>0</v>
      </c>
      <c r="J123" s="299">
        <v>40905</v>
      </c>
      <c r="K123" s="299">
        <v>32809.93</v>
      </c>
      <c r="L123" s="299">
        <v>18541.439999999999</v>
      </c>
      <c r="M123" s="299">
        <v>2200</v>
      </c>
      <c r="N123" s="299">
        <v>29840.89</v>
      </c>
      <c r="O123" s="299">
        <v>12654.89</v>
      </c>
      <c r="P123" s="299">
        <v>101.2</v>
      </c>
      <c r="Q123" s="299">
        <v>748.8</v>
      </c>
      <c r="R123" s="299">
        <v>6898</v>
      </c>
      <c r="S123" s="299">
        <v>0</v>
      </c>
      <c r="T123" s="299">
        <v>0</v>
      </c>
      <c r="U123" s="299">
        <v>0</v>
      </c>
      <c r="V123" s="299">
        <v>0</v>
      </c>
      <c r="W123" s="299">
        <v>0</v>
      </c>
      <c r="X123" s="299">
        <v>0</v>
      </c>
      <c r="Y123" s="299">
        <f t="shared" si="17"/>
        <v>914659.87000000011</v>
      </c>
      <c r="Z123" s="299">
        <v>437313</v>
      </c>
      <c r="AA123" s="299">
        <v>8477.9</v>
      </c>
      <c r="AB123" s="299">
        <v>201663.22</v>
      </c>
      <c r="AC123" s="299">
        <v>27376.58</v>
      </c>
      <c r="AD123" s="299">
        <v>44053.43</v>
      </c>
      <c r="AE123" s="299">
        <v>28487.06</v>
      </c>
      <c r="AF123" s="299">
        <v>5230.59</v>
      </c>
      <c r="AG123" s="299">
        <v>6567.22</v>
      </c>
      <c r="AH123" s="299">
        <v>2961.6</v>
      </c>
      <c r="AI123" s="299">
        <v>2575</v>
      </c>
      <c r="AJ123" s="299">
        <v>913.75</v>
      </c>
      <c r="AK123" s="299">
        <v>8219.8700000000008</v>
      </c>
      <c r="AL123" s="299">
        <v>3000</v>
      </c>
      <c r="AM123" s="299">
        <v>2407.4</v>
      </c>
      <c r="AN123" s="299">
        <v>2561.85</v>
      </c>
      <c r="AO123" s="299">
        <v>12156.1</v>
      </c>
      <c r="AP123" s="299">
        <v>12849.25</v>
      </c>
      <c r="AQ123" s="299">
        <v>2739.58</v>
      </c>
      <c r="AR123" s="299">
        <v>31529.77</v>
      </c>
      <c r="AS123" s="299">
        <v>18927.629999999997</v>
      </c>
      <c r="AT123" s="299">
        <v>0</v>
      </c>
      <c r="AU123" s="299">
        <v>4101.2700000000004</v>
      </c>
      <c r="AV123" s="299">
        <v>3078.36</v>
      </c>
      <c r="AW123" s="299">
        <v>340.5</v>
      </c>
      <c r="AX123" s="299">
        <v>15615.35</v>
      </c>
      <c r="AY123" s="299">
        <v>2870.64</v>
      </c>
      <c r="AZ123" s="299">
        <v>420</v>
      </c>
      <c r="BA123" s="299">
        <v>12890.02</v>
      </c>
      <c r="BB123" s="299">
        <v>0</v>
      </c>
      <c r="BC123" s="299">
        <v>0</v>
      </c>
      <c r="BD123" s="299">
        <v>0</v>
      </c>
      <c r="BE123" s="299">
        <f t="shared" si="18"/>
        <v>899326.94</v>
      </c>
      <c r="BF123" s="299">
        <f t="shared" si="19"/>
        <v>15332.930000000168</v>
      </c>
      <c r="BG123" s="299">
        <v>23693.979999999974</v>
      </c>
      <c r="BH123" s="299">
        <f t="shared" si="20"/>
        <v>39026.910000000142</v>
      </c>
      <c r="BI123" s="299">
        <v>0</v>
      </c>
      <c r="BJ123" s="299">
        <v>0</v>
      </c>
      <c r="BK123" s="299">
        <f t="shared" si="21"/>
        <v>0</v>
      </c>
      <c r="BL123" s="299">
        <v>0</v>
      </c>
      <c r="BM123" s="299">
        <v>0</v>
      </c>
      <c r="BN123" s="299">
        <f t="shared" si="32"/>
        <v>0</v>
      </c>
      <c r="BO123" s="299">
        <f t="shared" si="23"/>
        <v>0</v>
      </c>
      <c r="BP123" s="299">
        <v>0</v>
      </c>
      <c r="BQ123" s="299">
        <f t="shared" si="24"/>
        <v>0</v>
      </c>
      <c r="BR123" s="299">
        <v>5636</v>
      </c>
      <c r="BS123" s="299">
        <v>33390.910000000142</v>
      </c>
      <c r="BT123" s="299">
        <v>0</v>
      </c>
      <c r="BU123" s="299">
        <f t="shared" si="25"/>
        <v>39026.910000000142</v>
      </c>
      <c r="BV123" s="299">
        <v>5243.13</v>
      </c>
      <c r="BW123" s="299">
        <v>0</v>
      </c>
      <c r="BX123" s="299">
        <v>0</v>
      </c>
      <c r="BY123" s="299">
        <f t="shared" si="26"/>
        <v>5243.13</v>
      </c>
      <c r="BZ123" s="299">
        <v>0</v>
      </c>
      <c r="CA123" s="299">
        <v>10558.43</v>
      </c>
      <c r="CB123" s="299">
        <v>0</v>
      </c>
      <c r="CC123" s="299">
        <v>2553.6999999999998</v>
      </c>
      <c r="CD123" s="299">
        <f t="shared" si="27"/>
        <v>13112.130000000001</v>
      </c>
      <c r="CE123" s="299">
        <f t="shared" si="28"/>
        <v>-7869.0000000000009</v>
      </c>
      <c r="CF123" s="299">
        <v>8283.91</v>
      </c>
      <c r="CG123" s="299">
        <f t="shared" si="29"/>
        <v>414.90999999999894</v>
      </c>
      <c r="CH123" s="299">
        <v>414.90999999999894</v>
      </c>
      <c r="CI123" s="299">
        <v>0</v>
      </c>
      <c r="CJ123" s="299">
        <f t="shared" si="30"/>
        <v>414.90999999999894</v>
      </c>
    </row>
    <row r="124" spans="1:88" ht="13.8">
      <c r="A124" s="252" t="s">
        <v>1377</v>
      </c>
      <c r="B124" s="288">
        <v>3032</v>
      </c>
      <c r="C124" s="288" t="s">
        <v>822</v>
      </c>
      <c r="D124" s="248" t="s">
        <v>704</v>
      </c>
      <c r="E124" s="380" t="str">
        <f t="shared" si="31"/>
        <v>30EP3032</v>
      </c>
      <c r="F124" s="299">
        <v>1006083.25</v>
      </c>
      <c r="G124" s="299">
        <v>0</v>
      </c>
      <c r="H124" s="299">
        <v>61047.8</v>
      </c>
      <c r="I124" s="299">
        <v>0</v>
      </c>
      <c r="J124" s="299">
        <v>43935</v>
      </c>
      <c r="K124" s="299">
        <v>52883.6</v>
      </c>
      <c r="L124" s="299">
        <v>0</v>
      </c>
      <c r="M124" s="299">
        <v>13849.1</v>
      </c>
      <c r="N124" s="299">
        <v>4704.8900000000003</v>
      </c>
      <c r="O124" s="299">
        <v>25727.3</v>
      </c>
      <c r="P124" s="299">
        <v>3956</v>
      </c>
      <c r="Q124" s="299">
        <v>141</v>
      </c>
      <c r="R124" s="299">
        <v>20630.95</v>
      </c>
      <c r="S124" s="299">
        <v>36721.550000000003</v>
      </c>
      <c r="T124" s="299">
        <v>0</v>
      </c>
      <c r="U124" s="299">
        <v>0</v>
      </c>
      <c r="V124" s="299">
        <v>0</v>
      </c>
      <c r="W124" s="299">
        <v>0</v>
      </c>
      <c r="X124" s="299">
        <v>0</v>
      </c>
      <c r="Y124" s="299">
        <f t="shared" si="17"/>
        <v>1269680.4400000002</v>
      </c>
      <c r="Z124" s="299">
        <v>645803.82999999996</v>
      </c>
      <c r="AA124" s="299">
        <v>11420.81</v>
      </c>
      <c r="AB124" s="299">
        <v>258253.77</v>
      </c>
      <c r="AC124" s="299">
        <v>33115.279999999999</v>
      </c>
      <c r="AD124" s="299">
        <v>48783.76</v>
      </c>
      <c r="AE124" s="299">
        <v>0</v>
      </c>
      <c r="AF124" s="299">
        <v>10405.99</v>
      </c>
      <c r="AG124" s="299">
        <v>4076.15</v>
      </c>
      <c r="AH124" s="299">
        <v>5609.99</v>
      </c>
      <c r="AI124" s="299">
        <v>4600</v>
      </c>
      <c r="AJ124" s="299">
        <v>656.25</v>
      </c>
      <c r="AK124" s="299">
        <v>6101.77</v>
      </c>
      <c r="AL124" s="299">
        <v>3570.36</v>
      </c>
      <c r="AM124" s="299">
        <v>3197</v>
      </c>
      <c r="AN124" s="299">
        <v>4987.59</v>
      </c>
      <c r="AO124" s="299">
        <v>21682.080000000002</v>
      </c>
      <c r="AP124" s="299">
        <v>22205.5</v>
      </c>
      <c r="AQ124" s="299">
        <v>3892.82</v>
      </c>
      <c r="AR124" s="299">
        <v>63701.22</v>
      </c>
      <c r="AS124" s="299">
        <v>12918.84</v>
      </c>
      <c r="AT124" s="299">
        <v>0</v>
      </c>
      <c r="AU124" s="299">
        <v>12915.36</v>
      </c>
      <c r="AV124" s="299">
        <v>5360.01</v>
      </c>
      <c r="AW124" s="299">
        <v>2121.65</v>
      </c>
      <c r="AX124" s="299">
        <v>74743.429999999993</v>
      </c>
      <c r="AY124" s="299">
        <v>431.48</v>
      </c>
      <c r="AZ124" s="299">
        <v>0</v>
      </c>
      <c r="BA124" s="299">
        <v>15107.4</v>
      </c>
      <c r="BB124" s="299">
        <v>0</v>
      </c>
      <c r="BC124" s="299">
        <v>0</v>
      </c>
      <c r="BD124" s="299">
        <v>0</v>
      </c>
      <c r="BE124" s="299">
        <f t="shared" si="18"/>
        <v>1275662.3400000001</v>
      </c>
      <c r="BF124" s="299">
        <f t="shared" si="19"/>
        <v>-5981.8999999999069</v>
      </c>
      <c r="BG124" s="299">
        <v>85516.689999999988</v>
      </c>
      <c r="BH124" s="299">
        <f t="shared" si="20"/>
        <v>79534.790000000081</v>
      </c>
      <c r="BI124" s="299">
        <v>0</v>
      </c>
      <c r="BJ124" s="299">
        <v>0</v>
      </c>
      <c r="BK124" s="299">
        <f t="shared" si="21"/>
        <v>0</v>
      </c>
      <c r="BL124" s="299">
        <v>0</v>
      </c>
      <c r="BM124" s="299">
        <v>0</v>
      </c>
      <c r="BN124" s="299">
        <f t="shared" si="32"/>
        <v>0</v>
      </c>
      <c r="BO124" s="299">
        <f t="shared" si="23"/>
        <v>0</v>
      </c>
      <c r="BP124" s="299">
        <v>0</v>
      </c>
      <c r="BQ124" s="299">
        <f t="shared" si="24"/>
        <v>0</v>
      </c>
      <c r="BR124" s="299">
        <v>0</v>
      </c>
      <c r="BS124" s="299">
        <v>79534.790000000081</v>
      </c>
      <c r="BT124" s="299">
        <v>0</v>
      </c>
      <c r="BU124" s="299">
        <f t="shared" si="25"/>
        <v>79534.790000000081</v>
      </c>
      <c r="BV124" s="299">
        <v>6092.5</v>
      </c>
      <c r="BW124" s="299">
        <v>0</v>
      </c>
      <c r="BX124" s="299">
        <v>0</v>
      </c>
      <c r="BY124" s="299">
        <f t="shared" si="26"/>
        <v>6092.5</v>
      </c>
      <c r="BZ124" s="299">
        <v>0</v>
      </c>
      <c r="CA124" s="299">
        <v>6493.24</v>
      </c>
      <c r="CB124" s="299">
        <v>0</v>
      </c>
      <c r="CC124" s="299">
        <v>1770</v>
      </c>
      <c r="CD124" s="299">
        <f t="shared" si="27"/>
        <v>8263.24</v>
      </c>
      <c r="CE124" s="299">
        <f t="shared" si="28"/>
        <v>-2170.7399999999998</v>
      </c>
      <c r="CF124" s="299">
        <v>9358.8300000000017</v>
      </c>
      <c r="CG124" s="299">
        <f t="shared" si="29"/>
        <v>7188.090000000002</v>
      </c>
      <c r="CH124" s="299">
        <v>7188.090000000002</v>
      </c>
      <c r="CI124" s="299">
        <v>0</v>
      </c>
      <c r="CJ124" s="299">
        <f t="shared" si="30"/>
        <v>7188.090000000002</v>
      </c>
    </row>
    <row r="125" spans="1:88" ht="13.8">
      <c r="A125" s="252" t="s">
        <v>1377</v>
      </c>
      <c r="B125" s="288">
        <v>2054</v>
      </c>
      <c r="C125" s="288" t="s">
        <v>823</v>
      </c>
      <c r="D125" s="248" t="s">
        <v>704</v>
      </c>
      <c r="E125" s="380" t="str">
        <f t="shared" si="31"/>
        <v>30EP2054</v>
      </c>
      <c r="F125" s="299">
        <v>1861650.02</v>
      </c>
      <c r="G125" s="299">
        <v>0</v>
      </c>
      <c r="H125" s="299">
        <v>120424.01</v>
      </c>
      <c r="I125" s="299">
        <v>0</v>
      </c>
      <c r="J125" s="299">
        <v>138347.85</v>
      </c>
      <c r="K125" s="299">
        <v>72191</v>
      </c>
      <c r="L125" s="299">
        <v>0</v>
      </c>
      <c r="M125" s="299">
        <v>3195</v>
      </c>
      <c r="N125" s="299">
        <v>152516.37</v>
      </c>
      <c r="O125" s="299">
        <v>37574.86</v>
      </c>
      <c r="P125" s="299">
        <v>4060</v>
      </c>
      <c r="Q125" s="299">
        <v>771.6</v>
      </c>
      <c r="R125" s="299">
        <v>39570.94</v>
      </c>
      <c r="S125" s="299">
        <v>22311.52</v>
      </c>
      <c r="T125" s="299">
        <v>0</v>
      </c>
      <c r="U125" s="299">
        <v>0</v>
      </c>
      <c r="V125" s="299">
        <v>0</v>
      </c>
      <c r="W125" s="299">
        <v>0</v>
      </c>
      <c r="X125" s="299">
        <v>0</v>
      </c>
      <c r="Y125" s="299">
        <f t="shared" si="17"/>
        <v>2452613.17</v>
      </c>
      <c r="Z125" s="299">
        <v>1228421.04</v>
      </c>
      <c r="AA125" s="299">
        <v>9546.99</v>
      </c>
      <c r="AB125" s="299">
        <v>433278.78</v>
      </c>
      <c r="AC125" s="299">
        <v>68237.759999999995</v>
      </c>
      <c r="AD125" s="299">
        <v>135035.76999999999</v>
      </c>
      <c r="AE125" s="299">
        <v>0</v>
      </c>
      <c r="AF125" s="299">
        <v>83508.61</v>
      </c>
      <c r="AG125" s="299">
        <v>10956.02</v>
      </c>
      <c r="AH125" s="299">
        <v>6815</v>
      </c>
      <c r="AI125" s="299">
        <v>8525</v>
      </c>
      <c r="AJ125" s="299">
        <v>1551.25</v>
      </c>
      <c r="AK125" s="299">
        <v>21871.16</v>
      </c>
      <c r="AL125" s="299">
        <v>7158.78</v>
      </c>
      <c r="AM125" s="299">
        <v>6431.62</v>
      </c>
      <c r="AN125" s="299">
        <v>9186.5</v>
      </c>
      <c r="AO125" s="299">
        <v>38815.410000000003</v>
      </c>
      <c r="AP125" s="299">
        <v>45510</v>
      </c>
      <c r="AQ125" s="299">
        <v>7589.13</v>
      </c>
      <c r="AR125" s="299">
        <v>92551.92</v>
      </c>
      <c r="AS125" s="299">
        <v>33092.379999999997</v>
      </c>
      <c r="AT125" s="299">
        <v>0</v>
      </c>
      <c r="AU125" s="299">
        <v>10012.780000000001</v>
      </c>
      <c r="AV125" s="299">
        <v>9883.76</v>
      </c>
      <c r="AW125" s="299">
        <v>21461.38</v>
      </c>
      <c r="AX125" s="299">
        <v>117907.05</v>
      </c>
      <c r="AY125" s="299">
        <v>9899.83</v>
      </c>
      <c r="AZ125" s="299">
        <v>8429.01</v>
      </c>
      <c r="BA125" s="299">
        <v>16009.38</v>
      </c>
      <c r="BB125" s="299">
        <v>0</v>
      </c>
      <c r="BC125" s="299">
        <v>0</v>
      </c>
      <c r="BD125" s="299">
        <v>0</v>
      </c>
      <c r="BE125" s="299">
        <f t="shared" si="18"/>
        <v>2441686.3099999991</v>
      </c>
      <c r="BF125" s="299">
        <f t="shared" si="19"/>
        <v>10926.860000000801</v>
      </c>
      <c r="BG125" s="299">
        <v>141686.00000000003</v>
      </c>
      <c r="BH125" s="299">
        <f t="shared" si="20"/>
        <v>152612.86000000083</v>
      </c>
      <c r="BI125" s="299">
        <v>303505.25</v>
      </c>
      <c r="BJ125" s="299">
        <v>2100.4</v>
      </c>
      <c r="BK125" s="299">
        <f t="shared" si="21"/>
        <v>305605.65000000002</v>
      </c>
      <c r="BL125" s="299">
        <v>223205.19</v>
      </c>
      <c r="BM125" s="299">
        <v>59651.44</v>
      </c>
      <c r="BN125" s="299">
        <f t="shared" si="32"/>
        <v>282856.63</v>
      </c>
      <c r="BO125" s="299">
        <f t="shared" si="23"/>
        <v>22749.020000000019</v>
      </c>
      <c r="BP125" s="299">
        <v>65242.610000000037</v>
      </c>
      <c r="BQ125" s="299">
        <f t="shared" si="24"/>
        <v>87991.630000000063</v>
      </c>
      <c r="BR125" s="299">
        <v>0</v>
      </c>
      <c r="BS125" s="299">
        <v>152612.86000000036</v>
      </c>
      <c r="BT125" s="299">
        <v>87991.630000000063</v>
      </c>
      <c r="BU125" s="299">
        <f t="shared" si="25"/>
        <v>240604.49000000089</v>
      </c>
      <c r="BV125" s="299">
        <v>15219.11</v>
      </c>
      <c r="BW125" s="299">
        <v>0</v>
      </c>
      <c r="BX125" s="299">
        <v>0</v>
      </c>
      <c r="BY125" s="299">
        <f t="shared" si="26"/>
        <v>15219.11</v>
      </c>
      <c r="BZ125" s="299">
        <v>0</v>
      </c>
      <c r="CA125" s="299">
        <v>13130.33</v>
      </c>
      <c r="CB125" s="299">
        <v>0</v>
      </c>
      <c r="CC125" s="299">
        <v>0</v>
      </c>
      <c r="CD125" s="299">
        <f t="shared" si="27"/>
        <v>13130.33</v>
      </c>
      <c r="CE125" s="299">
        <f t="shared" si="28"/>
        <v>2088.7800000000007</v>
      </c>
      <c r="CF125" s="299">
        <v>0.65000000000009095</v>
      </c>
      <c r="CG125" s="299">
        <f t="shared" si="29"/>
        <v>2089.4300000000007</v>
      </c>
      <c r="CH125" s="299">
        <v>0.65000000000009095</v>
      </c>
      <c r="CI125" s="299">
        <v>2088.7799999999997</v>
      </c>
      <c r="CJ125" s="299">
        <f t="shared" si="30"/>
        <v>2089.4299999999998</v>
      </c>
    </row>
    <row r="126" spans="1:88" ht="13.8">
      <c r="A126" s="252" t="s">
        <v>1377</v>
      </c>
      <c r="B126" s="288">
        <v>2240</v>
      </c>
      <c r="C126" s="288" t="s">
        <v>824</v>
      </c>
      <c r="D126" s="248" t="s">
        <v>704</v>
      </c>
      <c r="E126" s="380" t="str">
        <f t="shared" si="31"/>
        <v>30EP2240</v>
      </c>
      <c r="F126" s="299">
        <v>767175.09</v>
      </c>
      <c r="G126" s="299">
        <v>0</v>
      </c>
      <c r="H126" s="299">
        <v>30193.59</v>
      </c>
      <c r="I126" s="299">
        <v>0</v>
      </c>
      <c r="J126" s="299">
        <v>48265</v>
      </c>
      <c r="K126" s="299">
        <v>36661</v>
      </c>
      <c r="L126" s="299">
        <v>0</v>
      </c>
      <c r="M126" s="299">
        <v>24170.36</v>
      </c>
      <c r="N126" s="299">
        <v>60426.82</v>
      </c>
      <c r="O126" s="299">
        <v>19881.509999999998</v>
      </c>
      <c r="P126" s="299">
        <v>1000</v>
      </c>
      <c r="Q126" s="299">
        <v>0</v>
      </c>
      <c r="R126" s="299">
        <v>2173.1999999999998</v>
      </c>
      <c r="S126" s="299">
        <v>15762.28</v>
      </c>
      <c r="T126" s="299">
        <v>0</v>
      </c>
      <c r="U126" s="299">
        <v>0</v>
      </c>
      <c r="V126" s="299">
        <v>0</v>
      </c>
      <c r="W126" s="299">
        <v>0</v>
      </c>
      <c r="X126" s="299">
        <v>0</v>
      </c>
      <c r="Y126" s="299">
        <f t="shared" si="17"/>
        <v>1005708.8499999999</v>
      </c>
      <c r="Z126" s="299">
        <v>439952.36</v>
      </c>
      <c r="AA126" s="299">
        <v>27651.15</v>
      </c>
      <c r="AB126" s="299">
        <v>181603.53</v>
      </c>
      <c r="AC126" s="299">
        <v>35458.36</v>
      </c>
      <c r="AD126" s="299">
        <v>51688.46</v>
      </c>
      <c r="AE126" s="299">
        <v>36228.080000000002</v>
      </c>
      <c r="AF126" s="299">
        <v>62836.56</v>
      </c>
      <c r="AG126" s="299">
        <v>3604</v>
      </c>
      <c r="AH126" s="299">
        <v>3525.67</v>
      </c>
      <c r="AI126" s="299">
        <v>0</v>
      </c>
      <c r="AJ126" s="299">
        <v>0</v>
      </c>
      <c r="AK126" s="299">
        <v>25281.78</v>
      </c>
      <c r="AL126" s="299">
        <v>2479.96</v>
      </c>
      <c r="AM126" s="299">
        <v>2256.91</v>
      </c>
      <c r="AN126" s="299">
        <v>1650.26</v>
      </c>
      <c r="AO126" s="299">
        <v>27075.42</v>
      </c>
      <c r="AP126" s="299">
        <v>17340.25</v>
      </c>
      <c r="AQ126" s="299">
        <v>8908.4699999999993</v>
      </c>
      <c r="AR126" s="299">
        <v>29404.81</v>
      </c>
      <c r="AS126" s="299">
        <v>26161.559999999998</v>
      </c>
      <c r="AT126" s="299">
        <v>0</v>
      </c>
      <c r="AU126" s="299">
        <v>6867</v>
      </c>
      <c r="AV126" s="299">
        <v>5083.2700000000004</v>
      </c>
      <c r="AW126" s="299">
        <v>5064.8900000000003</v>
      </c>
      <c r="AX126" s="299">
        <v>22525.24</v>
      </c>
      <c r="AY126" s="299">
        <v>0</v>
      </c>
      <c r="AZ126" s="299">
        <v>9270.7199999999993</v>
      </c>
      <c r="BA126" s="299">
        <v>13934.81</v>
      </c>
      <c r="BB126" s="299">
        <v>0</v>
      </c>
      <c r="BC126" s="299">
        <v>0</v>
      </c>
      <c r="BD126" s="299">
        <v>0</v>
      </c>
      <c r="BE126" s="299">
        <f t="shared" si="18"/>
        <v>1045853.5200000001</v>
      </c>
      <c r="BF126" s="299">
        <f t="shared" si="19"/>
        <v>-40144.670000000275</v>
      </c>
      <c r="BG126" s="299">
        <v>11502.700000000041</v>
      </c>
      <c r="BH126" s="299">
        <f t="shared" si="20"/>
        <v>-28641.970000000234</v>
      </c>
      <c r="BI126" s="299">
        <v>82474.039999999994</v>
      </c>
      <c r="BJ126" s="299">
        <v>13749.97</v>
      </c>
      <c r="BK126" s="299">
        <f t="shared" si="21"/>
        <v>96224.01</v>
      </c>
      <c r="BL126" s="299">
        <v>98950.05</v>
      </c>
      <c r="BM126" s="299">
        <v>2633.42</v>
      </c>
      <c r="BN126" s="299">
        <f t="shared" si="32"/>
        <v>101583.47</v>
      </c>
      <c r="BO126" s="299">
        <f t="shared" si="23"/>
        <v>-5359.4600000000064</v>
      </c>
      <c r="BP126" s="299">
        <v>773.28999999999814</v>
      </c>
      <c r="BQ126" s="299">
        <f t="shared" si="24"/>
        <v>-4586.1700000000083</v>
      </c>
      <c r="BR126" s="299">
        <v>0</v>
      </c>
      <c r="BS126" s="299">
        <v>-28641.970000000234</v>
      </c>
      <c r="BT126" s="299">
        <v>-4586.1700000000083</v>
      </c>
      <c r="BU126" s="299">
        <f t="shared" si="25"/>
        <v>-33228.14000000024</v>
      </c>
      <c r="BV126" s="299">
        <v>5563.75</v>
      </c>
      <c r="BW126" s="299">
        <v>0</v>
      </c>
      <c r="BX126" s="299">
        <v>0</v>
      </c>
      <c r="BY126" s="299">
        <f t="shared" si="26"/>
        <v>5563.75</v>
      </c>
      <c r="BZ126" s="299">
        <v>0</v>
      </c>
      <c r="CA126" s="299">
        <v>1739.39</v>
      </c>
      <c r="CB126" s="299">
        <v>0</v>
      </c>
      <c r="CC126" s="299">
        <v>593.25</v>
      </c>
      <c r="CD126" s="299">
        <f t="shared" si="27"/>
        <v>2332.6400000000003</v>
      </c>
      <c r="CE126" s="299">
        <f t="shared" si="28"/>
        <v>3231.1099999999997</v>
      </c>
      <c r="CF126" s="299">
        <v>1432.4399999999987</v>
      </c>
      <c r="CG126" s="299">
        <f t="shared" si="29"/>
        <v>4663.5499999999984</v>
      </c>
      <c r="CH126" s="299">
        <v>4663.5499999999984</v>
      </c>
      <c r="CI126" s="299">
        <v>0</v>
      </c>
      <c r="CJ126" s="299">
        <f t="shared" si="30"/>
        <v>4663.5499999999984</v>
      </c>
    </row>
    <row r="127" spans="1:88" ht="13.8">
      <c r="A127" s="252" t="s">
        <v>1377</v>
      </c>
      <c r="B127" s="288">
        <v>2254</v>
      </c>
      <c r="C127" s="288" t="s">
        <v>825</v>
      </c>
      <c r="D127" s="248" t="s">
        <v>704</v>
      </c>
      <c r="E127" s="380" t="str">
        <f t="shared" si="31"/>
        <v>30EP2254</v>
      </c>
      <c r="F127" s="299">
        <v>906317.49</v>
      </c>
      <c r="G127" s="299">
        <v>0</v>
      </c>
      <c r="H127" s="299">
        <v>65293.67</v>
      </c>
      <c r="I127" s="299">
        <v>0</v>
      </c>
      <c r="J127" s="299">
        <v>48050</v>
      </c>
      <c r="K127" s="299">
        <v>79635</v>
      </c>
      <c r="L127" s="299">
        <v>0</v>
      </c>
      <c r="M127" s="299">
        <v>0</v>
      </c>
      <c r="N127" s="299">
        <v>1565.45</v>
      </c>
      <c r="O127" s="299">
        <v>0</v>
      </c>
      <c r="P127" s="299">
        <v>0</v>
      </c>
      <c r="Q127" s="299">
        <v>0</v>
      </c>
      <c r="R127" s="299">
        <v>4803.7</v>
      </c>
      <c r="S127" s="299">
        <v>9759.9</v>
      </c>
      <c r="T127" s="299">
        <v>0</v>
      </c>
      <c r="U127" s="299">
        <v>0</v>
      </c>
      <c r="V127" s="299">
        <v>0</v>
      </c>
      <c r="W127" s="299">
        <v>0</v>
      </c>
      <c r="X127" s="299">
        <v>0</v>
      </c>
      <c r="Y127" s="299">
        <f t="shared" si="17"/>
        <v>1115425.21</v>
      </c>
      <c r="Z127" s="299">
        <v>504158.23</v>
      </c>
      <c r="AA127" s="299">
        <v>0</v>
      </c>
      <c r="AB127" s="299">
        <v>292992.89</v>
      </c>
      <c r="AC127" s="299">
        <v>28914.93</v>
      </c>
      <c r="AD127" s="299">
        <v>48949.14</v>
      </c>
      <c r="AE127" s="299">
        <v>35554.47</v>
      </c>
      <c r="AF127" s="299">
        <v>22660.45</v>
      </c>
      <c r="AG127" s="299">
        <v>3635.5</v>
      </c>
      <c r="AH127" s="299">
        <v>2619.9</v>
      </c>
      <c r="AI127" s="299">
        <v>3875</v>
      </c>
      <c r="AJ127" s="299">
        <v>108.75</v>
      </c>
      <c r="AK127" s="299">
        <v>6182.67</v>
      </c>
      <c r="AL127" s="299">
        <v>2302</v>
      </c>
      <c r="AM127" s="299">
        <v>1995.45</v>
      </c>
      <c r="AN127" s="299">
        <v>2986.76</v>
      </c>
      <c r="AO127" s="299">
        <v>13044.34</v>
      </c>
      <c r="AP127" s="299">
        <v>18463</v>
      </c>
      <c r="AQ127" s="299">
        <v>2108.4299999999998</v>
      </c>
      <c r="AR127" s="299">
        <v>13738.52</v>
      </c>
      <c r="AS127" s="299">
        <v>16253.68</v>
      </c>
      <c r="AT127" s="299">
        <v>0</v>
      </c>
      <c r="AU127" s="299">
        <v>11371.06</v>
      </c>
      <c r="AV127" s="299">
        <v>4435.3599999999997</v>
      </c>
      <c r="AW127" s="299">
        <v>0</v>
      </c>
      <c r="AX127" s="299">
        <v>18153.5</v>
      </c>
      <c r="AY127" s="299">
        <v>0</v>
      </c>
      <c r="AZ127" s="299">
        <v>7312.5</v>
      </c>
      <c r="BA127" s="299">
        <v>17533.23</v>
      </c>
      <c r="BB127" s="299">
        <v>0</v>
      </c>
      <c r="BC127" s="299">
        <v>0</v>
      </c>
      <c r="BD127" s="299">
        <v>0</v>
      </c>
      <c r="BE127" s="299">
        <f t="shared" si="18"/>
        <v>1079349.7600000002</v>
      </c>
      <c r="BF127" s="299">
        <f t="shared" si="19"/>
        <v>36075.449999999721</v>
      </c>
      <c r="BG127" s="299">
        <v>51475.040000000037</v>
      </c>
      <c r="BH127" s="299">
        <f t="shared" si="20"/>
        <v>87550.489999999758</v>
      </c>
      <c r="BI127" s="299">
        <v>0</v>
      </c>
      <c r="BJ127" s="299">
        <v>0</v>
      </c>
      <c r="BK127" s="299">
        <f t="shared" si="21"/>
        <v>0</v>
      </c>
      <c r="BL127" s="299">
        <v>0</v>
      </c>
      <c r="BM127" s="299">
        <v>0</v>
      </c>
      <c r="BN127" s="299">
        <f t="shared" si="32"/>
        <v>0</v>
      </c>
      <c r="BO127" s="299">
        <f t="shared" si="23"/>
        <v>0</v>
      </c>
      <c r="BP127" s="299">
        <v>0</v>
      </c>
      <c r="BQ127" s="299">
        <f t="shared" si="24"/>
        <v>0</v>
      </c>
      <c r="BR127" s="299">
        <v>11303.45</v>
      </c>
      <c r="BS127" s="299">
        <v>76247.039999999761</v>
      </c>
      <c r="BT127" s="299">
        <v>0</v>
      </c>
      <c r="BU127" s="299">
        <f t="shared" si="25"/>
        <v>87550.489999999758</v>
      </c>
      <c r="BV127" s="299">
        <v>5710</v>
      </c>
      <c r="BW127" s="299">
        <v>0</v>
      </c>
      <c r="BX127" s="299">
        <v>0</v>
      </c>
      <c r="BY127" s="299">
        <f t="shared" si="26"/>
        <v>5710</v>
      </c>
      <c r="BZ127" s="299">
        <v>0</v>
      </c>
      <c r="CA127" s="299">
        <v>7674.46</v>
      </c>
      <c r="CB127" s="299">
        <v>0</v>
      </c>
      <c r="CC127" s="299">
        <v>1306.8399999999999</v>
      </c>
      <c r="CD127" s="299">
        <f t="shared" si="27"/>
        <v>8981.2999999999993</v>
      </c>
      <c r="CE127" s="299">
        <f t="shared" si="28"/>
        <v>-3271.2999999999993</v>
      </c>
      <c r="CF127" s="299">
        <v>9410.51</v>
      </c>
      <c r="CG127" s="299">
        <f t="shared" si="29"/>
        <v>6139.2100000000009</v>
      </c>
      <c r="CH127" s="299">
        <v>6139.2100000000009</v>
      </c>
      <c r="CI127" s="299">
        <v>0</v>
      </c>
      <c r="CJ127" s="299">
        <f t="shared" si="30"/>
        <v>6139.2100000000009</v>
      </c>
    </row>
    <row r="128" spans="1:88">
      <c r="A128" s="252" t="s">
        <v>1377</v>
      </c>
    </row>
    <row r="129" spans="1:1">
      <c r="A129" s="252" t="s">
        <v>1377</v>
      </c>
    </row>
    <row r="130" spans="1:1">
      <c r="A130" s="252" t="s">
        <v>1377</v>
      </c>
    </row>
    <row r="131" spans="1:1">
      <c r="A131" s="252" t="s">
        <v>1377</v>
      </c>
    </row>
    <row r="132" spans="1:1">
      <c r="A132" s="252" t="s">
        <v>1377</v>
      </c>
    </row>
    <row r="133" spans="1:1">
      <c r="A133" s="252" t="s">
        <v>1377</v>
      </c>
    </row>
    <row r="134" spans="1:1">
      <c r="A134" s="252" t="s">
        <v>1377</v>
      </c>
    </row>
    <row r="135" spans="1:1">
      <c r="A135" s="252" t="s">
        <v>1377</v>
      </c>
    </row>
    <row r="136" spans="1:1">
      <c r="A136" s="252" t="s">
        <v>1377</v>
      </c>
    </row>
    <row r="137" spans="1:1">
      <c r="A137" s="252" t="s">
        <v>1377</v>
      </c>
    </row>
  </sheetData>
  <autoFilter ref="A3:CO127" xr:uid="{00000000-0001-0000-0500-000000000000}">
    <sortState xmlns:xlrd2="http://schemas.microsoft.com/office/spreadsheetml/2017/richdata2" ref="A4:CO127">
      <sortCondition ref="C3:C127"/>
    </sortState>
  </autoFilter>
  <phoneticPr fontId="16" type="noConversion"/>
  <conditionalFormatting sqref="BQ128:BQ65411">
    <cfRule type="cellIs" dxfId="17" priority="1" stopIfTrue="1" operator="lessThan">
      <formula>0</formula>
    </cfRule>
  </conditionalFormatting>
  <pageMargins left="0.75" right="0.75" top="1" bottom="1" header="0.5" footer="0.5"/>
  <headerFooter alignWithMargins="0"/>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1">
    <tabColor rgb="FFFF0000"/>
  </sheetPr>
  <dimension ref="A1:CJ4388"/>
  <sheetViews>
    <sheetView workbookViewId="0">
      <pane xSplit="3" ySplit="2" topLeftCell="D3" activePane="bottomRight" state="frozen"/>
      <selection activeCell="BS64" sqref="BS64"/>
      <selection pane="topRight" activeCell="BS64" sqref="BS64"/>
      <selection pane="bottomLeft" activeCell="BS64" sqref="BS64"/>
      <selection pane="bottomRight" activeCell="F3" sqref="F3"/>
    </sheetView>
  </sheetViews>
  <sheetFormatPr defaultColWidth="9.21875" defaultRowHeight="13.2"/>
  <cols>
    <col min="1" max="1" width="12" style="215" customWidth="1"/>
    <col min="2" max="2" width="8.77734375" style="221" customWidth="1"/>
    <col min="3" max="3" width="44.77734375" style="222" bestFit="1" customWidth="1"/>
    <col min="4" max="4" width="15.77734375" style="222" bestFit="1" customWidth="1"/>
    <col min="5" max="5" width="12.77734375" style="221" bestFit="1" customWidth="1"/>
    <col min="6" max="6" width="13.21875" style="242" customWidth="1"/>
    <col min="7" max="7" width="14.21875" style="242" customWidth="1"/>
    <col min="8" max="8" width="11.44140625" style="242" customWidth="1"/>
    <col min="9" max="10" width="12.21875" style="242" bestFit="1" customWidth="1"/>
    <col min="11" max="12" width="11.21875" style="242" bestFit="1" customWidth="1"/>
    <col min="13" max="13" width="11.21875" style="242" customWidth="1"/>
    <col min="14" max="15" width="12.21875" style="242" bestFit="1" customWidth="1"/>
    <col min="16" max="16" width="11.44140625" style="242" customWidth="1"/>
    <col min="17" max="17" width="10.77734375" style="242" customWidth="1"/>
    <col min="18" max="19" width="11.21875" style="242" bestFit="1" customWidth="1"/>
    <col min="20" max="20" width="12.21875" style="242" bestFit="1" customWidth="1"/>
    <col min="21" max="23" width="12.21875" style="242" customWidth="1"/>
    <col min="24" max="24" width="10.21875" style="242" bestFit="1" customWidth="1"/>
    <col min="25" max="25" width="11.21875" style="242" bestFit="1" customWidth="1"/>
    <col min="26" max="26" width="9.44140625" style="242" bestFit="1" customWidth="1"/>
    <col min="27" max="27" width="14" style="242" bestFit="1" customWidth="1"/>
    <col min="28" max="28" width="11.77734375" style="242" customWidth="1"/>
    <col min="29" max="29" width="11.5546875" style="242" bestFit="1" customWidth="1"/>
    <col min="30" max="30" width="13.77734375" style="242" bestFit="1" customWidth="1"/>
    <col min="31" max="34" width="12.5546875" style="242" bestFit="1" customWidth="1"/>
    <col min="35" max="38" width="11.5546875" style="242" bestFit="1" customWidth="1"/>
    <col min="39" max="39" width="12.5546875" style="242" bestFit="1" customWidth="1"/>
    <col min="40" max="40" width="11.5546875" style="242" bestFit="1" customWidth="1"/>
    <col min="41" max="41" width="12.5546875" style="242" bestFit="1" customWidth="1"/>
    <col min="42" max="42" width="11.5546875" style="242" bestFit="1" customWidth="1"/>
    <col min="43" max="43" width="12.5546875" style="242" bestFit="1" customWidth="1"/>
    <col min="44" max="44" width="11.5546875" style="242" bestFit="1" customWidth="1"/>
    <col min="45" max="49" width="12.5546875" style="242" bestFit="1" customWidth="1"/>
    <col min="50" max="51" width="11.5546875" style="242" bestFit="1" customWidth="1"/>
    <col min="52" max="52" width="12.5546875" style="242" bestFit="1" customWidth="1"/>
    <col min="53" max="53" width="12.5546875" style="242" customWidth="1"/>
    <col min="54" max="54" width="12.5546875" style="242" bestFit="1" customWidth="1"/>
    <col min="55" max="55" width="11.5546875" style="242" bestFit="1" customWidth="1"/>
    <col min="56" max="56" width="12.5546875" style="242" bestFit="1" customWidth="1"/>
    <col min="57" max="57" width="10.21875" style="242" bestFit="1" customWidth="1"/>
    <col min="58" max="60" width="12.5546875" style="242" bestFit="1" customWidth="1"/>
    <col min="61" max="61" width="12" style="242" customWidth="1"/>
    <col min="62" max="63" width="14" style="242" customWidth="1"/>
    <col min="64" max="64" width="14.21875" style="242" bestFit="1" customWidth="1"/>
    <col min="65" max="65" width="15.5546875" style="242" bestFit="1" customWidth="1"/>
    <col min="66" max="66" width="13.5546875" style="242" bestFit="1" customWidth="1"/>
    <col min="67" max="67" width="14.21875" style="242" bestFit="1" customWidth="1"/>
    <col min="68" max="68" width="12.5546875" style="242" bestFit="1" customWidth="1"/>
    <col min="69" max="69" width="15.21875" style="242" bestFit="1" customWidth="1"/>
    <col min="70" max="70" width="11.21875" style="242" bestFit="1" customWidth="1"/>
    <col min="71" max="71" width="12.77734375" style="242" bestFit="1" customWidth="1"/>
    <col min="72" max="73" width="12.5546875" style="242" bestFit="1" customWidth="1"/>
    <col min="74" max="74" width="9.77734375" style="242" bestFit="1" customWidth="1"/>
    <col min="75" max="75" width="12.5546875" style="242" bestFit="1" customWidth="1"/>
    <col min="76" max="77" width="11.5546875" style="242" bestFit="1" customWidth="1"/>
    <col min="78" max="79" width="12.5546875" style="242" bestFit="1" customWidth="1"/>
    <col min="80" max="88" width="9.21875" style="242"/>
    <col min="89" max="16384" width="9.21875" style="215"/>
  </cols>
  <sheetData>
    <row r="1" spans="1:88">
      <c r="A1" s="214" t="s">
        <v>1524</v>
      </c>
      <c r="B1" s="298">
        <v>1</v>
      </c>
      <c r="C1" s="287" t="s">
        <v>1376</v>
      </c>
      <c r="D1" s="381">
        <v>3</v>
      </c>
      <c r="E1" s="298">
        <v>4</v>
      </c>
      <c r="F1" s="382">
        <v>5</v>
      </c>
      <c r="G1" s="382">
        <v>6</v>
      </c>
      <c r="H1" s="382">
        <v>7</v>
      </c>
      <c r="I1" s="382">
        <v>8</v>
      </c>
      <c r="J1" s="382">
        <v>9</v>
      </c>
      <c r="K1" s="382">
        <v>10</v>
      </c>
      <c r="L1" s="382">
        <v>11</v>
      </c>
      <c r="M1" s="382">
        <v>12</v>
      </c>
      <c r="N1" s="382">
        <v>13</v>
      </c>
      <c r="O1" s="382">
        <v>14</v>
      </c>
      <c r="P1" s="382">
        <v>15</v>
      </c>
      <c r="Q1" s="382">
        <v>16</v>
      </c>
      <c r="R1" s="382">
        <v>17</v>
      </c>
      <c r="S1" s="382">
        <v>18</v>
      </c>
      <c r="T1" s="382">
        <v>19</v>
      </c>
      <c r="U1" s="382">
        <v>20</v>
      </c>
      <c r="V1" s="382">
        <v>21</v>
      </c>
      <c r="W1" s="382">
        <v>22</v>
      </c>
      <c r="X1" s="382">
        <v>23</v>
      </c>
      <c r="Y1" s="382">
        <v>24</v>
      </c>
      <c r="Z1" s="382">
        <v>25</v>
      </c>
      <c r="AA1" s="382">
        <v>26</v>
      </c>
      <c r="AB1" s="382">
        <v>27</v>
      </c>
      <c r="AC1" s="382">
        <v>28</v>
      </c>
      <c r="AD1" s="382">
        <v>29</v>
      </c>
      <c r="AE1" s="382">
        <v>30</v>
      </c>
      <c r="AF1" s="382">
        <v>31</v>
      </c>
      <c r="AG1" s="382">
        <v>32</v>
      </c>
      <c r="AH1" s="382">
        <v>33</v>
      </c>
      <c r="AI1" s="382">
        <v>34</v>
      </c>
      <c r="AJ1" s="382">
        <v>35</v>
      </c>
      <c r="AK1" s="382">
        <v>36</v>
      </c>
      <c r="AL1" s="382">
        <v>37</v>
      </c>
      <c r="AM1" s="382">
        <v>38</v>
      </c>
      <c r="AN1" s="382">
        <v>39</v>
      </c>
      <c r="AO1" s="382">
        <v>40</v>
      </c>
      <c r="AP1" s="382">
        <v>41</v>
      </c>
      <c r="AQ1" s="382">
        <v>42</v>
      </c>
      <c r="AR1" s="382">
        <v>43</v>
      </c>
      <c r="AS1" s="382">
        <v>44</v>
      </c>
      <c r="AT1" s="382">
        <v>45</v>
      </c>
      <c r="AU1" s="382">
        <v>46</v>
      </c>
      <c r="AV1" s="382">
        <v>47</v>
      </c>
      <c r="AW1" s="382">
        <v>48</v>
      </c>
      <c r="AX1" s="382">
        <v>49</v>
      </c>
      <c r="AY1" s="382">
        <v>50</v>
      </c>
      <c r="AZ1" s="382">
        <v>51</v>
      </c>
      <c r="BA1" s="382">
        <v>52</v>
      </c>
      <c r="BB1" s="382">
        <v>53</v>
      </c>
      <c r="BC1" s="382">
        <v>54</v>
      </c>
      <c r="BD1" s="382">
        <v>55</v>
      </c>
      <c r="BE1" s="382">
        <v>56</v>
      </c>
      <c r="BF1" s="382">
        <v>57</v>
      </c>
      <c r="BG1" s="382">
        <v>58</v>
      </c>
      <c r="BH1" s="382">
        <v>59</v>
      </c>
      <c r="BI1" s="382">
        <v>60</v>
      </c>
      <c r="BJ1" s="382">
        <v>61</v>
      </c>
      <c r="BK1" s="382">
        <v>62</v>
      </c>
      <c r="BL1" s="382">
        <v>63</v>
      </c>
      <c r="BM1" s="382">
        <v>64</v>
      </c>
      <c r="BN1" s="382">
        <v>65</v>
      </c>
      <c r="BO1" s="382">
        <v>66</v>
      </c>
      <c r="BP1" s="382">
        <v>67</v>
      </c>
      <c r="BQ1" s="382">
        <v>68</v>
      </c>
      <c r="BR1" s="382">
        <v>69</v>
      </c>
      <c r="BS1" s="382">
        <v>70</v>
      </c>
      <c r="BT1" s="382">
        <v>71</v>
      </c>
      <c r="BU1" s="382">
        <v>72</v>
      </c>
      <c r="BV1" s="382">
        <v>73</v>
      </c>
      <c r="BW1" s="382">
        <v>74</v>
      </c>
      <c r="BX1" s="382">
        <v>75</v>
      </c>
      <c r="BY1" s="382">
        <v>76</v>
      </c>
      <c r="BZ1" s="382">
        <v>77</v>
      </c>
      <c r="CA1" s="382">
        <v>78</v>
      </c>
      <c r="CB1" s="382">
        <v>79</v>
      </c>
      <c r="CC1" s="382">
        <v>80</v>
      </c>
      <c r="CD1" s="382">
        <v>81</v>
      </c>
      <c r="CE1" s="382">
        <v>82</v>
      </c>
      <c r="CF1" s="382">
        <v>83</v>
      </c>
      <c r="CG1" s="382">
        <v>84</v>
      </c>
      <c r="CH1" s="382">
        <v>85</v>
      </c>
      <c r="CI1" s="382">
        <v>86</v>
      </c>
      <c r="CJ1" s="382">
        <v>87</v>
      </c>
    </row>
    <row r="2" spans="1:88" s="217" customFormat="1" ht="26.4">
      <c r="A2" s="216" t="s">
        <v>1365</v>
      </c>
      <c r="B2" s="217" t="s">
        <v>878</v>
      </c>
      <c r="C2" s="264" t="s">
        <v>877</v>
      </c>
      <c r="D2" s="218" t="s">
        <v>873</v>
      </c>
      <c r="E2" s="217" t="s">
        <v>1366</v>
      </c>
      <c r="F2" s="241" t="s">
        <v>491</v>
      </c>
      <c r="G2" s="241" t="s">
        <v>494</v>
      </c>
      <c r="H2" s="241" t="s">
        <v>497</v>
      </c>
      <c r="I2" s="241" t="s">
        <v>500</v>
      </c>
      <c r="J2" s="241" t="s">
        <v>503</v>
      </c>
      <c r="K2" s="241" t="s">
        <v>506</v>
      </c>
      <c r="L2" s="241" t="s">
        <v>509</v>
      </c>
      <c r="M2" s="241" t="s">
        <v>512</v>
      </c>
      <c r="N2" s="241" t="s">
        <v>515</v>
      </c>
      <c r="O2" s="241" t="s">
        <v>518</v>
      </c>
      <c r="P2" s="241" t="s">
        <v>521</v>
      </c>
      <c r="Q2" s="241" t="s">
        <v>524</v>
      </c>
      <c r="R2" s="241" t="s">
        <v>527</v>
      </c>
      <c r="S2" s="241" t="s">
        <v>530</v>
      </c>
      <c r="T2" s="241" t="s">
        <v>533</v>
      </c>
      <c r="U2" s="241" t="s">
        <v>535</v>
      </c>
      <c r="V2" s="241" t="s">
        <v>538</v>
      </c>
      <c r="W2" s="241" t="s">
        <v>540</v>
      </c>
      <c r="X2" s="241" t="s">
        <v>542</v>
      </c>
      <c r="Y2" s="241" t="s">
        <v>430</v>
      </c>
      <c r="Z2" s="241" t="s">
        <v>548</v>
      </c>
      <c r="AA2" s="241" t="s">
        <v>551</v>
      </c>
      <c r="AB2" s="241" t="s">
        <v>554</v>
      </c>
      <c r="AC2" s="241" t="s">
        <v>557</v>
      </c>
      <c r="AD2" s="241" t="s">
        <v>560</v>
      </c>
      <c r="AE2" s="241" t="s">
        <v>563</v>
      </c>
      <c r="AF2" s="241" t="s">
        <v>566</v>
      </c>
      <c r="AG2" s="241" t="s">
        <v>569</v>
      </c>
      <c r="AH2" s="241" t="s">
        <v>572</v>
      </c>
      <c r="AI2" s="241" t="s">
        <v>575</v>
      </c>
      <c r="AJ2" s="241" t="s">
        <v>578</v>
      </c>
      <c r="AK2" s="241" t="s">
        <v>581</v>
      </c>
      <c r="AL2" s="241" t="s">
        <v>584</v>
      </c>
      <c r="AM2" s="241" t="s">
        <v>587</v>
      </c>
      <c r="AN2" s="241" t="s">
        <v>590</v>
      </c>
      <c r="AO2" s="241" t="s">
        <v>593</v>
      </c>
      <c r="AP2" s="241" t="s">
        <v>596</v>
      </c>
      <c r="AQ2" s="241" t="s">
        <v>599</v>
      </c>
      <c r="AR2" s="241" t="s">
        <v>602</v>
      </c>
      <c r="AS2" s="241" t="s">
        <v>605</v>
      </c>
      <c r="AT2" s="241" t="s">
        <v>607</v>
      </c>
      <c r="AU2" s="241" t="s">
        <v>610</v>
      </c>
      <c r="AV2" s="241" t="s">
        <v>613</v>
      </c>
      <c r="AW2" s="241" t="s">
        <v>616</v>
      </c>
      <c r="AX2" s="241" t="s">
        <v>619</v>
      </c>
      <c r="AY2" s="241" t="s">
        <v>622</v>
      </c>
      <c r="AZ2" s="241" t="s">
        <v>625</v>
      </c>
      <c r="BA2" s="241" t="s">
        <v>628</v>
      </c>
      <c r="BB2" s="241" t="s">
        <v>631</v>
      </c>
      <c r="BC2" s="241" t="s">
        <v>634</v>
      </c>
      <c r="BD2" s="241" t="s">
        <v>637</v>
      </c>
      <c r="BE2" s="241" t="s">
        <v>879</v>
      </c>
      <c r="BF2" s="241" t="s">
        <v>880</v>
      </c>
      <c r="BG2" s="241" t="s">
        <v>881</v>
      </c>
      <c r="BH2" s="241" t="s">
        <v>882</v>
      </c>
      <c r="BI2" s="241" t="s">
        <v>649</v>
      </c>
      <c r="BJ2" s="241" t="s">
        <v>652</v>
      </c>
      <c r="BK2" s="241" t="s">
        <v>488</v>
      </c>
      <c r="BL2" s="241" t="s">
        <v>657</v>
      </c>
      <c r="BM2" s="241" t="s">
        <v>660</v>
      </c>
      <c r="BN2" s="241" t="s">
        <v>883</v>
      </c>
      <c r="BO2" s="241" t="s">
        <v>884</v>
      </c>
      <c r="BP2" s="241" t="s">
        <v>885</v>
      </c>
      <c r="BQ2" s="241" t="s">
        <v>886</v>
      </c>
      <c r="BR2" s="241" t="s">
        <v>887</v>
      </c>
      <c r="BS2" s="241" t="s">
        <v>888</v>
      </c>
      <c r="BT2" s="241" t="s">
        <v>889</v>
      </c>
      <c r="BU2" s="241" t="s">
        <v>890</v>
      </c>
      <c r="BV2" s="241" t="s">
        <v>678</v>
      </c>
      <c r="BW2" s="241" t="s">
        <v>681</v>
      </c>
      <c r="BX2" s="241" t="s">
        <v>684</v>
      </c>
      <c r="BY2" s="241" t="s">
        <v>891</v>
      </c>
      <c r="BZ2" s="241" t="s">
        <v>688</v>
      </c>
      <c r="CA2" s="241" t="s">
        <v>691</v>
      </c>
      <c r="CB2" s="241" t="s">
        <v>694</v>
      </c>
      <c r="CC2" s="241" t="s">
        <v>697</v>
      </c>
      <c r="CD2" s="241" t="s">
        <v>892</v>
      </c>
      <c r="CE2" s="241" t="s">
        <v>893</v>
      </c>
      <c r="CF2" s="241" t="s">
        <v>894</v>
      </c>
      <c r="CG2" s="241" t="s">
        <v>895</v>
      </c>
      <c r="CH2" s="241" t="s">
        <v>1370</v>
      </c>
      <c r="CI2" s="241" t="s">
        <v>1371</v>
      </c>
      <c r="CJ2" s="241" t="s">
        <v>886</v>
      </c>
    </row>
    <row r="3" spans="1:88" s="220" customFormat="1" ht="13.8">
      <c r="A3" s="252" t="s">
        <v>1525</v>
      </c>
      <c r="B3" s="288">
        <v>3373</v>
      </c>
      <c r="C3" s="288" t="s">
        <v>703</v>
      </c>
      <c r="D3" s="248" t="s">
        <v>704</v>
      </c>
      <c r="E3" s="380"/>
      <c r="F3" s="383">
        <v>658896.8820125754</v>
      </c>
      <c r="G3" s="383">
        <v>0</v>
      </c>
      <c r="H3" s="383">
        <v>0</v>
      </c>
      <c r="I3" s="383">
        <v>0</v>
      </c>
      <c r="J3" s="383">
        <v>17000</v>
      </c>
      <c r="K3" s="383">
        <v>38318</v>
      </c>
      <c r="L3" s="383">
        <v>0</v>
      </c>
      <c r="M3" s="383">
        <v>0</v>
      </c>
      <c r="N3" s="383">
        <v>13956</v>
      </c>
      <c r="O3" s="383">
        <v>18500</v>
      </c>
      <c r="P3" s="383">
        <v>0</v>
      </c>
      <c r="Q3" s="383">
        <v>0</v>
      </c>
      <c r="R3" s="383">
        <v>0</v>
      </c>
      <c r="S3" s="383">
        <v>0</v>
      </c>
      <c r="T3" s="383">
        <v>0</v>
      </c>
      <c r="U3" s="383">
        <v>0</v>
      </c>
      <c r="V3" s="383">
        <v>0</v>
      </c>
      <c r="W3" s="383">
        <v>0</v>
      </c>
      <c r="X3" s="383">
        <v>0</v>
      </c>
      <c r="Y3" s="383">
        <f>SUBTOTAL(9,F3:X3)</f>
        <v>746670.8820125754</v>
      </c>
      <c r="Z3" s="383">
        <v>403358.95483146666</v>
      </c>
      <c r="AA3" s="383">
        <v>5000</v>
      </c>
      <c r="AB3" s="383">
        <v>131604.36585242063</v>
      </c>
      <c r="AC3" s="383">
        <v>1892.924577962578</v>
      </c>
      <c r="AD3" s="383">
        <v>34262.140646296779</v>
      </c>
      <c r="AE3" s="383">
        <v>29840.919717931392</v>
      </c>
      <c r="AF3" s="383">
        <v>0</v>
      </c>
      <c r="AG3" s="383">
        <v>400</v>
      </c>
      <c r="AH3" s="383">
        <v>2500</v>
      </c>
      <c r="AI3" s="383">
        <v>1400</v>
      </c>
      <c r="AJ3" s="383">
        <v>155</v>
      </c>
      <c r="AK3" s="383">
        <v>7725</v>
      </c>
      <c r="AL3" s="383">
        <v>2985</v>
      </c>
      <c r="AM3" s="383">
        <v>19675</v>
      </c>
      <c r="AN3" s="383">
        <v>1200</v>
      </c>
      <c r="AO3" s="383">
        <v>17470</v>
      </c>
      <c r="AP3" s="383">
        <v>0</v>
      </c>
      <c r="AQ3" s="383">
        <v>6200</v>
      </c>
      <c r="AR3" s="383">
        <v>24770</v>
      </c>
      <c r="AS3" s="383">
        <v>30865</v>
      </c>
      <c r="AT3" s="383">
        <v>0</v>
      </c>
      <c r="AU3" s="383">
        <v>5744</v>
      </c>
      <c r="AV3" s="383">
        <v>3500</v>
      </c>
      <c r="AW3" s="383">
        <v>4000</v>
      </c>
      <c r="AX3" s="383">
        <v>20950</v>
      </c>
      <c r="AY3" s="383">
        <v>0</v>
      </c>
      <c r="AZ3" s="383">
        <v>13730</v>
      </c>
      <c r="BA3" s="383">
        <v>8610</v>
      </c>
      <c r="BB3" s="383">
        <v>0</v>
      </c>
      <c r="BC3" s="383">
        <v>0</v>
      </c>
      <c r="BD3" s="383">
        <v>600</v>
      </c>
      <c r="BE3" s="383">
        <f>SUBTOTAL(9,Z3:BD3)</f>
        <v>778438.30562607804</v>
      </c>
      <c r="BF3" s="383">
        <f>Y3-BE3</f>
        <v>-31767.423613502644</v>
      </c>
      <c r="BG3" s="383">
        <v>12316.100000000079</v>
      </c>
      <c r="BH3" s="383">
        <f>BG3+BF3</f>
        <v>-19451.323613502565</v>
      </c>
      <c r="BI3" s="383">
        <v>0</v>
      </c>
      <c r="BJ3" s="383">
        <v>0</v>
      </c>
      <c r="BK3" s="383">
        <f>SUBTOTAL(9,BI3:BJ3)</f>
        <v>0</v>
      </c>
      <c r="BL3" s="383">
        <v>0</v>
      </c>
      <c r="BM3" s="383">
        <v>0</v>
      </c>
      <c r="BN3" s="383">
        <f>SUBTOTAL(9,BL3:BM3)</f>
        <v>0</v>
      </c>
      <c r="BO3" s="383">
        <f>BK3-BN3</f>
        <v>0</v>
      </c>
      <c r="BP3" s="383">
        <v>0</v>
      </c>
      <c r="BQ3" s="383">
        <f>BP3+BO3</f>
        <v>0</v>
      </c>
      <c r="BR3" s="383">
        <v>0</v>
      </c>
      <c r="BS3" s="383">
        <v>-19451.323613502565</v>
      </c>
      <c r="BT3" s="383">
        <v>0</v>
      </c>
      <c r="BU3" s="383">
        <f>BQ3+BH3</f>
        <v>-19451.323613502565</v>
      </c>
      <c r="BV3" s="383">
        <v>0</v>
      </c>
      <c r="BW3" s="383">
        <v>0</v>
      </c>
      <c r="BX3" s="383">
        <v>0</v>
      </c>
      <c r="BY3" s="383">
        <f>SUBTOTAL(9,BV3:BX3)</f>
        <v>0</v>
      </c>
      <c r="BZ3" s="383">
        <v>0</v>
      </c>
      <c r="CA3" s="383">
        <v>0</v>
      </c>
      <c r="CB3" s="383">
        <v>0</v>
      </c>
      <c r="CC3" s="383">
        <v>0</v>
      </c>
      <c r="CD3" s="383">
        <f>SUBTOTAL(9,BZ3:CC3)</f>
        <v>0</v>
      </c>
      <c r="CE3" s="383">
        <f>BY3-CD3</f>
        <v>0</v>
      </c>
      <c r="CF3" s="383">
        <v>0</v>
      </c>
      <c r="CG3" s="383">
        <f>CF3+CE3</f>
        <v>0</v>
      </c>
      <c r="CH3" s="383">
        <f>VLOOKUP($B3,'Data - CFR 202526'!$B$4:$CJ$127,85,0)</f>
        <v>0</v>
      </c>
      <c r="CI3" s="383">
        <f>VLOOKUP($B3,'Data - CFR 202526'!$B$4:$CJ$127,86,0)</f>
        <v>0</v>
      </c>
      <c r="CJ3" s="383">
        <f>VLOOKUP($B3,'Data - CFR 202526'!$B$4:$CJ$127,87,0)</f>
        <v>0</v>
      </c>
    </row>
    <row r="4" spans="1:88" s="220" customFormat="1" ht="13.8">
      <c r="A4" s="252" t="s">
        <v>1525</v>
      </c>
      <c r="B4" s="288">
        <v>3061</v>
      </c>
      <c r="C4" s="288" t="s">
        <v>705</v>
      </c>
      <c r="D4" s="248" t="s">
        <v>704</v>
      </c>
      <c r="E4" s="380"/>
      <c r="F4" s="383">
        <v>1167191.2181704799</v>
      </c>
      <c r="G4" s="383">
        <v>0</v>
      </c>
      <c r="H4" s="383">
        <v>67576</v>
      </c>
      <c r="I4" s="383">
        <v>0</v>
      </c>
      <c r="J4" s="383">
        <v>51780</v>
      </c>
      <c r="K4" s="383">
        <v>53537</v>
      </c>
      <c r="L4" s="383">
        <v>0</v>
      </c>
      <c r="M4" s="383">
        <v>0</v>
      </c>
      <c r="N4" s="383">
        <v>60750</v>
      </c>
      <c r="O4" s="383">
        <v>0</v>
      </c>
      <c r="P4" s="383">
        <v>0</v>
      </c>
      <c r="Q4" s="383">
        <v>0</v>
      </c>
      <c r="R4" s="383">
        <v>0</v>
      </c>
      <c r="S4" s="383">
        <v>0</v>
      </c>
      <c r="T4" s="383">
        <v>0</v>
      </c>
      <c r="U4" s="383">
        <v>0</v>
      </c>
      <c r="V4" s="383">
        <v>0</v>
      </c>
      <c r="W4" s="383">
        <v>0</v>
      </c>
      <c r="X4" s="383">
        <v>0</v>
      </c>
      <c r="Y4" s="383">
        <f t="shared" ref="Y4:Y67" si="0">SUBTOTAL(9,F4:X4)</f>
        <v>1400834.2181704799</v>
      </c>
      <c r="Z4" s="383">
        <v>650883.78109245002</v>
      </c>
      <c r="AA4" s="383">
        <v>1000</v>
      </c>
      <c r="AB4" s="383">
        <v>368488.09619708918</v>
      </c>
      <c r="AC4" s="383">
        <v>37863.03083044113</v>
      </c>
      <c r="AD4" s="383">
        <v>78040.14812189489</v>
      </c>
      <c r="AE4" s="383">
        <v>0</v>
      </c>
      <c r="AF4" s="383">
        <v>61031.149733861552</v>
      </c>
      <c r="AG4" s="383">
        <v>5651</v>
      </c>
      <c r="AH4" s="383">
        <v>3500</v>
      </c>
      <c r="AI4" s="383">
        <v>5225</v>
      </c>
      <c r="AJ4" s="383">
        <v>1581</v>
      </c>
      <c r="AK4" s="383">
        <v>15000</v>
      </c>
      <c r="AL4" s="383">
        <v>2750</v>
      </c>
      <c r="AM4" s="383">
        <v>4000</v>
      </c>
      <c r="AN4" s="383">
        <v>3500</v>
      </c>
      <c r="AO4" s="383">
        <v>25000</v>
      </c>
      <c r="AP4" s="383">
        <v>28860</v>
      </c>
      <c r="AQ4" s="383">
        <v>5975</v>
      </c>
      <c r="AR4" s="383">
        <v>34861.619999999995</v>
      </c>
      <c r="AS4" s="383">
        <v>28722</v>
      </c>
      <c r="AT4" s="383">
        <v>0</v>
      </c>
      <c r="AU4" s="383">
        <v>8050</v>
      </c>
      <c r="AV4" s="383">
        <v>5850</v>
      </c>
      <c r="AW4" s="383">
        <v>4300</v>
      </c>
      <c r="AX4" s="383">
        <v>43767</v>
      </c>
      <c r="AY4" s="383">
        <v>15925</v>
      </c>
      <c r="AZ4" s="383">
        <v>3460</v>
      </c>
      <c r="BA4" s="383">
        <v>8859.75</v>
      </c>
      <c r="BB4" s="383">
        <v>0</v>
      </c>
      <c r="BC4" s="383">
        <v>0</v>
      </c>
      <c r="BD4" s="383">
        <v>0</v>
      </c>
      <c r="BE4" s="383">
        <f t="shared" ref="BE4:BE67" si="1">SUBTOTAL(9,Z4:BD4)</f>
        <v>1452143.5759757366</v>
      </c>
      <c r="BF4" s="383">
        <f t="shared" ref="BF4:BF67" si="2">Y4-BE4</f>
        <v>-51309.357805256732</v>
      </c>
      <c r="BG4" s="383">
        <v>72574.309999999852</v>
      </c>
      <c r="BH4" s="383">
        <f t="shared" ref="BH4:BH67" si="3">BG4+BF4</f>
        <v>21264.95219474312</v>
      </c>
      <c r="BI4" s="383">
        <v>0</v>
      </c>
      <c r="BJ4" s="383">
        <v>0</v>
      </c>
      <c r="BK4" s="383">
        <f t="shared" ref="BK4:BK67" si="4">SUBTOTAL(9,BI4:BJ4)</f>
        <v>0</v>
      </c>
      <c r="BL4" s="383">
        <v>0</v>
      </c>
      <c r="BM4" s="383">
        <v>0</v>
      </c>
      <c r="BN4" s="383">
        <f t="shared" ref="BN4:BN67" si="5">SUBTOTAL(9,BL4:BM4)</f>
        <v>0</v>
      </c>
      <c r="BO4" s="383">
        <f t="shared" ref="BO4:BO67" si="6">BK4-BN4</f>
        <v>0</v>
      </c>
      <c r="BP4" s="383">
        <v>0</v>
      </c>
      <c r="BQ4" s="383">
        <f t="shared" ref="BQ4:BQ67" si="7">BP4+BO4</f>
        <v>0</v>
      </c>
      <c r="BR4" s="383">
        <v>0</v>
      </c>
      <c r="BS4" s="383">
        <v>21264.95219474312</v>
      </c>
      <c r="BT4" s="383">
        <v>0</v>
      </c>
      <c r="BU4" s="383">
        <f t="shared" ref="BU4:BU67" si="8">BQ4+BH4</f>
        <v>21264.95219474312</v>
      </c>
      <c r="BV4" s="383">
        <v>6318</v>
      </c>
      <c r="BW4" s="383">
        <v>0</v>
      </c>
      <c r="BX4" s="383">
        <v>0</v>
      </c>
      <c r="BY4" s="383">
        <f t="shared" ref="BY4:BY67" si="9">SUBTOTAL(9,BV4:BX4)</f>
        <v>6318</v>
      </c>
      <c r="BZ4" s="383">
        <v>0</v>
      </c>
      <c r="CA4" s="383">
        <v>0</v>
      </c>
      <c r="CB4" s="383">
        <v>0</v>
      </c>
      <c r="CC4" s="383">
        <v>7019.07</v>
      </c>
      <c r="CD4" s="383">
        <f t="shared" ref="CD4:CD67" si="10">SUBTOTAL(9,BZ4:CC4)</f>
        <v>7019.07</v>
      </c>
      <c r="CE4" s="383">
        <f t="shared" ref="CE4:CE67" si="11">BY4-CD4</f>
        <v>-701.06999999999971</v>
      </c>
      <c r="CF4" s="383">
        <v>701.07000000000153</v>
      </c>
      <c r="CG4" s="383">
        <f t="shared" ref="CG4:CG67" si="12">CF4+CE4</f>
        <v>1.8189894035458565E-12</v>
      </c>
      <c r="CH4" s="383">
        <f>VLOOKUP($B4,'Data - CFR 202526'!$B$4:$CJ$127,85,0)</f>
        <v>701.07000000000153</v>
      </c>
      <c r="CI4" s="383">
        <f>VLOOKUP($B4,'Data - CFR 202526'!$B$4:$CJ$127,86,0)</f>
        <v>0</v>
      </c>
      <c r="CJ4" s="383">
        <f>VLOOKUP($B4,'Data - CFR 202526'!$B$4:$CJ$127,87,0)</f>
        <v>701.07000000000153</v>
      </c>
    </row>
    <row r="5" spans="1:88" s="220" customFormat="1" ht="13.8">
      <c r="A5" s="252" t="s">
        <v>1525</v>
      </c>
      <c r="B5" s="288">
        <v>2083</v>
      </c>
      <c r="C5" s="288" t="s">
        <v>706</v>
      </c>
      <c r="D5" s="248" t="s">
        <v>704</v>
      </c>
      <c r="E5" s="380"/>
      <c r="F5" s="383">
        <v>747053.81455016404</v>
      </c>
      <c r="G5" s="383">
        <v>0</v>
      </c>
      <c r="H5" s="383">
        <v>67974</v>
      </c>
      <c r="I5" s="383">
        <v>0</v>
      </c>
      <c r="J5" s="383">
        <v>44540</v>
      </c>
      <c r="K5" s="383">
        <v>27116</v>
      </c>
      <c r="L5" s="383">
        <v>0</v>
      </c>
      <c r="M5" s="383">
        <v>0</v>
      </c>
      <c r="N5" s="383">
        <v>5500</v>
      </c>
      <c r="O5" s="383">
        <v>3700</v>
      </c>
      <c r="P5" s="383">
        <v>0</v>
      </c>
      <c r="Q5" s="383">
        <v>0</v>
      </c>
      <c r="R5" s="383">
        <v>0</v>
      </c>
      <c r="S5" s="383">
        <v>0</v>
      </c>
      <c r="T5" s="383">
        <v>0</v>
      </c>
      <c r="U5" s="383">
        <v>0</v>
      </c>
      <c r="V5" s="383">
        <v>0</v>
      </c>
      <c r="W5" s="383">
        <v>0</v>
      </c>
      <c r="X5" s="383">
        <v>0</v>
      </c>
      <c r="Y5" s="383">
        <f t="shared" si="0"/>
        <v>895883.81455016404</v>
      </c>
      <c r="Z5" s="383">
        <v>406713.46329733334</v>
      </c>
      <c r="AA5" s="383">
        <v>3000</v>
      </c>
      <c r="AB5" s="383">
        <v>266195.11115132034</v>
      </c>
      <c r="AC5" s="383">
        <v>31717.987321904948</v>
      </c>
      <c r="AD5" s="383">
        <v>45833.946969858334</v>
      </c>
      <c r="AE5" s="383">
        <v>21617.739715258966</v>
      </c>
      <c r="AF5" s="383">
        <v>17575.793483078753</v>
      </c>
      <c r="AG5" s="383">
        <v>3800</v>
      </c>
      <c r="AH5" s="383">
        <v>5000</v>
      </c>
      <c r="AI5" s="383">
        <v>3000</v>
      </c>
      <c r="AJ5" s="383">
        <v>1000</v>
      </c>
      <c r="AK5" s="383">
        <v>8000</v>
      </c>
      <c r="AL5" s="383">
        <v>8000</v>
      </c>
      <c r="AM5" s="383">
        <v>4000</v>
      </c>
      <c r="AN5" s="383">
        <v>3200</v>
      </c>
      <c r="AO5" s="383">
        <v>22000</v>
      </c>
      <c r="AP5" s="383">
        <v>14144</v>
      </c>
      <c r="AQ5" s="383">
        <v>3600</v>
      </c>
      <c r="AR5" s="383">
        <v>45348.770000000004</v>
      </c>
      <c r="AS5" s="383">
        <v>17168</v>
      </c>
      <c r="AT5" s="383">
        <v>0</v>
      </c>
      <c r="AU5" s="383">
        <v>6800</v>
      </c>
      <c r="AV5" s="383">
        <v>3300</v>
      </c>
      <c r="AW5" s="383">
        <v>0</v>
      </c>
      <c r="AX5" s="383">
        <v>15600</v>
      </c>
      <c r="AY5" s="383">
        <v>0</v>
      </c>
      <c r="AZ5" s="383">
        <v>3500</v>
      </c>
      <c r="BA5" s="383">
        <v>13869</v>
      </c>
      <c r="BB5" s="383">
        <v>0</v>
      </c>
      <c r="BC5" s="383">
        <v>0</v>
      </c>
      <c r="BD5" s="383">
        <v>0</v>
      </c>
      <c r="BE5" s="383">
        <f t="shared" si="1"/>
        <v>973983.81193875475</v>
      </c>
      <c r="BF5" s="383">
        <f t="shared" si="2"/>
        <v>-78099.997388590709</v>
      </c>
      <c r="BG5" s="383">
        <v>152241.20999999988</v>
      </c>
      <c r="BH5" s="383">
        <f t="shared" si="3"/>
        <v>74141.212611409166</v>
      </c>
      <c r="BI5" s="383">
        <v>0</v>
      </c>
      <c r="BJ5" s="383">
        <v>0</v>
      </c>
      <c r="BK5" s="383">
        <f t="shared" si="4"/>
        <v>0</v>
      </c>
      <c r="BL5" s="383">
        <v>0</v>
      </c>
      <c r="BM5" s="383">
        <v>0</v>
      </c>
      <c r="BN5" s="383">
        <f t="shared" si="5"/>
        <v>0</v>
      </c>
      <c r="BO5" s="383">
        <f t="shared" si="6"/>
        <v>0</v>
      </c>
      <c r="BP5" s="383">
        <v>0</v>
      </c>
      <c r="BQ5" s="383">
        <f t="shared" si="7"/>
        <v>0</v>
      </c>
      <c r="BR5" s="383">
        <v>0</v>
      </c>
      <c r="BS5" s="383">
        <v>74141.212611409166</v>
      </c>
      <c r="BT5" s="383">
        <v>0</v>
      </c>
      <c r="BU5" s="383">
        <f t="shared" si="8"/>
        <v>74141.212611409166</v>
      </c>
      <c r="BV5" s="383">
        <v>5215</v>
      </c>
      <c r="BW5" s="383">
        <v>0</v>
      </c>
      <c r="BX5" s="383">
        <v>0</v>
      </c>
      <c r="BY5" s="383">
        <f t="shared" si="9"/>
        <v>5215</v>
      </c>
      <c r="BZ5" s="383">
        <v>0</v>
      </c>
      <c r="CA5" s="383">
        <v>14886.79</v>
      </c>
      <c r="CB5" s="383">
        <v>0</v>
      </c>
      <c r="CC5" s="383">
        <v>0</v>
      </c>
      <c r="CD5" s="383">
        <f t="shared" si="10"/>
        <v>14886.79</v>
      </c>
      <c r="CE5" s="383">
        <f t="shared" si="11"/>
        <v>-9671.7900000000009</v>
      </c>
      <c r="CF5" s="383">
        <v>9671.7899999999991</v>
      </c>
      <c r="CG5" s="383">
        <f t="shared" si="12"/>
        <v>0</v>
      </c>
      <c r="CH5" s="383">
        <f>VLOOKUP($B5,'Data - CFR 202526'!$B$4:$CJ$127,85,0)</f>
        <v>9671.7899999999991</v>
      </c>
      <c r="CI5" s="383">
        <f>VLOOKUP($B5,'Data - CFR 202526'!$B$4:$CJ$127,86,0)</f>
        <v>0</v>
      </c>
      <c r="CJ5" s="383">
        <f>VLOOKUP($B5,'Data - CFR 202526'!$B$4:$CJ$127,87,0)</f>
        <v>9671.7899999999991</v>
      </c>
    </row>
    <row r="6" spans="1:88" s="220" customFormat="1" ht="13.8">
      <c r="A6" s="252" t="s">
        <v>1525</v>
      </c>
      <c r="B6" s="288">
        <v>2118</v>
      </c>
      <c r="C6" s="288" t="s">
        <v>707</v>
      </c>
      <c r="D6" s="248" t="s">
        <v>704</v>
      </c>
      <c r="E6" s="380"/>
      <c r="F6" s="383">
        <v>2269864.0708544399</v>
      </c>
      <c r="G6" s="383">
        <v>0</v>
      </c>
      <c r="H6" s="383">
        <v>52084</v>
      </c>
      <c r="I6" s="383">
        <v>0</v>
      </c>
      <c r="J6" s="383">
        <v>229720</v>
      </c>
      <c r="K6" s="383">
        <v>80308</v>
      </c>
      <c r="L6" s="383">
        <v>0</v>
      </c>
      <c r="M6" s="383">
        <v>0</v>
      </c>
      <c r="N6" s="383">
        <v>98350</v>
      </c>
      <c r="O6" s="383">
        <v>39550</v>
      </c>
      <c r="P6" s="383">
        <v>0</v>
      </c>
      <c r="Q6" s="383">
        <v>0</v>
      </c>
      <c r="R6" s="383">
        <v>11295</v>
      </c>
      <c r="S6" s="383">
        <v>1300</v>
      </c>
      <c r="T6" s="383">
        <v>0</v>
      </c>
      <c r="U6" s="383">
        <v>0</v>
      </c>
      <c r="V6" s="383">
        <v>0</v>
      </c>
      <c r="W6" s="383">
        <v>0</v>
      </c>
      <c r="X6" s="383">
        <v>0</v>
      </c>
      <c r="Y6" s="383">
        <f t="shared" si="0"/>
        <v>2782471.0708544399</v>
      </c>
      <c r="Z6" s="383">
        <v>1512345.6524827336</v>
      </c>
      <c r="AA6" s="383">
        <v>0</v>
      </c>
      <c r="AB6" s="383">
        <v>413277.495023884</v>
      </c>
      <c r="AC6" s="383">
        <v>0</v>
      </c>
      <c r="AD6" s="383">
        <v>100425.5382681394</v>
      </c>
      <c r="AE6" s="383">
        <v>0</v>
      </c>
      <c r="AF6" s="383">
        <v>48769.739082754822</v>
      </c>
      <c r="AG6" s="383">
        <v>7800</v>
      </c>
      <c r="AH6" s="383">
        <v>2500</v>
      </c>
      <c r="AI6" s="383">
        <v>9724</v>
      </c>
      <c r="AJ6" s="383">
        <v>1852</v>
      </c>
      <c r="AK6" s="383">
        <v>101500</v>
      </c>
      <c r="AL6" s="383">
        <v>46600</v>
      </c>
      <c r="AM6" s="383">
        <v>51597.599999999999</v>
      </c>
      <c r="AN6" s="383">
        <v>15000</v>
      </c>
      <c r="AO6" s="383">
        <v>31035</v>
      </c>
      <c r="AP6" s="383">
        <v>43120</v>
      </c>
      <c r="AQ6" s="383">
        <v>11600</v>
      </c>
      <c r="AR6" s="383">
        <v>75965</v>
      </c>
      <c r="AS6" s="383">
        <v>41298</v>
      </c>
      <c r="AT6" s="383">
        <v>0</v>
      </c>
      <c r="AU6" s="383">
        <v>10335</v>
      </c>
      <c r="AV6" s="383">
        <v>10100</v>
      </c>
      <c r="AW6" s="383">
        <v>4455</v>
      </c>
      <c r="AX6" s="383">
        <v>163683</v>
      </c>
      <c r="AY6" s="383">
        <v>15370</v>
      </c>
      <c r="AZ6" s="383">
        <v>89584</v>
      </c>
      <c r="BA6" s="383">
        <v>18046</v>
      </c>
      <c r="BB6" s="383">
        <v>0</v>
      </c>
      <c r="BC6" s="383">
        <v>0</v>
      </c>
      <c r="BD6" s="383">
        <v>0</v>
      </c>
      <c r="BE6" s="383">
        <f t="shared" si="1"/>
        <v>2825983.0248575117</v>
      </c>
      <c r="BF6" s="383">
        <f t="shared" si="2"/>
        <v>-43511.954003071878</v>
      </c>
      <c r="BG6" s="383">
        <v>399417.75000000128</v>
      </c>
      <c r="BH6" s="383">
        <f t="shared" si="3"/>
        <v>355905.7959969294</v>
      </c>
      <c r="BI6" s="383">
        <v>0</v>
      </c>
      <c r="BJ6" s="383">
        <v>0</v>
      </c>
      <c r="BK6" s="383">
        <f t="shared" si="4"/>
        <v>0</v>
      </c>
      <c r="BL6" s="383">
        <v>0</v>
      </c>
      <c r="BM6" s="383">
        <v>0</v>
      </c>
      <c r="BN6" s="383">
        <f t="shared" si="5"/>
        <v>0</v>
      </c>
      <c r="BO6" s="383">
        <f t="shared" si="6"/>
        <v>0</v>
      </c>
      <c r="BP6" s="383">
        <v>0</v>
      </c>
      <c r="BQ6" s="383">
        <f t="shared" si="7"/>
        <v>0</v>
      </c>
      <c r="BR6" s="383">
        <v>0</v>
      </c>
      <c r="BS6" s="383">
        <v>355905.7959969294</v>
      </c>
      <c r="BT6" s="383">
        <v>0</v>
      </c>
      <c r="BU6" s="383">
        <f t="shared" si="8"/>
        <v>355905.7959969294</v>
      </c>
      <c r="BV6" s="383">
        <v>8286</v>
      </c>
      <c r="BW6" s="383">
        <v>0</v>
      </c>
      <c r="BX6" s="383">
        <v>0</v>
      </c>
      <c r="BY6" s="383">
        <f t="shared" si="9"/>
        <v>8286</v>
      </c>
      <c r="BZ6" s="383">
        <v>0</v>
      </c>
      <c r="CA6" s="383">
        <v>8286</v>
      </c>
      <c r="CB6" s="383">
        <v>0</v>
      </c>
      <c r="CC6" s="383">
        <v>0</v>
      </c>
      <c r="CD6" s="383">
        <f t="shared" si="10"/>
        <v>8286</v>
      </c>
      <c r="CE6" s="383">
        <f t="shared" si="11"/>
        <v>0</v>
      </c>
      <c r="CF6" s="383">
        <v>1.8189894035458565E-12</v>
      </c>
      <c r="CG6" s="383">
        <f t="shared" si="12"/>
        <v>1.8189894035458565E-12</v>
      </c>
      <c r="CH6" s="383">
        <f>VLOOKUP($B6,'Data - CFR 202526'!$B$4:$CJ$127,85,0)</f>
        <v>0</v>
      </c>
      <c r="CI6" s="383">
        <f>VLOOKUP($B6,'Data - CFR 202526'!$B$4:$CJ$127,86,0)</f>
        <v>-7.2759576141834259E-12</v>
      </c>
      <c r="CJ6" s="383">
        <f>VLOOKUP($B6,'Data - CFR 202526'!$B$4:$CJ$127,87,0)</f>
        <v>-7.2759576141834259E-12</v>
      </c>
    </row>
    <row r="7" spans="1:88" s="220" customFormat="1" ht="13.8">
      <c r="A7" s="252" t="s">
        <v>1525</v>
      </c>
      <c r="B7" s="288">
        <v>2217</v>
      </c>
      <c r="C7" s="288" t="s">
        <v>708</v>
      </c>
      <c r="D7" s="248" t="s">
        <v>704</v>
      </c>
      <c r="E7" s="380"/>
      <c r="F7" s="383">
        <v>921425.73262979987</v>
      </c>
      <c r="G7" s="383">
        <v>0</v>
      </c>
      <c r="H7" s="383">
        <v>75578</v>
      </c>
      <c r="I7" s="383">
        <v>0</v>
      </c>
      <c r="J7" s="383">
        <v>67980</v>
      </c>
      <c r="K7" s="383">
        <v>41213</v>
      </c>
      <c r="L7" s="383">
        <v>0</v>
      </c>
      <c r="M7" s="383">
        <v>3000</v>
      </c>
      <c r="N7" s="383">
        <v>11000</v>
      </c>
      <c r="O7" s="383">
        <v>400</v>
      </c>
      <c r="P7" s="383">
        <v>0</v>
      </c>
      <c r="Q7" s="383">
        <v>0</v>
      </c>
      <c r="R7" s="383">
        <v>650</v>
      </c>
      <c r="S7" s="383">
        <v>3000</v>
      </c>
      <c r="T7" s="383">
        <v>0</v>
      </c>
      <c r="U7" s="383">
        <v>0</v>
      </c>
      <c r="V7" s="383">
        <v>0</v>
      </c>
      <c r="W7" s="383">
        <v>0</v>
      </c>
      <c r="X7" s="383">
        <v>0</v>
      </c>
      <c r="Y7" s="383">
        <f t="shared" si="0"/>
        <v>1124246.7326297997</v>
      </c>
      <c r="Z7" s="383">
        <v>591773.72568213323</v>
      </c>
      <c r="AA7" s="383">
        <v>3000</v>
      </c>
      <c r="AB7" s="383">
        <v>226524.13697892529</v>
      </c>
      <c r="AC7" s="383">
        <v>25918.576303461537</v>
      </c>
      <c r="AD7" s="383">
        <v>67171.904688942741</v>
      </c>
      <c r="AE7" s="383">
        <v>0</v>
      </c>
      <c r="AF7" s="383">
        <v>4737.3036860455422</v>
      </c>
      <c r="AG7" s="383">
        <v>3650</v>
      </c>
      <c r="AH7" s="383">
        <v>4000</v>
      </c>
      <c r="AI7" s="383">
        <v>3807</v>
      </c>
      <c r="AJ7" s="383">
        <v>0</v>
      </c>
      <c r="AK7" s="383">
        <v>4000</v>
      </c>
      <c r="AL7" s="383">
        <v>2500</v>
      </c>
      <c r="AM7" s="383">
        <v>2800</v>
      </c>
      <c r="AN7" s="383">
        <v>1300</v>
      </c>
      <c r="AO7" s="383">
        <v>17000</v>
      </c>
      <c r="AP7" s="383">
        <v>26950</v>
      </c>
      <c r="AQ7" s="383">
        <v>4690</v>
      </c>
      <c r="AR7" s="383">
        <v>16237</v>
      </c>
      <c r="AS7" s="383">
        <v>30000</v>
      </c>
      <c r="AT7" s="383">
        <v>0</v>
      </c>
      <c r="AU7" s="383">
        <v>8630</v>
      </c>
      <c r="AV7" s="383">
        <v>4155</v>
      </c>
      <c r="AW7" s="383">
        <v>0</v>
      </c>
      <c r="AX7" s="383">
        <v>43503</v>
      </c>
      <c r="AY7" s="383">
        <v>0</v>
      </c>
      <c r="AZ7" s="383">
        <v>6500</v>
      </c>
      <c r="BA7" s="383">
        <v>12425</v>
      </c>
      <c r="BB7" s="383">
        <v>0</v>
      </c>
      <c r="BC7" s="383">
        <v>0</v>
      </c>
      <c r="BD7" s="383">
        <v>3065</v>
      </c>
      <c r="BE7" s="383">
        <f t="shared" si="1"/>
        <v>1114337.6473395084</v>
      </c>
      <c r="BF7" s="383">
        <f t="shared" si="2"/>
        <v>9909.0852902913466</v>
      </c>
      <c r="BG7" s="383">
        <v>-8989.7199999997756</v>
      </c>
      <c r="BH7" s="383">
        <f t="shared" si="3"/>
        <v>919.365290291571</v>
      </c>
      <c r="BI7" s="383">
        <v>0</v>
      </c>
      <c r="BJ7" s="383">
        <v>1100</v>
      </c>
      <c r="BK7" s="383">
        <f t="shared" si="4"/>
        <v>1100</v>
      </c>
      <c r="BL7" s="383">
        <v>0</v>
      </c>
      <c r="BM7" s="383">
        <v>1100</v>
      </c>
      <c r="BN7" s="383">
        <f t="shared" si="5"/>
        <v>1100</v>
      </c>
      <c r="BO7" s="383">
        <f t="shared" si="6"/>
        <v>0</v>
      </c>
      <c r="BP7" s="383">
        <v>4164.9100000000008</v>
      </c>
      <c r="BQ7" s="383">
        <f t="shared" si="7"/>
        <v>4164.9100000000008</v>
      </c>
      <c r="BR7" s="383">
        <v>0</v>
      </c>
      <c r="BS7" s="383">
        <v>919.365290291571</v>
      </c>
      <c r="BT7" s="383">
        <v>4164.9100000000008</v>
      </c>
      <c r="BU7" s="383">
        <f t="shared" si="8"/>
        <v>5084.2752902915718</v>
      </c>
      <c r="BV7" s="383">
        <v>5502</v>
      </c>
      <c r="BW7" s="383">
        <v>0</v>
      </c>
      <c r="BX7" s="383">
        <v>0</v>
      </c>
      <c r="BY7" s="383">
        <f t="shared" si="9"/>
        <v>5502</v>
      </c>
      <c r="BZ7" s="383">
        <v>0</v>
      </c>
      <c r="CA7" s="383">
        <v>9125.3700000000008</v>
      </c>
      <c r="CB7" s="383">
        <v>0</v>
      </c>
      <c r="CC7" s="383">
        <v>0</v>
      </c>
      <c r="CD7" s="383">
        <f t="shared" si="10"/>
        <v>9125.3700000000008</v>
      </c>
      <c r="CE7" s="383">
        <f t="shared" si="11"/>
        <v>-3623.3700000000008</v>
      </c>
      <c r="CF7" s="383">
        <v>3623.3700000000008</v>
      </c>
      <c r="CG7" s="383">
        <f t="shared" si="12"/>
        <v>0</v>
      </c>
      <c r="CH7" s="383">
        <f>VLOOKUP($B7,'Data - CFR 202526'!$B$4:$CJ$127,85,0)</f>
        <v>2786.42</v>
      </c>
      <c r="CI7" s="383">
        <f>VLOOKUP($B7,'Data - CFR 202526'!$B$4:$CJ$127,86,0)</f>
        <v>836.95</v>
      </c>
      <c r="CJ7" s="383">
        <f>VLOOKUP($B7,'Data - CFR 202526'!$B$4:$CJ$127,87,0)</f>
        <v>3623.37</v>
      </c>
    </row>
    <row r="8" spans="1:88" s="220" customFormat="1" ht="13.8">
      <c r="A8" s="252" t="s">
        <v>1525</v>
      </c>
      <c r="B8" s="288">
        <v>3067</v>
      </c>
      <c r="C8" s="288" t="s">
        <v>709</v>
      </c>
      <c r="D8" s="248" t="s">
        <v>704</v>
      </c>
      <c r="E8" s="380"/>
      <c r="F8" s="383">
        <v>819655.17641473305</v>
      </c>
      <c r="G8" s="383">
        <v>0</v>
      </c>
      <c r="H8" s="383">
        <v>24483</v>
      </c>
      <c r="I8" s="383">
        <v>0</v>
      </c>
      <c r="J8" s="383">
        <v>20470</v>
      </c>
      <c r="K8" s="383">
        <v>42231</v>
      </c>
      <c r="L8" s="383">
        <v>0</v>
      </c>
      <c r="M8" s="383">
        <v>2150</v>
      </c>
      <c r="N8" s="383">
        <v>5650</v>
      </c>
      <c r="O8" s="383">
        <v>36500</v>
      </c>
      <c r="P8" s="383">
        <v>0</v>
      </c>
      <c r="Q8" s="383">
        <v>0</v>
      </c>
      <c r="R8" s="383">
        <v>0</v>
      </c>
      <c r="S8" s="383">
        <v>2500</v>
      </c>
      <c r="T8" s="383">
        <v>0</v>
      </c>
      <c r="U8" s="383">
        <v>0</v>
      </c>
      <c r="V8" s="383">
        <v>0</v>
      </c>
      <c r="W8" s="383">
        <v>0</v>
      </c>
      <c r="X8" s="383">
        <v>0</v>
      </c>
      <c r="Y8" s="383">
        <f t="shared" si="0"/>
        <v>953639.17641473305</v>
      </c>
      <c r="Z8" s="383">
        <v>531422.03841036663</v>
      </c>
      <c r="AA8" s="383">
        <v>8000</v>
      </c>
      <c r="AB8" s="383">
        <v>175650.22140788875</v>
      </c>
      <c r="AC8" s="383">
        <v>9410.8592486486486</v>
      </c>
      <c r="AD8" s="383">
        <v>61528.053782081915</v>
      </c>
      <c r="AE8" s="383">
        <v>44995.66804081211</v>
      </c>
      <c r="AF8" s="383">
        <v>15404.050691538823</v>
      </c>
      <c r="AG8" s="383">
        <v>3740</v>
      </c>
      <c r="AH8" s="383">
        <v>2500</v>
      </c>
      <c r="AI8" s="383">
        <v>3744</v>
      </c>
      <c r="AJ8" s="383">
        <v>945</v>
      </c>
      <c r="AK8" s="383">
        <v>14000</v>
      </c>
      <c r="AL8" s="383">
        <v>3300</v>
      </c>
      <c r="AM8" s="383">
        <v>14300</v>
      </c>
      <c r="AN8" s="383">
        <v>3085</v>
      </c>
      <c r="AO8" s="383">
        <v>16650</v>
      </c>
      <c r="AP8" s="383">
        <v>16691</v>
      </c>
      <c r="AQ8" s="383">
        <v>6425</v>
      </c>
      <c r="AR8" s="383">
        <v>23965</v>
      </c>
      <c r="AS8" s="383">
        <v>32470</v>
      </c>
      <c r="AT8" s="383">
        <v>0</v>
      </c>
      <c r="AU8" s="383">
        <v>6384</v>
      </c>
      <c r="AV8" s="383">
        <v>4453.0200000000004</v>
      </c>
      <c r="AW8" s="383">
        <v>2100</v>
      </c>
      <c r="AX8" s="383">
        <v>28700</v>
      </c>
      <c r="AY8" s="383">
        <v>0</v>
      </c>
      <c r="AZ8" s="383">
        <v>190</v>
      </c>
      <c r="BA8" s="383">
        <v>12704.01</v>
      </c>
      <c r="BB8" s="383">
        <v>0</v>
      </c>
      <c r="BC8" s="383">
        <v>0</v>
      </c>
      <c r="BD8" s="383">
        <v>0</v>
      </c>
      <c r="BE8" s="383">
        <f t="shared" si="1"/>
        <v>1042756.921581337</v>
      </c>
      <c r="BF8" s="383">
        <f t="shared" si="2"/>
        <v>-89117.745166603941</v>
      </c>
      <c r="BG8" s="383">
        <v>91035.759999999806</v>
      </c>
      <c r="BH8" s="383">
        <f t="shared" si="3"/>
        <v>1918.0148333958641</v>
      </c>
      <c r="BI8" s="383">
        <v>0</v>
      </c>
      <c r="BJ8" s="383">
        <v>0</v>
      </c>
      <c r="BK8" s="383">
        <f t="shared" si="4"/>
        <v>0</v>
      </c>
      <c r="BL8" s="383">
        <v>0</v>
      </c>
      <c r="BM8" s="383">
        <v>0</v>
      </c>
      <c r="BN8" s="383">
        <f t="shared" si="5"/>
        <v>0</v>
      </c>
      <c r="BO8" s="383">
        <f t="shared" si="6"/>
        <v>0</v>
      </c>
      <c r="BP8" s="383">
        <v>0</v>
      </c>
      <c r="BQ8" s="383">
        <f t="shared" si="7"/>
        <v>0</v>
      </c>
      <c r="BR8" s="383">
        <v>0</v>
      </c>
      <c r="BS8" s="383">
        <v>1918.0148333958641</v>
      </c>
      <c r="BT8" s="383">
        <v>0</v>
      </c>
      <c r="BU8" s="383">
        <f t="shared" si="8"/>
        <v>1918.0148333958641</v>
      </c>
      <c r="BV8" s="383">
        <v>5609</v>
      </c>
      <c r="BW8" s="383">
        <v>0</v>
      </c>
      <c r="BX8" s="383">
        <v>0</v>
      </c>
      <c r="BY8" s="383">
        <f t="shared" si="9"/>
        <v>5609</v>
      </c>
      <c r="BZ8" s="383">
        <v>0</v>
      </c>
      <c r="CA8" s="383">
        <v>9358.17</v>
      </c>
      <c r="CB8" s="383">
        <v>0</v>
      </c>
      <c r="CC8" s="383">
        <v>0</v>
      </c>
      <c r="CD8" s="383">
        <f t="shared" si="10"/>
        <v>9358.17</v>
      </c>
      <c r="CE8" s="383">
        <f t="shared" si="11"/>
        <v>-3749.17</v>
      </c>
      <c r="CF8" s="383">
        <v>3749.1700000000005</v>
      </c>
      <c r="CG8" s="383">
        <f t="shared" si="12"/>
        <v>0</v>
      </c>
      <c r="CH8" s="383">
        <f>VLOOKUP($B8,'Data - CFR 202526'!$B$4:$CJ$127,85,0)</f>
        <v>3749.1700000000005</v>
      </c>
      <c r="CI8" s="383">
        <f>VLOOKUP($B8,'Data - CFR 202526'!$B$4:$CJ$127,86,0)</f>
        <v>0</v>
      </c>
      <c r="CJ8" s="383">
        <f>VLOOKUP($B8,'Data - CFR 202526'!$B$4:$CJ$127,87,0)</f>
        <v>3749.1700000000005</v>
      </c>
    </row>
    <row r="9" spans="1:88" s="220" customFormat="1" ht="13.8">
      <c r="A9" s="252" t="s">
        <v>1525</v>
      </c>
      <c r="B9" s="289">
        <v>3001</v>
      </c>
      <c r="C9" s="289" t="s">
        <v>710</v>
      </c>
      <c r="D9" s="248" t="s">
        <v>704</v>
      </c>
      <c r="E9" s="380"/>
      <c r="F9" s="383">
        <v>996831.46790621604</v>
      </c>
      <c r="G9" s="383">
        <v>0</v>
      </c>
      <c r="H9" s="383">
        <v>90644</v>
      </c>
      <c r="I9" s="383">
        <v>0</v>
      </c>
      <c r="J9" s="383">
        <v>37200</v>
      </c>
      <c r="K9" s="383">
        <v>20547</v>
      </c>
      <c r="L9" s="383">
        <v>0</v>
      </c>
      <c r="M9" s="383">
        <v>1500</v>
      </c>
      <c r="N9" s="383">
        <v>53500</v>
      </c>
      <c r="O9" s="383">
        <v>0</v>
      </c>
      <c r="P9" s="383">
        <v>1575</v>
      </c>
      <c r="Q9" s="383">
        <v>0</v>
      </c>
      <c r="R9" s="383">
        <v>0</v>
      </c>
      <c r="S9" s="383">
        <v>0</v>
      </c>
      <c r="T9" s="383">
        <v>0</v>
      </c>
      <c r="U9" s="383">
        <v>0</v>
      </c>
      <c r="V9" s="383">
        <v>0</v>
      </c>
      <c r="W9" s="383">
        <v>0</v>
      </c>
      <c r="X9" s="383">
        <v>0</v>
      </c>
      <c r="Y9" s="383">
        <f t="shared" si="0"/>
        <v>1201797.4679062162</v>
      </c>
      <c r="Z9" s="383">
        <v>669090.42927236343</v>
      </c>
      <c r="AA9" s="383">
        <v>4000</v>
      </c>
      <c r="AB9" s="383">
        <v>286713.58849618392</v>
      </c>
      <c r="AC9" s="383">
        <v>27257.278648012147</v>
      </c>
      <c r="AD9" s="383">
        <v>51943.593171758548</v>
      </c>
      <c r="AE9" s="383">
        <v>0</v>
      </c>
      <c r="AF9" s="383">
        <v>76086.023743415179</v>
      </c>
      <c r="AG9" s="383">
        <v>5100</v>
      </c>
      <c r="AH9" s="383">
        <v>7000</v>
      </c>
      <c r="AI9" s="383">
        <v>4025</v>
      </c>
      <c r="AJ9" s="383">
        <v>160</v>
      </c>
      <c r="AK9" s="383">
        <v>14000</v>
      </c>
      <c r="AL9" s="383">
        <v>2205</v>
      </c>
      <c r="AM9" s="383">
        <v>3100</v>
      </c>
      <c r="AN9" s="383">
        <v>2500</v>
      </c>
      <c r="AO9" s="383">
        <v>22500</v>
      </c>
      <c r="AP9" s="383">
        <v>24245.16</v>
      </c>
      <c r="AQ9" s="383">
        <v>1813.76</v>
      </c>
      <c r="AR9" s="383">
        <v>35382.400000000001</v>
      </c>
      <c r="AS9" s="383">
        <v>27884.309999999998</v>
      </c>
      <c r="AT9" s="383">
        <v>0</v>
      </c>
      <c r="AU9" s="383">
        <v>8478</v>
      </c>
      <c r="AV9" s="383">
        <v>5404</v>
      </c>
      <c r="AW9" s="383">
        <v>5000</v>
      </c>
      <c r="AX9" s="383">
        <v>42617</v>
      </c>
      <c r="AY9" s="383">
        <v>7875</v>
      </c>
      <c r="AZ9" s="383">
        <v>0</v>
      </c>
      <c r="BA9" s="383">
        <v>18641</v>
      </c>
      <c r="BB9" s="383">
        <v>0</v>
      </c>
      <c r="BC9" s="383">
        <v>0</v>
      </c>
      <c r="BD9" s="383">
        <v>0</v>
      </c>
      <c r="BE9" s="383">
        <f t="shared" si="1"/>
        <v>1353021.5433317332</v>
      </c>
      <c r="BF9" s="383">
        <f t="shared" si="2"/>
        <v>-151224.07542551705</v>
      </c>
      <c r="BG9" s="383">
        <v>-83991.379999999568</v>
      </c>
      <c r="BH9" s="383">
        <f t="shared" si="3"/>
        <v>-235215.45542551661</v>
      </c>
      <c r="BI9" s="383">
        <v>0</v>
      </c>
      <c r="BJ9" s="383">
        <v>0</v>
      </c>
      <c r="BK9" s="383">
        <f t="shared" si="4"/>
        <v>0</v>
      </c>
      <c r="BL9" s="383">
        <v>0</v>
      </c>
      <c r="BM9" s="383">
        <v>0</v>
      </c>
      <c r="BN9" s="383">
        <f t="shared" si="5"/>
        <v>0</v>
      </c>
      <c r="BO9" s="383">
        <f t="shared" si="6"/>
        <v>0</v>
      </c>
      <c r="BP9" s="383">
        <v>0</v>
      </c>
      <c r="BQ9" s="383">
        <f t="shared" si="7"/>
        <v>0</v>
      </c>
      <c r="BR9" s="383">
        <v>0</v>
      </c>
      <c r="BS9" s="383">
        <v>-235215.45542551661</v>
      </c>
      <c r="BT9" s="383">
        <v>0</v>
      </c>
      <c r="BU9" s="383">
        <f t="shared" si="8"/>
        <v>-235215.45542551661</v>
      </c>
      <c r="BV9" s="383">
        <v>5957</v>
      </c>
      <c r="BW9" s="383">
        <v>0</v>
      </c>
      <c r="BX9" s="383">
        <v>0</v>
      </c>
      <c r="BY9" s="383">
        <f t="shared" si="9"/>
        <v>5957</v>
      </c>
      <c r="BZ9" s="383">
        <v>0</v>
      </c>
      <c r="CA9" s="383">
        <v>5957</v>
      </c>
      <c r="CB9" s="383">
        <v>0</v>
      </c>
      <c r="CC9" s="383">
        <v>4896.93</v>
      </c>
      <c r="CD9" s="383">
        <f t="shared" si="10"/>
        <v>10853.93</v>
      </c>
      <c r="CE9" s="383">
        <f t="shared" si="11"/>
        <v>-4896.93</v>
      </c>
      <c r="CF9" s="383">
        <v>4896.93</v>
      </c>
      <c r="CG9" s="383">
        <f t="shared" si="12"/>
        <v>0</v>
      </c>
      <c r="CH9" s="383">
        <f>VLOOKUP($B9,'Data - CFR 202526'!$B$4:$CJ$127,85,0)</f>
        <v>4896.93</v>
      </c>
      <c r="CI9" s="383">
        <f>VLOOKUP($B9,'Data - CFR 202526'!$B$4:$CJ$127,86,0)</f>
        <v>0</v>
      </c>
      <c r="CJ9" s="383">
        <f>VLOOKUP($B9,'Data - CFR 202526'!$B$4:$CJ$127,87,0)</f>
        <v>4896.93</v>
      </c>
    </row>
    <row r="10" spans="1:88" s="220" customFormat="1" ht="13.8">
      <c r="A10" s="252" t="s">
        <v>1525</v>
      </c>
      <c r="B10" s="288">
        <v>3301</v>
      </c>
      <c r="C10" s="288" t="s">
        <v>711</v>
      </c>
      <c r="D10" s="248" t="s">
        <v>704</v>
      </c>
      <c r="E10" s="380"/>
      <c r="F10" s="383">
        <v>709463.09814382112</v>
      </c>
      <c r="G10" s="383">
        <v>0</v>
      </c>
      <c r="H10" s="383">
        <v>31289</v>
      </c>
      <c r="I10" s="383">
        <v>0</v>
      </c>
      <c r="J10" s="383">
        <v>10850</v>
      </c>
      <c r="K10" s="383">
        <v>42433</v>
      </c>
      <c r="L10" s="383">
        <v>0</v>
      </c>
      <c r="M10" s="383">
        <v>1300</v>
      </c>
      <c r="N10" s="383">
        <v>4000</v>
      </c>
      <c r="O10" s="383">
        <v>16530</v>
      </c>
      <c r="P10" s="383">
        <v>0</v>
      </c>
      <c r="Q10" s="383">
        <v>3340.87</v>
      </c>
      <c r="R10" s="383">
        <v>4645</v>
      </c>
      <c r="S10" s="383">
        <v>30000</v>
      </c>
      <c r="T10" s="383">
        <v>0</v>
      </c>
      <c r="U10" s="383">
        <v>0</v>
      </c>
      <c r="V10" s="383">
        <v>0</v>
      </c>
      <c r="W10" s="383">
        <v>0</v>
      </c>
      <c r="X10" s="383">
        <v>0</v>
      </c>
      <c r="Y10" s="383">
        <f t="shared" si="0"/>
        <v>853850.96814382111</v>
      </c>
      <c r="Z10" s="383">
        <v>442299.82461106667</v>
      </c>
      <c r="AA10" s="383">
        <v>5000</v>
      </c>
      <c r="AB10" s="383">
        <v>153698.83584362213</v>
      </c>
      <c r="AC10" s="383">
        <v>22273.063382511707</v>
      </c>
      <c r="AD10" s="383">
        <v>57288.686851431652</v>
      </c>
      <c r="AE10" s="383">
        <v>25108.686965753768</v>
      </c>
      <c r="AF10" s="383">
        <v>1787.6490928022322</v>
      </c>
      <c r="AG10" s="383">
        <v>450</v>
      </c>
      <c r="AH10" s="383">
        <v>17516.66</v>
      </c>
      <c r="AI10" s="383">
        <v>3042</v>
      </c>
      <c r="AJ10" s="383">
        <v>272</v>
      </c>
      <c r="AK10" s="383">
        <v>12000</v>
      </c>
      <c r="AL10" s="383">
        <v>3200</v>
      </c>
      <c r="AM10" s="383">
        <v>2350</v>
      </c>
      <c r="AN10" s="383">
        <v>3840</v>
      </c>
      <c r="AO10" s="383">
        <v>11000</v>
      </c>
      <c r="AP10" s="383">
        <v>2696.2</v>
      </c>
      <c r="AQ10" s="383">
        <v>13172.92</v>
      </c>
      <c r="AR10" s="383">
        <v>13747.34</v>
      </c>
      <c r="AS10" s="383">
        <v>28455</v>
      </c>
      <c r="AT10" s="383">
        <v>0</v>
      </c>
      <c r="AU10" s="383">
        <v>5407</v>
      </c>
      <c r="AV10" s="383">
        <v>3480</v>
      </c>
      <c r="AW10" s="383">
        <v>786</v>
      </c>
      <c r="AX10" s="383">
        <v>16250</v>
      </c>
      <c r="AY10" s="383">
        <v>10440.619999999999</v>
      </c>
      <c r="AZ10" s="383">
        <v>12340</v>
      </c>
      <c r="BA10" s="383">
        <v>15529</v>
      </c>
      <c r="BB10" s="383">
        <v>0</v>
      </c>
      <c r="BC10" s="383">
        <v>0</v>
      </c>
      <c r="BD10" s="383">
        <v>10000</v>
      </c>
      <c r="BE10" s="383">
        <f t="shared" si="1"/>
        <v>893431.48674718814</v>
      </c>
      <c r="BF10" s="383">
        <f t="shared" si="2"/>
        <v>-39580.518603367032</v>
      </c>
      <c r="BG10" s="383">
        <v>101672.35999999978</v>
      </c>
      <c r="BH10" s="383">
        <f t="shared" si="3"/>
        <v>62091.84139663275</v>
      </c>
      <c r="BI10" s="383">
        <v>0</v>
      </c>
      <c r="BJ10" s="383">
        <v>0</v>
      </c>
      <c r="BK10" s="383">
        <f t="shared" si="4"/>
        <v>0</v>
      </c>
      <c r="BL10" s="383">
        <v>0</v>
      </c>
      <c r="BM10" s="383">
        <v>0</v>
      </c>
      <c r="BN10" s="383">
        <f t="shared" si="5"/>
        <v>0</v>
      </c>
      <c r="BO10" s="383">
        <f t="shared" si="6"/>
        <v>0</v>
      </c>
      <c r="BP10" s="383">
        <v>0</v>
      </c>
      <c r="BQ10" s="383">
        <f t="shared" si="7"/>
        <v>0</v>
      </c>
      <c r="BR10" s="383">
        <v>0</v>
      </c>
      <c r="BS10" s="383">
        <v>62091.84139663275</v>
      </c>
      <c r="BT10" s="383">
        <v>0</v>
      </c>
      <c r="BU10" s="383">
        <f t="shared" si="8"/>
        <v>62091.84139663275</v>
      </c>
      <c r="BV10" s="383">
        <v>0</v>
      </c>
      <c r="BW10" s="383">
        <v>0</v>
      </c>
      <c r="BX10" s="383">
        <v>0</v>
      </c>
      <c r="BY10" s="383">
        <f t="shared" si="9"/>
        <v>0</v>
      </c>
      <c r="BZ10" s="383">
        <v>0</v>
      </c>
      <c r="CA10" s="383">
        <v>0</v>
      </c>
      <c r="CB10" s="383">
        <v>0</v>
      </c>
      <c r="CC10" s="383">
        <v>0</v>
      </c>
      <c r="CD10" s="383">
        <f t="shared" si="10"/>
        <v>0</v>
      </c>
      <c r="CE10" s="383">
        <f t="shared" si="11"/>
        <v>0</v>
      </c>
      <c r="CF10" s="383">
        <v>0</v>
      </c>
      <c r="CG10" s="383">
        <f t="shared" si="12"/>
        <v>0</v>
      </c>
      <c r="CH10" s="383">
        <f>VLOOKUP($B10,'Data - CFR 202526'!$B$4:$CJ$127,85,0)</f>
        <v>0</v>
      </c>
      <c r="CI10" s="383">
        <f>VLOOKUP($B10,'Data - CFR 202526'!$B$4:$CJ$127,86,0)</f>
        <v>0</v>
      </c>
      <c r="CJ10" s="383">
        <f>VLOOKUP($B10,'Data - CFR 202526'!$B$4:$CJ$127,87,0)</f>
        <v>0</v>
      </c>
    </row>
    <row r="11" spans="1:88" s="220" customFormat="1" ht="13.8">
      <c r="A11" s="252" t="s">
        <v>1525</v>
      </c>
      <c r="B11" s="288">
        <v>2002</v>
      </c>
      <c r="C11" s="288" t="s">
        <v>712</v>
      </c>
      <c r="D11" s="248" t="s">
        <v>704</v>
      </c>
      <c r="E11" s="380"/>
      <c r="F11" s="383">
        <v>1846414.7626464723</v>
      </c>
      <c r="G11" s="383">
        <v>0</v>
      </c>
      <c r="H11" s="383">
        <v>78591</v>
      </c>
      <c r="I11" s="383">
        <v>0</v>
      </c>
      <c r="J11" s="383">
        <v>143370</v>
      </c>
      <c r="K11" s="383">
        <v>57614</v>
      </c>
      <c r="L11" s="383">
        <v>0</v>
      </c>
      <c r="M11" s="383">
        <v>19000</v>
      </c>
      <c r="N11" s="383">
        <v>5701</v>
      </c>
      <c r="O11" s="383">
        <v>34130</v>
      </c>
      <c r="P11" s="383">
        <v>0</v>
      </c>
      <c r="Q11" s="383">
        <v>0</v>
      </c>
      <c r="R11" s="383">
        <v>0</v>
      </c>
      <c r="S11" s="383">
        <v>0</v>
      </c>
      <c r="T11" s="383">
        <v>0</v>
      </c>
      <c r="U11" s="383">
        <v>0</v>
      </c>
      <c r="V11" s="383">
        <v>0</v>
      </c>
      <c r="W11" s="383">
        <v>0</v>
      </c>
      <c r="X11" s="383">
        <v>0</v>
      </c>
      <c r="Y11" s="383">
        <f t="shared" si="0"/>
        <v>2184820.7626464721</v>
      </c>
      <c r="Z11" s="383">
        <v>1091965.9154474332</v>
      </c>
      <c r="AA11" s="383">
        <v>1500</v>
      </c>
      <c r="AB11" s="383">
        <v>383021.92055674281</v>
      </c>
      <c r="AC11" s="383">
        <v>80304.846664910496</v>
      </c>
      <c r="AD11" s="383">
        <v>120789.28837728751</v>
      </c>
      <c r="AE11" s="383">
        <v>0</v>
      </c>
      <c r="AF11" s="383">
        <v>38941.720129167566</v>
      </c>
      <c r="AG11" s="383">
        <v>30597</v>
      </c>
      <c r="AH11" s="383">
        <v>8000</v>
      </c>
      <c r="AI11" s="383">
        <v>8802</v>
      </c>
      <c r="AJ11" s="383">
        <v>2085</v>
      </c>
      <c r="AK11" s="383">
        <v>31500</v>
      </c>
      <c r="AL11" s="383">
        <v>3500</v>
      </c>
      <c r="AM11" s="383">
        <v>5250</v>
      </c>
      <c r="AN11" s="383">
        <v>8244</v>
      </c>
      <c r="AO11" s="383">
        <v>42850</v>
      </c>
      <c r="AP11" s="383">
        <v>43000</v>
      </c>
      <c r="AQ11" s="383">
        <v>10495.27</v>
      </c>
      <c r="AR11" s="383">
        <v>41948</v>
      </c>
      <c r="AS11" s="383">
        <v>57669</v>
      </c>
      <c r="AT11" s="383">
        <v>0</v>
      </c>
      <c r="AU11" s="383">
        <v>27347</v>
      </c>
      <c r="AV11" s="383">
        <v>12000</v>
      </c>
      <c r="AW11" s="383">
        <v>4000</v>
      </c>
      <c r="AX11" s="383">
        <v>109131</v>
      </c>
      <c r="AY11" s="383">
        <v>13000</v>
      </c>
      <c r="AZ11" s="383">
        <v>0</v>
      </c>
      <c r="BA11" s="383">
        <v>37625</v>
      </c>
      <c r="BB11" s="383">
        <v>0</v>
      </c>
      <c r="BC11" s="383">
        <v>0</v>
      </c>
      <c r="BD11" s="383">
        <v>14400</v>
      </c>
      <c r="BE11" s="383">
        <f t="shared" si="1"/>
        <v>2227966.9611755419</v>
      </c>
      <c r="BF11" s="383">
        <f t="shared" si="2"/>
        <v>-43146.198529069778</v>
      </c>
      <c r="BG11" s="383">
        <v>132734.10000000003</v>
      </c>
      <c r="BH11" s="383">
        <f t="shared" si="3"/>
        <v>89587.901470930257</v>
      </c>
      <c r="BI11" s="383">
        <v>0</v>
      </c>
      <c r="BJ11" s="383">
        <v>0</v>
      </c>
      <c r="BK11" s="383">
        <f t="shared" si="4"/>
        <v>0</v>
      </c>
      <c r="BL11" s="383">
        <v>0</v>
      </c>
      <c r="BM11" s="383">
        <v>0</v>
      </c>
      <c r="BN11" s="383">
        <f t="shared" si="5"/>
        <v>0</v>
      </c>
      <c r="BO11" s="383">
        <f t="shared" si="6"/>
        <v>0</v>
      </c>
      <c r="BP11" s="383">
        <v>0</v>
      </c>
      <c r="BQ11" s="383">
        <f t="shared" si="7"/>
        <v>0</v>
      </c>
      <c r="BR11" s="383">
        <v>0</v>
      </c>
      <c r="BS11" s="383">
        <v>89587.901470930257</v>
      </c>
      <c r="BT11" s="383">
        <v>0</v>
      </c>
      <c r="BU11" s="383">
        <f t="shared" si="8"/>
        <v>89587.901470930257</v>
      </c>
      <c r="BV11" s="383">
        <v>8106</v>
      </c>
      <c r="BW11" s="383">
        <v>0</v>
      </c>
      <c r="BX11" s="383">
        <v>14400</v>
      </c>
      <c r="BY11" s="383">
        <f t="shared" si="9"/>
        <v>22506</v>
      </c>
      <c r="BZ11" s="383">
        <v>0</v>
      </c>
      <c r="CA11" s="383">
        <v>14779.66</v>
      </c>
      <c r="CB11" s="383">
        <v>0</v>
      </c>
      <c r="CC11" s="383">
        <v>14400</v>
      </c>
      <c r="CD11" s="383">
        <f t="shared" si="10"/>
        <v>29179.66</v>
      </c>
      <c r="CE11" s="383">
        <f t="shared" si="11"/>
        <v>-6673.66</v>
      </c>
      <c r="CF11" s="383">
        <v>6673.66</v>
      </c>
      <c r="CG11" s="383">
        <f t="shared" si="12"/>
        <v>0</v>
      </c>
      <c r="CH11" s="383">
        <f>VLOOKUP($B11,'Data - CFR 202526'!$B$4:$CJ$127,85,0)</f>
        <v>6673.66</v>
      </c>
      <c r="CI11" s="383">
        <f>VLOOKUP($B11,'Data - CFR 202526'!$B$4:$CJ$127,86,0)</f>
        <v>0</v>
      </c>
      <c r="CJ11" s="383">
        <f>VLOOKUP($B11,'Data - CFR 202526'!$B$4:$CJ$127,87,0)</f>
        <v>6673.66</v>
      </c>
    </row>
    <row r="12" spans="1:88" s="220" customFormat="1" ht="13.8">
      <c r="A12" s="252" t="s">
        <v>1525</v>
      </c>
      <c r="B12" s="288">
        <v>2082</v>
      </c>
      <c r="C12" s="288" t="s">
        <v>713</v>
      </c>
      <c r="D12" s="248" t="s">
        <v>704</v>
      </c>
      <c r="E12" s="380"/>
      <c r="F12" s="383">
        <v>928938.48180789931</v>
      </c>
      <c r="G12" s="383">
        <v>0</v>
      </c>
      <c r="H12" s="383">
        <v>25000</v>
      </c>
      <c r="I12" s="383">
        <v>0</v>
      </c>
      <c r="J12" s="383">
        <v>72440</v>
      </c>
      <c r="K12" s="383">
        <v>38324</v>
      </c>
      <c r="L12" s="383">
        <v>0</v>
      </c>
      <c r="M12" s="383">
        <v>5000</v>
      </c>
      <c r="N12" s="383">
        <v>2400</v>
      </c>
      <c r="O12" s="383">
        <v>0</v>
      </c>
      <c r="P12" s="383">
        <v>4370</v>
      </c>
      <c r="Q12" s="383">
        <v>0</v>
      </c>
      <c r="R12" s="383">
        <v>6000</v>
      </c>
      <c r="S12" s="383">
        <v>0</v>
      </c>
      <c r="T12" s="383">
        <v>0</v>
      </c>
      <c r="U12" s="383">
        <v>0</v>
      </c>
      <c r="V12" s="383">
        <v>0</v>
      </c>
      <c r="W12" s="383">
        <v>0</v>
      </c>
      <c r="X12" s="383">
        <v>0</v>
      </c>
      <c r="Y12" s="383">
        <f t="shared" si="0"/>
        <v>1082472.4818078992</v>
      </c>
      <c r="Z12" s="383">
        <v>507189.09008963901</v>
      </c>
      <c r="AA12" s="383">
        <v>0</v>
      </c>
      <c r="AB12" s="383">
        <v>162223.43040904673</v>
      </c>
      <c r="AC12" s="383">
        <v>44773.145873540539</v>
      </c>
      <c r="AD12" s="383">
        <v>72198.494976080518</v>
      </c>
      <c r="AE12" s="383">
        <v>0</v>
      </c>
      <c r="AF12" s="383">
        <v>32411.127928992621</v>
      </c>
      <c r="AG12" s="383">
        <v>3920</v>
      </c>
      <c r="AH12" s="383">
        <v>6000</v>
      </c>
      <c r="AI12" s="383">
        <v>4000</v>
      </c>
      <c r="AJ12" s="383">
        <v>555</v>
      </c>
      <c r="AK12" s="383">
        <v>9000</v>
      </c>
      <c r="AL12" s="383">
        <v>4600</v>
      </c>
      <c r="AM12" s="383">
        <v>3200</v>
      </c>
      <c r="AN12" s="383">
        <v>3500</v>
      </c>
      <c r="AO12" s="383">
        <v>26500</v>
      </c>
      <c r="AP12" s="383">
        <v>18674.5</v>
      </c>
      <c r="AQ12" s="383">
        <v>10408</v>
      </c>
      <c r="AR12" s="383">
        <v>50200</v>
      </c>
      <c r="AS12" s="383">
        <v>42400</v>
      </c>
      <c r="AT12" s="383">
        <v>0</v>
      </c>
      <c r="AU12" s="383">
        <v>16030</v>
      </c>
      <c r="AV12" s="383">
        <v>4951</v>
      </c>
      <c r="AW12" s="383">
        <v>0</v>
      </c>
      <c r="AX12" s="383">
        <v>56618</v>
      </c>
      <c r="AY12" s="383">
        <v>54440</v>
      </c>
      <c r="AZ12" s="383">
        <v>8246</v>
      </c>
      <c r="BA12" s="383">
        <v>23008</v>
      </c>
      <c r="BB12" s="383">
        <v>0</v>
      </c>
      <c r="BC12" s="383">
        <v>0</v>
      </c>
      <c r="BD12" s="383">
        <v>0</v>
      </c>
      <c r="BE12" s="383">
        <f t="shared" si="1"/>
        <v>1165045.7892772993</v>
      </c>
      <c r="BF12" s="383">
        <f t="shared" si="2"/>
        <v>-82573.307469400112</v>
      </c>
      <c r="BG12" s="383">
        <v>177588.24999999971</v>
      </c>
      <c r="BH12" s="383">
        <f t="shared" si="3"/>
        <v>95014.942530599597</v>
      </c>
      <c r="BI12" s="383">
        <v>0</v>
      </c>
      <c r="BJ12" s="383">
        <v>0</v>
      </c>
      <c r="BK12" s="383">
        <f t="shared" si="4"/>
        <v>0</v>
      </c>
      <c r="BL12" s="383">
        <v>0</v>
      </c>
      <c r="BM12" s="383">
        <v>0</v>
      </c>
      <c r="BN12" s="383">
        <f t="shared" si="5"/>
        <v>0</v>
      </c>
      <c r="BO12" s="383">
        <f t="shared" si="6"/>
        <v>0</v>
      </c>
      <c r="BP12" s="383">
        <v>0</v>
      </c>
      <c r="BQ12" s="383">
        <f t="shared" si="7"/>
        <v>0</v>
      </c>
      <c r="BR12" s="383">
        <v>0</v>
      </c>
      <c r="BS12" s="383">
        <v>95014.942530599597</v>
      </c>
      <c r="BT12" s="383">
        <v>0</v>
      </c>
      <c r="BU12" s="383">
        <f t="shared" si="8"/>
        <v>95014.942530599597</v>
      </c>
      <c r="BV12" s="383">
        <v>5721</v>
      </c>
      <c r="BW12" s="383">
        <v>0</v>
      </c>
      <c r="BX12" s="383">
        <v>0</v>
      </c>
      <c r="BY12" s="383">
        <f t="shared" si="9"/>
        <v>5721</v>
      </c>
      <c r="BZ12" s="383">
        <v>0</v>
      </c>
      <c r="CA12" s="383">
        <v>12070.51</v>
      </c>
      <c r="CB12" s="383">
        <v>0</v>
      </c>
      <c r="CC12" s="383">
        <v>0</v>
      </c>
      <c r="CD12" s="383">
        <f t="shared" si="10"/>
        <v>12070.51</v>
      </c>
      <c r="CE12" s="383">
        <f t="shared" si="11"/>
        <v>-6349.51</v>
      </c>
      <c r="CF12" s="383">
        <v>6349.51</v>
      </c>
      <c r="CG12" s="383">
        <f t="shared" si="12"/>
        <v>0</v>
      </c>
      <c r="CH12" s="383">
        <f>VLOOKUP($B12,'Data - CFR 202526'!$B$4:$CJ$127,85,0)</f>
        <v>6349.51</v>
      </c>
      <c r="CI12" s="383">
        <f>VLOOKUP($B12,'Data - CFR 202526'!$B$4:$CJ$127,86,0)</f>
        <v>0</v>
      </c>
      <c r="CJ12" s="383">
        <f>VLOOKUP($B12,'Data - CFR 202526'!$B$4:$CJ$127,87,0)</f>
        <v>6349.51</v>
      </c>
    </row>
    <row r="13" spans="1:88" s="220" customFormat="1" ht="13.8">
      <c r="A13" s="252" t="s">
        <v>1525</v>
      </c>
      <c r="B13" s="288">
        <v>3943</v>
      </c>
      <c r="C13" s="288" t="s">
        <v>714</v>
      </c>
      <c r="D13" s="248" t="s">
        <v>704</v>
      </c>
      <c r="E13" s="380"/>
      <c r="F13" s="383">
        <v>2255201.9999997602</v>
      </c>
      <c r="G13" s="383">
        <v>0</v>
      </c>
      <c r="H13" s="383">
        <v>109228</v>
      </c>
      <c r="I13" s="383">
        <v>0</v>
      </c>
      <c r="J13" s="383">
        <v>93720</v>
      </c>
      <c r="K13" s="383">
        <v>86086</v>
      </c>
      <c r="L13" s="383">
        <v>0</v>
      </c>
      <c r="M13" s="383">
        <v>25000</v>
      </c>
      <c r="N13" s="383">
        <v>28400</v>
      </c>
      <c r="O13" s="383">
        <v>2000</v>
      </c>
      <c r="P13" s="383">
        <v>0</v>
      </c>
      <c r="Q13" s="383">
        <v>0</v>
      </c>
      <c r="R13" s="383">
        <v>0</v>
      </c>
      <c r="S13" s="383">
        <v>0</v>
      </c>
      <c r="T13" s="383">
        <v>0</v>
      </c>
      <c r="U13" s="383">
        <v>0</v>
      </c>
      <c r="V13" s="383">
        <v>0</v>
      </c>
      <c r="W13" s="383">
        <v>0</v>
      </c>
      <c r="X13" s="383">
        <v>0</v>
      </c>
      <c r="Y13" s="383">
        <f t="shared" si="0"/>
        <v>2599635.9999997602</v>
      </c>
      <c r="Z13" s="383">
        <v>1325829.2892730664</v>
      </c>
      <c r="AA13" s="383">
        <v>12000</v>
      </c>
      <c r="AB13" s="383">
        <v>627929.77100228984</v>
      </c>
      <c r="AC13" s="383">
        <v>59666.832654590668</v>
      </c>
      <c r="AD13" s="383">
        <v>101711.47627350257</v>
      </c>
      <c r="AE13" s="383">
        <v>0</v>
      </c>
      <c r="AF13" s="383">
        <v>77380.056872608548</v>
      </c>
      <c r="AG13" s="383">
        <v>12000</v>
      </c>
      <c r="AH13" s="383">
        <v>6000</v>
      </c>
      <c r="AI13" s="383">
        <v>11024</v>
      </c>
      <c r="AJ13" s="383">
        <v>2530</v>
      </c>
      <c r="AK13" s="383">
        <v>35000</v>
      </c>
      <c r="AL13" s="383">
        <v>4000</v>
      </c>
      <c r="AM13" s="383">
        <v>9500</v>
      </c>
      <c r="AN13" s="383">
        <v>7000</v>
      </c>
      <c r="AO13" s="383">
        <v>55000</v>
      </c>
      <c r="AP13" s="383">
        <v>76440</v>
      </c>
      <c r="AQ13" s="383">
        <v>3400</v>
      </c>
      <c r="AR13" s="383">
        <v>46532</v>
      </c>
      <c r="AS13" s="383">
        <v>58515</v>
      </c>
      <c r="AT13" s="383">
        <v>0</v>
      </c>
      <c r="AU13" s="383">
        <v>17200</v>
      </c>
      <c r="AV13" s="383">
        <v>11987</v>
      </c>
      <c r="AW13" s="383">
        <v>0</v>
      </c>
      <c r="AX13" s="383">
        <v>88765</v>
      </c>
      <c r="AY13" s="383">
        <v>14399</v>
      </c>
      <c r="AZ13" s="383">
        <v>2000</v>
      </c>
      <c r="BA13" s="383">
        <v>27340</v>
      </c>
      <c r="BB13" s="383">
        <v>0</v>
      </c>
      <c r="BC13" s="383">
        <v>0</v>
      </c>
      <c r="BD13" s="383">
        <v>0</v>
      </c>
      <c r="BE13" s="383">
        <f t="shared" si="1"/>
        <v>2693149.4260760583</v>
      </c>
      <c r="BF13" s="383">
        <f t="shared" si="2"/>
        <v>-93513.426076298114</v>
      </c>
      <c r="BG13" s="383">
        <v>95309.329999998736</v>
      </c>
      <c r="BH13" s="383">
        <f t="shared" si="3"/>
        <v>1795.9039237006218</v>
      </c>
      <c r="BI13" s="383">
        <v>0</v>
      </c>
      <c r="BJ13" s="383">
        <v>0</v>
      </c>
      <c r="BK13" s="383">
        <f t="shared" si="4"/>
        <v>0</v>
      </c>
      <c r="BL13" s="383">
        <v>0</v>
      </c>
      <c r="BM13" s="383">
        <v>0</v>
      </c>
      <c r="BN13" s="383">
        <f t="shared" si="5"/>
        <v>0</v>
      </c>
      <c r="BO13" s="383">
        <f t="shared" si="6"/>
        <v>0</v>
      </c>
      <c r="BP13" s="383">
        <v>0</v>
      </c>
      <c r="BQ13" s="383">
        <f t="shared" si="7"/>
        <v>0</v>
      </c>
      <c r="BR13" s="383">
        <v>0</v>
      </c>
      <c r="BS13" s="383">
        <v>1795.9039237006218</v>
      </c>
      <c r="BT13" s="383">
        <v>0</v>
      </c>
      <c r="BU13" s="383">
        <f t="shared" si="8"/>
        <v>1795.9039237006218</v>
      </c>
      <c r="BV13" s="383">
        <v>8613</v>
      </c>
      <c r="BW13" s="383">
        <v>0</v>
      </c>
      <c r="BX13" s="383">
        <v>0</v>
      </c>
      <c r="BY13" s="383">
        <f t="shared" si="9"/>
        <v>8613</v>
      </c>
      <c r="BZ13" s="383">
        <v>0</v>
      </c>
      <c r="CA13" s="383">
        <v>8613</v>
      </c>
      <c r="CB13" s="383">
        <v>0</v>
      </c>
      <c r="CC13" s="383">
        <v>0</v>
      </c>
      <c r="CD13" s="383">
        <f t="shared" si="10"/>
        <v>8613</v>
      </c>
      <c r="CE13" s="383">
        <f t="shared" si="11"/>
        <v>0</v>
      </c>
      <c r="CF13" s="383">
        <v>0</v>
      </c>
      <c r="CG13" s="383">
        <f t="shared" si="12"/>
        <v>0</v>
      </c>
      <c r="CH13" s="383">
        <f>VLOOKUP($B13,'Data - CFR 202526'!$B$4:$CJ$127,85,0)</f>
        <v>0</v>
      </c>
      <c r="CI13" s="383">
        <f>VLOOKUP($B13,'Data - CFR 202526'!$B$4:$CJ$127,86,0)</f>
        <v>0</v>
      </c>
      <c r="CJ13" s="383">
        <f>VLOOKUP($B13,'Data - CFR 202526'!$B$4:$CJ$127,87,0)</f>
        <v>0</v>
      </c>
    </row>
    <row r="14" spans="1:88" s="220" customFormat="1" ht="13.8">
      <c r="A14" s="252" t="s">
        <v>1525</v>
      </c>
      <c r="B14" s="288">
        <v>2060</v>
      </c>
      <c r="C14" s="288" t="s">
        <v>715</v>
      </c>
      <c r="D14" s="248" t="s">
        <v>704</v>
      </c>
      <c r="E14" s="380"/>
      <c r="F14" s="383">
        <v>735379.45893115026</v>
      </c>
      <c r="G14" s="383">
        <v>0</v>
      </c>
      <c r="H14" s="383">
        <v>60009</v>
      </c>
      <c r="I14" s="383">
        <v>0</v>
      </c>
      <c r="J14" s="383">
        <v>52490</v>
      </c>
      <c r="K14" s="383">
        <v>36814</v>
      </c>
      <c r="L14" s="383">
        <v>1800</v>
      </c>
      <c r="M14" s="383">
        <v>0</v>
      </c>
      <c r="N14" s="383">
        <v>4100</v>
      </c>
      <c r="O14" s="383">
        <v>0</v>
      </c>
      <c r="P14" s="383">
        <v>0</v>
      </c>
      <c r="Q14" s="383">
        <v>0</v>
      </c>
      <c r="R14" s="383">
        <v>600</v>
      </c>
      <c r="S14" s="383">
        <v>0</v>
      </c>
      <c r="T14" s="383">
        <v>0</v>
      </c>
      <c r="U14" s="383">
        <v>0</v>
      </c>
      <c r="V14" s="383">
        <v>0</v>
      </c>
      <c r="W14" s="383">
        <v>0</v>
      </c>
      <c r="X14" s="383">
        <v>0</v>
      </c>
      <c r="Y14" s="383">
        <f t="shared" si="0"/>
        <v>891192.45893115026</v>
      </c>
      <c r="Z14" s="383">
        <v>446556.47171716666</v>
      </c>
      <c r="AA14" s="383">
        <v>0</v>
      </c>
      <c r="AB14" s="383">
        <v>175895.37787753448</v>
      </c>
      <c r="AC14" s="383">
        <v>20171.615505182996</v>
      </c>
      <c r="AD14" s="383">
        <v>60752.855055162792</v>
      </c>
      <c r="AE14" s="383">
        <v>0</v>
      </c>
      <c r="AF14" s="383">
        <v>12527.822380779615</v>
      </c>
      <c r="AG14" s="383">
        <v>3525</v>
      </c>
      <c r="AH14" s="383">
        <v>3560</v>
      </c>
      <c r="AI14" s="383">
        <v>2525</v>
      </c>
      <c r="AJ14" s="383">
        <v>739</v>
      </c>
      <c r="AK14" s="383">
        <v>8000</v>
      </c>
      <c r="AL14" s="383">
        <v>4071</v>
      </c>
      <c r="AM14" s="383">
        <v>2270</v>
      </c>
      <c r="AN14" s="383">
        <v>1500</v>
      </c>
      <c r="AO14" s="383">
        <v>16000</v>
      </c>
      <c r="AP14" s="383">
        <v>12597</v>
      </c>
      <c r="AQ14" s="383">
        <v>12240</v>
      </c>
      <c r="AR14" s="383">
        <v>18886.490000000002</v>
      </c>
      <c r="AS14" s="383">
        <v>28877.03</v>
      </c>
      <c r="AT14" s="383">
        <v>0</v>
      </c>
      <c r="AU14" s="383">
        <v>5069.88</v>
      </c>
      <c r="AV14" s="383">
        <v>3698</v>
      </c>
      <c r="AW14" s="383">
        <v>2268</v>
      </c>
      <c r="AX14" s="383">
        <v>50938</v>
      </c>
      <c r="AY14" s="383">
        <v>1000</v>
      </c>
      <c r="AZ14" s="383">
        <v>17300</v>
      </c>
      <c r="BA14" s="383">
        <v>10303</v>
      </c>
      <c r="BB14" s="383">
        <v>0</v>
      </c>
      <c r="BC14" s="383">
        <v>708.48</v>
      </c>
      <c r="BD14" s="383">
        <v>3518</v>
      </c>
      <c r="BE14" s="383">
        <f t="shared" si="1"/>
        <v>925498.02253582655</v>
      </c>
      <c r="BF14" s="383">
        <f t="shared" si="2"/>
        <v>-34305.563604676281</v>
      </c>
      <c r="BG14" s="383">
        <v>59429.290000000154</v>
      </c>
      <c r="BH14" s="383">
        <f t="shared" si="3"/>
        <v>25123.726395323873</v>
      </c>
      <c r="BI14" s="383">
        <v>0</v>
      </c>
      <c r="BJ14" s="383">
        <v>0</v>
      </c>
      <c r="BK14" s="383">
        <f t="shared" si="4"/>
        <v>0</v>
      </c>
      <c r="BL14" s="383">
        <v>0</v>
      </c>
      <c r="BM14" s="383">
        <v>0</v>
      </c>
      <c r="BN14" s="383">
        <f t="shared" si="5"/>
        <v>0</v>
      </c>
      <c r="BO14" s="383">
        <f t="shared" si="6"/>
        <v>0</v>
      </c>
      <c r="BP14" s="383">
        <v>0</v>
      </c>
      <c r="BQ14" s="383">
        <f t="shared" si="7"/>
        <v>0</v>
      </c>
      <c r="BR14" s="383">
        <v>0</v>
      </c>
      <c r="BS14" s="383">
        <v>25123.726395323873</v>
      </c>
      <c r="BT14" s="383">
        <v>0</v>
      </c>
      <c r="BU14" s="383">
        <f t="shared" si="8"/>
        <v>25123.726395323873</v>
      </c>
      <c r="BV14" s="383">
        <v>5103</v>
      </c>
      <c r="BW14" s="383">
        <v>0</v>
      </c>
      <c r="BX14" s="383">
        <v>0</v>
      </c>
      <c r="BY14" s="383">
        <f t="shared" si="9"/>
        <v>5103</v>
      </c>
      <c r="BZ14" s="383">
        <v>0</v>
      </c>
      <c r="CA14" s="383">
        <v>35189.11</v>
      </c>
      <c r="CB14" s="383">
        <v>0</v>
      </c>
      <c r="CC14" s="383">
        <v>0</v>
      </c>
      <c r="CD14" s="383">
        <f t="shared" si="10"/>
        <v>35189.11</v>
      </c>
      <c r="CE14" s="383">
        <f t="shared" si="11"/>
        <v>-30086.11</v>
      </c>
      <c r="CF14" s="383">
        <v>30086.11</v>
      </c>
      <c r="CG14" s="383">
        <f t="shared" si="12"/>
        <v>0</v>
      </c>
      <c r="CH14" s="383">
        <f>VLOOKUP($B14,'Data - CFR 202526'!$B$4:$CJ$127,85,0)</f>
        <v>10059.48</v>
      </c>
      <c r="CI14" s="383">
        <f>VLOOKUP($B14,'Data - CFR 202526'!$B$4:$CJ$127,86,0)</f>
        <v>20026.63</v>
      </c>
      <c r="CJ14" s="383">
        <f>VLOOKUP($B14,'Data - CFR 202526'!$B$4:$CJ$127,87,0)</f>
        <v>30086.11</v>
      </c>
    </row>
    <row r="15" spans="1:88" s="220" customFormat="1" ht="13.8">
      <c r="A15" s="252" t="s">
        <v>1525</v>
      </c>
      <c r="B15" s="288">
        <v>2312</v>
      </c>
      <c r="C15" s="288" t="s">
        <v>716</v>
      </c>
      <c r="D15" s="248" t="s">
        <v>704</v>
      </c>
      <c r="E15" s="380"/>
      <c r="F15" s="383">
        <v>1171431.1499999999</v>
      </c>
      <c r="G15" s="383">
        <v>0</v>
      </c>
      <c r="H15" s="383">
        <v>75654</v>
      </c>
      <c r="I15" s="383">
        <v>0</v>
      </c>
      <c r="J15" s="383">
        <v>45680</v>
      </c>
      <c r="K15" s="383">
        <v>46793</v>
      </c>
      <c r="L15" s="383">
        <v>0</v>
      </c>
      <c r="M15" s="383">
        <v>41000</v>
      </c>
      <c r="N15" s="383">
        <v>22750</v>
      </c>
      <c r="O15" s="383">
        <v>0</v>
      </c>
      <c r="P15" s="383">
        <v>0</v>
      </c>
      <c r="Q15" s="383">
        <v>0</v>
      </c>
      <c r="R15" s="383">
        <v>6500</v>
      </c>
      <c r="S15" s="383">
        <v>200</v>
      </c>
      <c r="T15" s="383">
        <v>0</v>
      </c>
      <c r="U15" s="383">
        <v>0</v>
      </c>
      <c r="V15" s="383">
        <v>0</v>
      </c>
      <c r="W15" s="383">
        <v>0</v>
      </c>
      <c r="X15" s="383">
        <v>0</v>
      </c>
      <c r="Y15" s="383">
        <f t="shared" si="0"/>
        <v>1410008.15</v>
      </c>
      <c r="Z15" s="383">
        <v>537827.04</v>
      </c>
      <c r="AA15" s="383">
        <v>0</v>
      </c>
      <c r="AB15" s="383">
        <v>331051.65999999997</v>
      </c>
      <c r="AC15" s="383">
        <v>0</v>
      </c>
      <c r="AD15" s="383">
        <v>79434.41</v>
      </c>
      <c r="AE15" s="383">
        <v>0</v>
      </c>
      <c r="AF15" s="383">
        <v>27039.57</v>
      </c>
      <c r="AG15" s="383">
        <v>4100</v>
      </c>
      <c r="AH15" s="383">
        <v>4683</v>
      </c>
      <c r="AI15" s="383">
        <v>0</v>
      </c>
      <c r="AJ15" s="383">
        <v>0</v>
      </c>
      <c r="AK15" s="383">
        <v>17000</v>
      </c>
      <c r="AL15" s="383">
        <v>3650</v>
      </c>
      <c r="AM15" s="383">
        <v>87000</v>
      </c>
      <c r="AN15" s="383">
        <v>5000</v>
      </c>
      <c r="AO15" s="383">
        <v>84500</v>
      </c>
      <c r="AP15" s="383">
        <v>46060</v>
      </c>
      <c r="AQ15" s="383">
        <v>9520</v>
      </c>
      <c r="AR15" s="383">
        <v>48776</v>
      </c>
      <c r="AS15" s="383">
        <v>33770</v>
      </c>
      <c r="AT15" s="383">
        <v>0</v>
      </c>
      <c r="AU15" s="383">
        <v>16550</v>
      </c>
      <c r="AV15" s="383">
        <v>6198</v>
      </c>
      <c r="AW15" s="383">
        <v>100</v>
      </c>
      <c r="AX15" s="383">
        <v>60593</v>
      </c>
      <c r="AY15" s="383">
        <v>0</v>
      </c>
      <c r="AZ15" s="383">
        <v>5670</v>
      </c>
      <c r="BA15" s="383">
        <v>14347</v>
      </c>
      <c r="BB15" s="383">
        <v>0</v>
      </c>
      <c r="BC15" s="383">
        <v>0</v>
      </c>
      <c r="BD15" s="383">
        <v>0</v>
      </c>
      <c r="BE15" s="383">
        <f t="shared" si="1"/>
        <v>1422869.68</v>
      </c>
      <c r="BF15" s="383">
        <f t="shared" si="2"/>
        <v>-12861.530000000028</v>
      </c>
      <c r="BG15" s="383">
        <v>79611.920000000275</v>
      </c>
      <c r="BH15" s="383">
        <f t="shared" si="3"/>
        <v>66750.390000000247</v>
      </c>
      <c r="BI15" s="383">
        <v>106505</v>
      </c>
      <c r="BJ15" s="383">
        <v>18000</v>
      </c>
      <c r="BK15" s="383">
        <f t="shared" si="4"/>
        <v>124505</v>
      </c>
      <c r="BL15" s="383">
        <v>134063.43</v>
      </c>
      <c r="BM15" s="383">
        <v>17378</v>
      </c>
      <c r="BN15" s="383">
        <f t="shared" si="5"/>
        <v>151441.43</v>
      </c>
      <c r="BO15" s="383">
        <f t="shared" si="6"/>
        <v>-26936.429999999993</v>
      </c>
      <c r="BP15" s="383">
        <v>56215.180000000022</v>
      </c>
      <c r="BQ15" s="383">
        <f t="shared" si="7"/>
        <v>29278.750000000029</v>
      </c>
      <c r="BR15" s="383">
        <v>0</v>
      </c>
      <c r="BS15" s="383">
        <v>66750.390000000247</v>
      </c>
      <c r="BT15" s="383">
        <v>29278.750000000029</v>
      </c>
      <c r="BU15" s="383">
        <f t="shared" si="8"/>
        <v>96029.140000000276</v>
      </c>
      <c r="BV15" s="383">
        <v>6304</v>
      </c>
      <c r="BW15" s="383">
        <v>0</v>
      </c>
      <c r="BX15" s="383">
        <v>0</v>
      </c>
      <c r="BY15" s="383">
        <f t="shared" si="9"/>
        <v>6304</v>
      </c>
      <c r="BZ15" s="383">
        <v>0</v>
      </c>
      <c r="CA15" s="383">
        <v>0</v>
      </c>
      <c r="CB15" s="383">
        <v>0</v>
      </c>
      <c r="CC15" s="383">
        <v>22132.49</v>
      </c>
      <c r="CD15" s="383">
        <f t="shared" si="10"/>
        <v>22132.49</v>
      </c>
      <c r="CE15" s="383">
        <f t="shared" si="11"/>
        <v>-15828.490000000002</v>
      </c>
      <c r="CF15" s="383">
        <v>15828.489999999998</v>
      </c>
      <c r="CG15" s="383">
        <f t="shared" si="12"/>
        <v>0</v>
      </c>
      <c r="CH15" s="383">
        <f>VLOOKUP($B15,'Data - CFR 202526'!$B$4:$CJ$127,85,0)</f>
        <v>15828.489999999998</v>
      </c>
      <c r="CI15" s="383">
        <f>VLOOKUP($B15,'Data - CFR 202526'!$B$4:$CJ$127,86,0)</f>
        <v>0</v>
      </c>
      <c r="CJ15" s="383">
        <f>VLOOKUP($B15,'Data - CFR 202526'!$B$4:$CJ$127,87,0)</f>
        <v>15828.489999999998</v>
      </c>
    </row>
    <row r="16" spans="1:88" s="220" customFormat="1" ht="13.8">
      <c r="A16" s="252" t="s">
        <v>1525</v>
      </c>
      <c r="B16" s="288">
        <v>3942</v>
      </c>
      <c r="C16" s="288" t="s">
        <v>717</v>
      </c>
      <c r="D16" s="248" t="s">
        <v>704</v>
      </c>
      <c r="E16" s="380"/>
      <c r="F16" s="383">
        <v>3205147.496878277</v>
      </c>
      <c r="G16" s="383">
        <v>0</v>
      </c>
      <c r="H16" s="383">
        <v>105124</v>
      </c>
      <c r="I16" s="383">
        <v>0</v>
      </c>
      <c r="J16" s="383">
        <v>198460</v>
      </c>
      <c r="K16" s="383">
        <v>108825</v>
      </c>
      <c r="L16" s="383">
        <v>0</v>
      </c>
      <c r="M16" s="383">
        <v>6400</v>
      </c>
      <c r="N16" s="383">
        <v>21210</v>
      </c>
      <c r="O16" s="383">
        <v>42000</v>
      </c>
      <c r="P16" s="383">
        <v>0</v>
      </c>
      <c r="Q16" s="383">
        <v>0</v>
      </c>
      <c r="R16" s="383">
        <v>17754</v>
      </c>
      <c r="S16" s="383">
        <v>0</v>
      </c>
      <c r="T16" s="383">
        <v>0</v>
      </c>
      <c r="U16" s="383">
        <v>0</v>
      </c>
      <c r="V16" s="383">
        <v>0</v>
      </c>
      <c r="W16" s="383">
        <v>0</v>
      </c>
      <c r="X16" s="383">
        <v>0</v>
      </c>
      <c r="Y16" s="383">
        <f t="shared" si="0"/>
        <v>3704920.496878277</v>
      </c>
      <c r="Z16" s="383">
        <v>1856757.1243893662</v>
      </c>
      <c r="AA16" s="383">
        <v>16000</v>
      </c>
      <c r="AB16" s="383">
        <v>684433.2872319516</v>
      </c>
      <c r="AC16" s="383">
        <v>25166.248240146393</v>
      </c>
      <c r="AD16" s="383">
        <v>180516.82854432822</v>
      </c>
      <c r="AE16" s="383">
        <v>0</v>
      </c>
      <c r="AF16" s="383">
        <v>133055.31444593571</v>
      </c>
      <c r="AG16" s="383">
        <v>15700</v>
      </c>
      <c r="AH16" s="383">
        <v>23000</v>
      </c>
      <c r="AI16" s="383">
        <v>15782</v>
      </c>
      <c r="AJ16" s="383">
        <v>1946</v>
      </c>
      <c r="AK16" s="383">
        <v>77150</v>
      </c>
      <c r="AL16" s="383">
        <v>26585</v>
      </c>
      <c r="AM16" s="383">
        <v>78173</v>
      </c>
      <c r="AN16" s="383">
        <v>10340</v>
      </c>
      <c r="AO16" s="383">
        <v>87480</v>
      </c>
      <c r="AP16" s="383">
        <v>66612</v>
      </c>
      <c r="AQ16" s="383">
        <v>9900</v>
      </c>
      <c r="AR16" s="383">
        <v>110101</v>
      </c>
      <c r="AS16" s="383">
        <v>70805</v>
      </c>
      <c r="AT16" s="383">
        <v>0</v>
      </c>
      <c r="AU16" s="383">
        <v>34312</v>
      </c>
      <c r="AV16" s="383">
        <v>17565</v>
      </c>
      <c r="AW16" s="383">
        <v>0</v>
      </c>
      <c r="AX16" s="383">
        <v>203500</v>
      </c>
      <c r="AY16" s="383">
        <v>53650</v>
      </c>
      <c r="AZ16" s="383">
        <v>51475</v>
      </c>
      <c r="BA16" s="383">
        <v>33877</v>
      </c>
      <c r="BB16" s="383">
        <v>0</v>
      </c>
      <c r="BC16" s="383">
        <v>0</v>
      </c>
      <c r="BD16" s="383">
        <v>75000</v>
      </c>
      <c r="BE16" s="383">
        <f t="shared" si="1"/>
        <v>3958881.8028517277</v>
      </c>
      <c r="BF16" s="383">
        <f t="shared" si="2"/>
        <v>-253961.30597345065</v>
      </c>
      <c r="BG16" s="383">
        <v>542371.70999999915</v>
      </c>
      <c r="BH16" s="383">
        <f t="shared" si="3"/>
        <v>288410.40402654849</v>
      </c>
      <c r="BI16" s="383">
        <v>166938</v>
      </c>
      <c r="BJ16" s="383">
        <v>19559</v>
      </c>
      <c r="BK16" s="383">
        <f t="shared" si="4"/>
        <v>186497</v>
      </c>
      <c r="BL16" s="383">
        <v>164320.31837261404</v>
      </c>
      <c r="BM16" s="383">
        <v>26694.1</v>
      </c>
      <c r="BN16" s="383">
        <f t="shared" si="5"/>
        <v>191014.41837261405</v>
      </c>
      <c r="BO16" s="383">
        <f t="shared" si="6"/>
        <v>-4517.4183726140473</v>
      </c>
      <c r="BP16" s="383">
        <v>125667.84999999999</v>
      </c>
      <c r="BQ16" s="383">
        <f t="shared" si="7"/>
        <v>121150.43162738594</v>
      </c>
      <c r="BR16" s="383">
        <v>0</v>
      </c>
      <c r="BS16" s="383">
        <v>288410.40402654849</v>
      </c>
      <c r="BT16" s="383">
        <v>121150.43162738594</v>
      </c>
      <c r="BU16" s="383">
        <f t="shared" si="8"/>
        <v>409560.83565393445</v>
      </c>
      <c r="BV16" s="383">
        <v>10863</v>
      </c>
      <c r="BW16" s="383">
        <v>0</v>
      </c>
      <c r="BX16" s="383">
        <v>75000</v>
      </c>
      <c r="BY16" s="383">
        <f t="shared" si="9"/>
        <v>85863</v>
      </c>
      <c r="BZ16" s="383">
        <v>0</v>
      </c>
      <c r="CA16" s="383">
        <v>71363</v>
      </c>
      <c r="CB16" s="383">
        <v>0</v>
      </c>
      <c r="CC16" s="383">
        <v>14500</v>
      </c>
      <c r="CD16" s="383">
        <f t="shared" si="10"/>
        <v>85863</v>
      </c>
      <c r="CE16" s="383">
        <f t="shared" si="11"/>
        <v>0</v>
      </c>
      <c r="CF16" s="383">
        <v>0</v>
      </c>
      <c r="CG16" s="383">
        <f t="shared" si="12"/>
        <v>0</v>
      </c>
      <c r="CH16" s="383">
        <f>VLOOKUP($B16,'Data - CFR 202526'!$B$4:$CJ$127,85,0)</f>
        <v>1.8189894035458565E-12</v>
      </c>
      <c r="CI16" s="383">
        <f>VLOOKUP($B16,'Data - CFR 202526'!$B$4:$CJ$127,86,0)</f>
        <v>-7.2759576141834259E-12</v>
      </c>
      <c r="CJ16" s="383">
        <f>VLOOKUP($B16,'Data - CFR 202526'!$B$4:$CJ$127,87,0)</f>
        <v>-5.4569682106375694E-12</v>
      </c>
    </row>
    <row r="17" spans="1:88" s="220" customFormat="1" ht="13.8">
      <c r="A17" s="252" t="s">
        <v>1525</v>
      </c>
      <c r="B17" s="288">
        <v>3081</v>
      </c>
      <c r="C17" s="288" t="s">
        <v>718</v>
      </c>
      <c r="D17" s="248" t="s">
        <v>704</v>
      </c>
      <c r="E17" s="380"/>
      <c r="F17" s="383">
        <v>637419.44501304266</v>
      </c>
      <c r="G17" s="383">
        <v>0</v>
      </c>
      <c r="H17" s="383">
        <v>35822</v>
      </c>
      <c r="I17" s="383">
        <v>0</v>
      </c>
      <c r="J17" s="383">
        <v>23150</v>
      </c>
      <c r="K17" s="383">
        <v>31753</v>
      </c>
      <c r="L17" s="383">
        <v>0</v>
      </c>
      <c r="M17" s="383">
        <v>390</v>
      </c>
      <c r="N17" s="383">
        <v>35800</v>
      </c>
      <c r="O17" s="383">
        <v>22120</v>
      </c>
      <c r="P17" s="383">
        <v>0</v>
      </c>
      <c r="Q17" s="383">
        <v>0</v>
      </c>
      <c r="R17" s="383">
        <v>9602</v>
      </c>
      <c r="S17" s="383">
        <v>100</v>
      </c>
      <c r="T17" s="383">
        <v>0</v>
      </c>
      <c r="U17" s="383">
        <v>0</v>
      </c>
      <c r="V17" s="383">
        <v>0</v>
      </c>
      <c r="W17" s="383">
        <v>0</v>
      </c>
      <c r="X17" s="383">
        <v>0</v>
      </c>
      <c r="Y17" s="383">
        <f t="shared" si="0"/>
        <v>796156.44501304266</v>
      </c>
      <c r="Z17" s="383">
        <v>353870.51233531442</v>
      </c>
      <c r="AA17" s="383">
        <v>2000</v>
      </c>
      <c r="AB17" s="383">
        <v>135677.03415911342</v>
      </c>
      <c r="AC17" s="383">
        <v>10616.457988386623</v>
      </c>
      <c r="AD17" s="383">
        <v>54170.124332586507</v>
      </c>
      <c r="AE17" s="383">
        <v>34840.023869434794</v>
      </c>
      <c r="AF17" s="383">
        <v>35711.666143198279</v>
      </c>
      <c r="AG17" s="383">
        <v>5626</v>
      </c>
      <c r="AH17" s="383">
        <v>5000</v>
      </c>
      <c r="AI17" s="383">
        <v>4625</v>
      </c>
      <c r="AJ17" s="383">
        <v>0</v>
      </c>
      <c r="AK17" s="383">
        <v>12000</v>
      </c>
      <c r="AL17" s="383">
        <v>1500</v>
      </c>
      <c r="AM17" s="383">
        <v>1500</v>
      </c>
      <c r="AN17" s="383">
        <v>2868</v>
      </c>
      <c r="AO17" s="383">
        <v>22550</v>
      </c>
      <c r="AP17" s="383">
        <v>13371</v>
      </c>
      <c r="AQ17" s="383">
        <v>5180</v>
      </c>
      <c r="AR17" s="383">
        <v>14390.81</v>
      </c>
      <c r="AS17" s="383">
        <v>25110</v>
      </c>
      <c r="AT17" s="383">
        <v>0</v>
      </c>
      <c r="AU17" s="383">
        <v>6350</v>
      </c>
      <c r="AV17" s="383">
        <v>3053</v>
      </c>
      <c r="AW17" s="383">
        <v>15402</v>
      </c>
      <c r="AX17" s="383">
        <v>25740</v>
      </c>
      <c r="AY17" s="383">
        <v>4000</v>
      </c>
      <c r="AZ17" s="383">
        <v>5000</v>
      </c>
      <c r="BA17" s="383">
        <v>10860</v>
      </c>
      <c r="BB17" s="383">
        <v>0</v>
      </c>
      <c r="BC17" s="383">
        <v>0</v>
      </c>
      <c r="BD17" s="383">
        <v>0</v>
      </c>
      <c r="BE17" s="383">
        <f t="shared" si="1"/>
        <v>811011.62882803415</v>
      </c>
      <c r="BF17" s="383">
        <f t="shared" si="2"/>
        <v>-14855.183814991498</v>
      </c>
      <c r="BG17" s="383">
        <v>111330.67999999993</v>
      </c>
      <c r="BH17" s="383">
        <f t="shared" si="3"/>
        <v>96475.496185008436</v>
      </c>
      <c r="BI17" s="383">
        <v>0</v>
      </c>
      <c r="BJ17" s="383">
        <v>0</v>
      </c>
      <c r="BK17" s="383">
        <f t="shared" si="4"/>
        <v>0</v>
      </c>
      <c r="BL17" s="383">
        <v>0</v>
      </c>
      <c r="BM17" s="383">
        <v>0</v>
      </c>
      <c r="BN17" s="383">
        <f t="shared" si="5"/>
        <v>0</v>
      </c>
      <c r="BO17" s="383">
        <f t="shared" si="6"/>
        <v>0</v>
      </c>
      <c r="BP17" s="383">
        <v>0</v>
      </c>
      <c r="BQ17" s="383">
        <f t="shared" si="7"/>
        <v>0</v>
      </c>
      <c r="BR17" s="383">
        <v>0</v>
      </c>
      <c r="BS17" s="383">
        <v>96475.496185008436</v>
      </c>
      <c r="BT17" s="383">
        <v>0</v>
      </c>
      <c r="BU17" s="383">
        <f t="shared" si="8"/>
        <v>96475.496185008436</v>
      </c>
      <c r="BV17" s="383">
        <v>5102.5</v>
      </c>
      <c r="BW17" s="383">
        <v>0</v>
      </c>
      <c r="BX17" s="383">
        <v>0</v>
      </c>
      <c r="BY17" s="383">
        <f t="shared" si="9"/>
        <v>5102.5</v>
      </c>
      <c r="BZ17" s="383">
        <v>0</v>
      </c>
      <c r="CA17" s="383">
        <v>14722.87</v>
      </c>
      <c r="CB17" s="383">
        <v>0</v>
      </c>
      <c r="CC17" s="383">
        <v>0</v>
      </c>
      <c r="CD17" s="383">
        <f t="shared" si="10"/>
        <v>14722.87</v>
      </c>
      <c r="CE17" s="383">
        <f t="shared" si="11"/>
        <v>-9620.3700000000008</v>
      </c>
      <c r="CF17" s="383">
        <v>9620.369999999999</v>
      </c>
      <c r="CG17" s="383">
        <f t="shared" si="12"/>
        <v>0</v>
      </c>
      <c r="CH17" s="383">
        <f>VLOOKUP($B17,'Data - CFR 202526'!$B$4:$CJ$127,85,0)</f>
        <v>9620.369999999999</v>
      </c>
      <c r="CI17" s="383">
        <f>VLOOKUP($B17,'Data - CFR 202526'!$B$4:$CJ$127,86,0)</f>
        <v>0</v>
      </c>
      <c r="CJ17" s="383">
        <f>VLOOKUP($B17,'Data - CFR 202526'!$B$4:$CJ$127,87,0)</f>
        <v>9620.369999999999</v>
      </c>
    </row>
    <row r="18" spans="1:88" s="220" customFormat="1" ht="13.8">
      <c r="A18" s="252" t="s">
        <v>1525</v>
      </c>
      <c r="B18" s="288">
        <v>1005</v>
      </c>
      <c r="C18" s="288" t="s">
        <v>719</v>
      </c>
      <c r="D18" s="248" t="s">
        <v>720</v>
      </c>
      <c r="E18" s="380"/>
      <c r="F18" s="383">
        <v>563825.63</v>
      </c>
      <c r="G18" s="383">
        <v>0</v>
      </c>
      <c r="H18" s="383">
        <v>3000</v>
      </c>
      <c r="I18" s="383">
        <v>0</v>
      </c>
      <c r="J18" s="383">
        <v>0</v>
      </c>
      <c r="K18" s="383">
        <v>0</v>
      </c>
      <c r="L18" s="383">
        <v>0</v>
      </c>
      <c r="M18" s="383">
        <v>0</v>
      </c>
      <c r="N18" s="383">
        <v>1500</v>
      </c>
      <c r="O18" s="383">
        <v>0</v>
      </c>
      <c r="P18" s="383">
        <v>0</v>
      </c>
      <c r="Q18" s="383">
        <v>0</v>
      </c>
      <c r="R18" s="383">
        <v>176500</v>
      </c>
      <c r="S18" s="383">
        <v>4000</v>
      </c>
      <c r="T18" s="383">
        <v>0</v>
      </c>
      <c r="U18" s="383">
        <v>0</v>
      </c>
      <c r="V18" s="383">
        <v>0</v>
      </c>
      <c r="W18" s="383">
        <v>0</v>
      </c>
      <c r="X18" s="383">
        <v>0</v>
      </c>
      <c r="Y18" s="383">
        <f t="shared" si="0"/>
        <v>748825.63</v>
      </c>
      <c r="Z18" s="383">
        <v>201055.05056464492</v>
      </c>
      <c r="AA18" s="383">
        <v>0</v>
      </c>
      <c r="AB18" s="383">
        <v>200466.13296111309</v>
      </c>
      <c r="AC18" s="383">
        <v>832.75332772073887</v>
      </c>
      <c r="AD18" s="383">
        <v>102573.13133884092</v>
      </c>
      <c r="AE18" s="383">
        <v>0</v>
      </c>
      <c r="AF18" s="383">
        <v>78304.932568370452</v>
      </c>
      <c r="AG18" s="383">
        <v>3000</v>
      </c>
      <c r="AH18" s="383">
        <v>40643.5</v>
      </c>
      <c r="AI18" s="383">
        <v>2110.5</v>
      </c>
      <c r="AJ18" s="383">
        <v>2094.75</v>
      </c>
      <c r="AK18" s="383">
        <v>10000</v>
      </c>
      <c r="AL18" s="383">
        <v>150</v>
      </c>
      <c r="AM18" s="383">
        <v>19253.48</v>
      </c>
      <c r="AN18" s="383">
        <v>1550</v>
      </c>
      <c r="AO18" s="383">
        <v>6433</v>
      </c>
      <c r="AP18" s="383">
        <v>10329</v>
      </c>
      <c r="AQ18" s="383">
        <v>1575</v>
      </c>
      <c r="AR18" s="383">
        <v>3000</v>
      </c>
      <c r="AS18" s="383">
        <v>12094.17</v>
      </c>
      <c r="AT18" s="383">
        <v>0</v>
      </c>
      <c r="AU18" s="383">
        <v>2000</v>
      </c>
      <c r="AV18" s="383">
        <v>2497.31</v>
      </c>
      <c r="AW18" s="383">
        <v>5500</v>
      </c>
      <c r="AX18" s="383">
        <v>25150</v>
      </c>
      <c r="AY18" s="383">
        <v>0</v>
      </c>
      <c r="AZ18" s="383">
        <v>0</v>
      </c>
      <c r="BA18" s="383">
        <v>10778.35</v>
      </c>
      <c r="BB18" s="383">
        <v>0</v>
      </c>
      <c r="BC18" s="383">
        <v>0</v>
      </c>
      <c r="BD18" s="383">
        <v>0</v>
      </c>
      <c r="BE18" s="383">
        <f t="shared" si="1"/>
        <v>741391.06076069013</v>
      </c>
      <c r="BF18" s="383">
        <f t="shared" si="2"/>
        <v>7434.5692393098725</v>
      </c>
      <c r="BG18" s="383">
        <v>-45056.340000000244</v>
      </c>
      <c r="BH18" s="383">
        <f t="shared" si="3"/>
        <v>-37621.770760690371</v>
      </c>
      <c r="BI18" s="383">
        <v>0</v>
      </c>
      <c r="BJ18" s="383">
        <v>0</v>
      </c>
      <c r="BK18" s="383">
        <f t="shared" si="4"/>
        <v>0</v>
      </c>
      <c r="BL18" s="383">
        <v>0</v>
      </c>
      <c r="BM18" s="383">
        <v>0</v>
      </c>
      <c r="BN18" s="383">
        <f t="shared" si="5"/>
        <v>0</v>
      </c>
      <c r="BO18" s="383">
        <f t="shared" si="6"/>
        <v>0</v>
      </c>
      <c r="BP18" s="383">
        <v>313523.47000000003</v>
      </c>
      <c r="BQ18" s="383">
        <f t="shared" si="7"/>
        <v>313523.47000000003</v>
      </c>
      <c r="BR18" s="383">
        <v>0</v>
      </c>
      <c r="BS18" s="383">
        <v>-37621.770760690371</v>
      </c>
      <c r="BT18" s="383">
        <v>313523.47000000003</v>
      </c>
      <c r="BU18" s="383">
        <f t="shared" si="8"/>
        <v>275901.69923930964</v>
      </c>
      <c r="BV18" s="383">
        <v>4492</v>
      </c>
      <c r="BW18" s="383">
        <v>0</v>
      </c>
      <c r="BX18" s="383">
        <v>0</v>
      </c>
      <c r="BY18" s="383">
        <f t="shared" si="9"/>
        <v>4492</v>
      </c>
      <c r="BZ18" s="383">
        <v>0</v>
      </c>
      <c r="CA18" s="383">
        <v>6500</v>
      </c>
      <c r="CB18" s="383">
        <v>0</v>
      </c>
      <c r="CC18" s="383">
        <v>938</v>
      </c>
      <c r="CD18" s="383">
        <f t="shared" si="10"/>
        <v>7438</v>
      </c>
      <c r="CE18" s="383">
        <f t="shared" si="11"/>
        <v>-2946</v>
      </c>
      <c r="CF18" s="383">
        <v>4712.8</v>
      </c>
      <c r="CG18" s="383">
        <f t="shared" si="12"/>
        <v>1766.8000000000002</v>
      </c>
      <c r="CH18" s="383">
        <f>VLOOKUP($B18,'Data - CFR 202526'!$B$4:$CJ$127,85,0)</f>
        <v>4712.8</v>
      </c>
      <c r="CI18" s="383">
        <f>VLOOKUP($B18,'Data - CFR 202526'!$B$4:$CJ$127,86,0)</f>
        <v>0</v>
      </c>
      <c r="CJ18" s="383">
        <f>VLOOKUP($B18,'Data - CFR 202526'!$B$4:$CJ$127,87,0)</f>
        <v>4712.8</v>
      </c>
    </row>
    <row r="19" spans="1:88" s="220" customFormat="1" ht="13.8">
      <c r="A19" s="252" t="s">
        <v>1525</v>
      </c>
      <c r="B19" s="288">
        <v>2327</v>
      </c>
      <c r="C19" s="288" t="s">
        <v>721</v>
      </c>
      <c r="D19" s="248" t="s">
        <v>704</v>
      </c>
      <c r="E19" s="380"/>
      <c r="F19" s="383">
        <v>2059686.2676887498</v>
      </c>
      <c r="G19" s="383">
        <v>0</v>
      </c>
      <c r="H19" s="383">
        <v>39693</v>
      </c>
      <c r="I19" s="383">
        <v>0</v>
      </c>
      <c r="J19" s="383">
        <v>126180</v>
      </c>
      <c r="K19" s="383">
        <v>104472.77</v>
      </c>
      <c r="L19" s="383">
        <v>0</v>
      </c>
      <c r="M19" s="383">
        <v>10965</v>
      </c>
      <c r="N19" s="383">
        <v>1424</v>
      </c>
      <c r="O19" s="383">
        <v>37995</v>
      </c>
      <c r="P19" s="383">
        <v>0</v>
      </c>
      <c r="Q19" s="383">
        <v>0</v>
      </c>
      <c r="R19" s="383">
        <v>0</v>
      </c>
      <c r="S19" s="383">
        <v>0</v>
      </c>
      <c r="T19" s="383">
        <v>0</v>
      </c>
      <c r="U19" s="383">
        <v>0</v>
      </c>
      <c r="V19" s="383">
        <v>0</v>
      </c>
      <c r="W19" s="383">
        <v>0</v>
      </c>
      <c r="X19" s="383">
        <v>0</v>
      </c>
      <c r="Y19" s="383">
        <f t="shared" si="0"/>
        <v>2380416.0376887498</v>
      </c>
      <c r="Z19" s="383">
        <v>1292874.9243839141</v>
      </c>
      <c r="AA19" s="383">
        <v>30807</v>
      </c>
      <c r="AB19" s="383">
        <v>303266.54227012367</v>
      </c>
      <c r="AC19" s="383">
        <v>35845.665800270268</v>
      </c>
      <c r="AD19" s="383">
        <v>133528.5604351362</v>
      </c>
      <c r="AE19" s="383">
        <v>0</v>
      </c>
      <c r="AF19" s="383">
        <v>23608.479353640658</v>
      </c>
      <c r="AG19" s="383">
        <v>11492</v>
      </c>
      <c r="AH19" s="383">
        <v>4100</v>
      </c>
      <c r="AI19" s="383">
        <v>0</v>
      </c>
      <c r="AJ19" s="383">
        <v>11942</v>
      </c>
      <c r="AK19" s="383">
        <v>12000</v>
      </c>
      <c r="AL19" s="383">
        <v>6334.2</v>
      </c>
      <c r="AM19" s="383">
        <v>55012.959999999999</v>
      </c>
      <c r="AN19" s="383">
        <v>7557</v>
      </c>
      <c r="AO19" s="383">
        <v>61912.33</v>
      </c>
      <c r="AP19" s="383">
        <v>61250</v>
      </c>
      <c r="AQ19" s="383">
        <v>21205.14</v>
      </c>
      <c r="AR19" s="383">
        <v>75151.759999999995</v>
      </c>
      <c r="AS19" s="383">
        <v>38011.42</v>
      </c>
      <c r="AT19" s="383">
        <v>0</v>
      </c>
      <c r="AU19" s="383">
        <v>10967.03</v>
      </c>
      <c r="AV19" s="383">
        <v>11000</v>
      </c>
      <c r="AW19" s="383">
        <v>0</v>
      </c>
      <c r="AX19" s="383">
        <v>129811.06</v>
      </c>
      <c r="AY19" s="383">
        <v>33324.120000000003</v>
      </c>
      <c r="AZ19" s="383">
        <v>13000</v>
      </c>
      <c r="BA19" s="383">
        <v>20488.66</v>
      </c>
      <c r="BB19" s="383">
        <v>0</v>
      </c>
      <c r="BC19" s="383">
        <v>0</v>
      </c>
      <c r="BD19" s="383">
        <v>0</v>
      </c>
      <c r="BE19" s="383">
        <f t="shared" si="1"/>
        <v>2404490.8522430845</v>
      </c>
      <c r="BF19" s="383">
        <f t="shared" si="2"/>
        <v>-24074.814554334618</v>
      </c>
      <c r="BG19" s="383">
        <v>223748.60000000143</v>
      </c>
      <c r="BH19" s="383">
        <f t="shared" si="3"/>
        <v>199673.78544566681</v>
      </c>
      <c r="BI19" s="383">
        <v>0</v>
      </c>
      <c r="BJ19" s="383">
        <v>0</v>
      </c>
      <c r="BK19" s="383">
        <f t="shared" si="4"/>
        <v>0</v>
      </c>
      <c r="BL19" s="383">
        <v>0</v>
      </c>
      <c r="BM19" s="383">
        <v>0</v>
      </c>
      <c r="BN19" s="383">
        <f t="shared" si="5"/>
        <v>0</v>
      </c>
      <c r="BO19" s="383">
        <f t="shared" si="6"/>
        <v>0</v>
      </c>
      <c r="BP19" s="383">
        <v>0</v>
      </c>
      <c r="BQ19" s="383">
        <f t="shared" si="7"/>
        <v>0</v>
      </c>
      <c r="BR19" s="383">
        <v>0</v>
      </c>
      <c r="BS19" s="383">
        <v>199673.78544566681</v>
      </c>
      <c r="BT19" s="383">
        <v>0</v>
      </c>
      <c r="BU19" s="383">
        <f t="shared" si="8"/>
        <v>199673.78544566681</v>
      </c>
      <c r="BV19" s="383">
        <v>8264</v>
      </c>
      <c r="BW19" s="383">
        <v>0</v>
      </c>
      <c r="BX19" s="383">
        <v>0</v>
      </c>
      <c r="BY19" s="383">
        <f t="shared" si="9"/>
        <v>8264</v>
      </c>
      <c r="BZ19" s="383">
        <v>0</v>
      </c>
      <c r="CA19" s="383">
        <v>8264</v>
      </c>
      <c r="CB19" s="383">
        <v>0</v>
      </c>
      <c r="CC19" s="383">
        <v>0</v>
      </c>
      <c r="CD19" s="383">
        <f t="shared" si="10"/>
        <v>8264</v>
      </c>
      <c r="CE19" s="383">
        <f t="shared" si="11"/>
        <v>0</v>
      </c>
      <c r="CF19" s="383">
        <v>24862.240000000005</v>
      </c>
      <c r="CG19" s="383">
        <f t="shared" si="12"/>
        <v>24862.240000000005</v>
      </c>
      <c r="CH19" s="383">
        <f>VLOOKUP($B19,'Data - CFR 202526'!$B$4:$CJ$127,85,0)</f>
        <v>24862.240000000005</v>
      </c>
      <c r="CI19" s="383">
        <f>VLOOKUP($B19,'Data - CFR 202526'!$B$4:$CJ$127,86,0)</f>
        <v>0</v>
      </c>
      <c r="CJ19" s="383">
        <f>VLOOKUP($B19,'Data - CFR 202526'!$B$4:$CJ$127,87,0)</f>
        <v>24862.240000000005</v>
      </c>
    </row>
    <row r="20" spans="1:88" s="220" customFormat="1" ht="13.8">
      <c r="A20" s="252" t="s">
        <v>1525</v>
      </c>
      <c r="B20" s="288">
        <v>2452</v>
      </c>
      <c r="C20" s="288" t="s">
        <v>722</v>
      </c>
      <c r="D20" s="248" t="s">
        <v>704</v>
      </c>
      <c r="E20" s="380"/>
      <c r="F20" s="383">
        <v>2156837.8835340515</v>
      </c>
      <c r="G20" s="383">
        <v>0</v>
      </c>
      <c r="H20" s="383">
        <v>96827</v>
      </c>
      <c r="I20" s="383">
        <v>0</v>
      </c>
      <c r="J20" s="383">
        <v>151340</v>
      </c>
      <c r="K20" s="383">
        <v>87957</v>
      </c>
      <c r="L20" s="383">
        <v>0</v>
      </c>
      <c r="M20" s="383">
        <v>25000</v>
      </c>
      <c r="N20" s="383">
        <v>73050</v>
      </c>
      <c r="O20" s="383">
        <v>45500</v>
      </c>
      <c r="P20" s="383">
        <v>0</v>
      </c>
      <c r="Q20" s="383">
        <v>0</v>
      </c>
      <c r="R20" s="383">
        <v>0</v>
      </c>
      <c r="S20" s="383">
        <v>0</v>
      </c>
      <c r="T20" s="383">
        <v>0</v>
      </c>
      <c r="U20" s="383">
        <v>0</v>
      </c>
      <c r="V20" s="383">
        <v>0</v>
      </c>
      <c r="W20" s="383">
        <v>0</v>
      </c>
      <c r="X20" s="383">
        <v>0</v>
      </c>
      <c r="Y20" s="383">
        <f t="shared" si="0"/>
        <v>2636511.8835340515</v>
      </c>
      <c r="Z20" s="383">
        <v>1318368.3153533863</v>
      </c>
      <c r="AA20" s="383">
        <v>2500</v>
      </c>
      <c r="AB20" s="383">
        <v>567475.84934290918</v>
      </c>
      <c r="AC20" s="383">
        <v>74211.969254241616</v>
      </c>
      <c r="AD20" s="383">
        <v>116406.10854312942</v>
      </c>
      <c r="AE20" s="383">
        <v>54640.460765581905</v>
      </c>
      <c r="AF20" s="383">
        <v>80498.79810837991</v>
      </c>
      <c r="AG20" s="383">
        <v>9650</v>
      </c>
      <c r="AH20" s="383">
        <v>7000</v>
      </c>
      <c r="AI20" s="383">
        <v>9425</v>
      </c>
      <c r="AJ20" s="383">
        <v>510</v>
      </c>
      <c r="AK20" s="383">
        <v>17000</v>
      </c>
      <c r="AL20" s="383">
        <v>8000</v>
      </c>
      <c r="AM20" s="383">
        <v>4750</v>
      </c>
      <c r="AN20" s="383">
        <v>5500</v>
      </c>
      <c r="AO20" s="383">
        <v>42000</v>
      </c>
      <c r="AP20" s="383">
        <v>48840</v>
      </c>
      <c r="AQ20" s="383">
        <v>16510</v>
      </c>
      <c r="AR20" s="383">
        <v>43005</v>
      </c>
      <c r="AS20" s="383">
        <v>43700</v>
      </c>
      <c r="AT20" s="383">
        <v>0</v>
      </c>
      <c r="AU20" s="383">
        <v>15605</v>
      </c>
      <c r="AV20" s="383">
        <v>12234</v>
      </c>
      <c r="AW20" s="383">
        <v>2900</v>
      </c>
      <c r="AX20" s="383">
        <v>47000</v>
      </c>
      <c r="AY20" s="383">
        <v>12500</v>
      </c>
      <c r="AZ20" s="383">
        <v>17700</v>
      </c>
      <c r="BA20" s="383">
        <v>17405</v>
      </c>
      <c r="BB20" s="383">
        <v>0</v>
      </c>
      <c r="BC20" s="383">
        <v>1655</v>
      </c>
      <c r="BD20" s="383">
        <v>4748</v>
      </c>
      <c r="BE20" s="383">
        <f t="shared" si="1"/>
        <v>2601738.5013676281</v>
      </c>
      <c r="BF20" s="383">
        <f t="shared" si="2"/>
        <v>34773.382166423369</v>
      </c>
      <c r="BG20" s="383">
        <v>-74166.210000001505</v>
      </c>
      <c r="BH20" s="383">
        <f t="shared" si="3"/>
        <v>-39392.827833578136</v>
      </c>
      <c r="BI20" s="383">
        <v>0</v>
      </c>
      <c r="BJ20" s="383">
        <v>0</v>
      </c>
      <c r="BK20" s="383">
        <f t="shared" si="4"/>
        <v>0</v>
      </c>
      <c r="BL20" s="383">
        <v>0</v>
      </c>
      <c r="BM20" s="383">
        <v>0</v>
      </c>
      <c r="BN20" s="383">
        <f t="shared" si="5"/>
        <v>0</v>
      </c>
      <c r="BO20" s="383">
        <f t="shared" si="6"/>
        <v>0</v>
      </c>
      <c r="BP20" s="383">
        <v>0</v>
      </c>
      <c r="BQ20" s="383">
        <f t="shared" si="7"/>
        <v>0</v>
      </c>
      <c r="BR20" s="383">
        <v>0</v>
      </c>
      <c r="BS20" s="383">
        <v>-39392.827833578136</v>
      </c>
      <c r="BT20" s="383">
        <v>0</v>
      </c>
      <c r="BU20" s="383">
        <f t="shared" si="8"/>
        <v>-39392.827833578136</v>
      </c>
      <c r="BV20" s="383">
        <v>8275</v>
      </c>
      <c r="BW20" s="383">
        <v>0</v>
      </c>
      <c r="BX20" s="383">
        <v>0</v>
      </c>
      <c r="BY20" s="383">
        <f t="shared" si="9"/>
        <v>8275</v>
      </c>
      <c r="BZ20" s="383">
        <v>0</v>
      </c>
      <c r="CA20" s="383">
        <v>14721.2</v>
      </c>
      <c r="CB20" s="383">
        <v>0</v>
      </c>
      <c r="CC20" s="383">
        <v>0</v>
      </c>
      <c r="CD20" s="383">
        <f t="shared" si="10"/>
        <v>14721.2</v>
      </c>
      <c r="CE20" s="383">
        <f t="shared" si="11"/>
        <v>-6446.2000000000007</v>
      </c>
      <c r="CF20" s="383">
        <v>6446.1999999999962</v>
      </c>
      <c r="CG20" s="383">
        <f t="shared" si="12"/>
        <v>0</v>
      </c>
      <c r="CH20" s="383">
        <f>VLOOKUP($B20,'Data - CFR 202526'!$B$4:$CJ$127,85,0)</f>
        <v>4848.5</v>
      </c>
      <c r="CI20" s="383">
        <f>VLOOKUP($B20,'Data - CFR 202526'!$B$4:$CJ$127,86,0)</f>
        <v>1597.6999999999964</v>
      </c>
      <c r="CJ20" s="383">
        <f>VLOOKUP($B20,'Data - CFR 202526'!$B$4:$CJ$127,87,0)</f>
        <v>6446.1999999999962</v>
      </c>
    </row>
    <row r="21" spans="1:88" s="220" customFormat="1" ht="13.8">
      <c r="A21" s="252" t="s">
        <v>1525</v>
      </c>
      <c r="B21" s="288">
        <v>2004</v>
      </c>
      <c r="C21" s="288" t="s">
        <v>723</v>
      </c>
      <c r="D21" s="248" t="s">
        <v>704</v>
      </c>
      <c r="E21" s="380"/>
      <c r="F21" s="383">
        <v>1115318.4800888</v>
      </c>
      <c r="G21" s="383">
        <v>0</v>
      </c>
      <c r="H21" s="383">
        <v>13183</v>
      </c>
      <c r="I21" s="383">
        <v>0</v>
      </c>
      <c r="J21" s="383">
        <v>50210</v>
      </c>
      <c r="K21" s="383">
        <v>52035</v>
      </c>
      <c r="L21" s="383">
        <v>0</v>
      </c>
      <c r="M21" s="383">
        <v>0</v>
      </c>
      <c r="N21" s="383">
        <v>100600</v>
      </c>
      <c r="O21" s="383">
        <v>26450</v>
      </c>
      <c r="P21" s="383">
        <v>0</v>
      </c>
      <c r="Q21" s="383">
        <v>0</v>
      </c>
      <c r="R21" s="383">
        <v>0</v>
      </c>
      <c r="S21" s="383">
        <v>8100</v>
      </c>
      <c r="T21" s="383">
        <v>0</v>
      </c>
      <c r="U21" s="383">
        <v>0</v>
      </c>
      <c r="V21" s="383">
        <v>0</v>
      </c>
      <c r="W21" s="383">
        <v>0</v>
      </c>
      <c r="X21" s="383">
        <v>0</v>
      </c>
      <c r="Y21" s="383">
        <f t="shared" si="0"/>
        <v>1365896.4800888</v>
      </c>
      <c r="Z21" s="383">
        <v>664261.17721308069</v>
      </c>
      <c r="AA21" s="383">
        <v>4000</v>
      </c>
      <c r="AB21" s="383">
        <v>179292.77153983081</v>
      </c>
      <c r="AC21" s="383">
        <v>28298.406866449921</v>
      </c>
      <c r="AD21" s="383">
        <v>54860.26129294253</v>
      </c>
      <c r="AE21" s="383">
        <v>0</v>
      </c>
      <c r="AF21" s="383">
        <v>79065.468369216513</v>
      </c>
      <c r="AG21" s="383">
        <v>5200</v>
      </c>
      <c r="AH21" s="383">
        <v>4000</v>
      </c>
      <c r="AI21" s="383">
        <v>3200</v>
      </c>
      <c r="AJ21" s="383">
        <v>0</v>
      </c>
      <c r="AK21" s="383">
        <v>30000</v>
      </c>
      <c r="AL21" s="383">
        <v>3210</v>
      </c>
      <c r="AM21" s="383">
        <v>21294</v>
      </c>
      <c r="AN21" s="383">
        <v>0</v>
      </c>
      <c r="AO21" s="383">
        <v>23000</v>
      </c>
      <c r="AP21" s="383">
        <v>25725</v>
      </c>
      <c r="AQ21" s="383">
        <v>2688</v>
      </c>
      <c r="AR21" s="383">
        <v>15800</v>
      </c>
      <c r="AS21" s="383">
        <v>43268.95</v>
      </c>
      <c r="AT21" s="383">
        <v>0</v>
      </c>
      <c r="AU21" s="383">
        <v>6720</v>
      </c>
      <c r="AV21" s="383">
        <v>5770</v>
      </c>
      <c r="AW21" s="383">
        <v>2750</v>
      </c>
      <c r="AX21" s="383">
        <v>80900</v>
      </c>
      <c r="AY21" s="383">
        <v>9700</v>
      </c>
      <c r="AZ21" s="383">
        <v>23754</v>
      </c>
      <c r="BA21" s="383">
        <v>24136</v>
      </c>
      <c r="BB21" s="383">
        <v>0</v>
      </c>
      <c r="BC21" s="383">
        <v>0</v>
      </c>
      <c r="BD21" s="383">
        <v>0</v>
      </c>
      <c r="BE21" s="383">
        <f t="shared" si="1"/>
        <v>1340894.0352815206</v>
      </c>
      <c r="BF21" s="383">
        <f t="shared" si="2"/>
        <v>25002.444807279389</v>
      </c>
      <c r="BG21" s="383">
        <v>55215.77999999949</v>
      </c>
      <c r="BH21" s="383">
        <f t="shared" si="3"/>
        <v>80218.224807278879</v>
      </c>
      <c r="BI21" s="383">
        <v>0</v>
      </c>
      <c r="BJ21" s="383">
        <v>0</v>
      </c>
      <c r="BK21" s="383">
        <f t="shared" si="4"/>
        <v>0</v>
      </c>
      <c r="BL21" s="383">
        <v>0</v>
      </c>
      <c r="BM21" s="383">
        <v>0</v>
      </c>
      <c r="BN21" s="383">
        <f t="shared" si="5"/>
        <v>0</v>
      </c>
      <c r="BO21" s="383">
        <f t="shared" si="6"/>
        <v>0</v>
      </c>
      <c r="BP21" s="383">
        <v>0</v>
      </c>
      <c r="BQ21" s="383">
        <f t="shared" si="7"/>
        <v>0</v>
      </c>
      <c r="BR21" s="383">
        <v>0</v>
      </c>
      <c r="BS21" s="383">
        <v>80218.224807278879</v>
      </c>
      <c r="BT21" s="383">
        <v>0</v>
      </c>
      <c r="BU21" s="383">
        <f t="shared" si="8"/>
        <v>80218.224807278879</v>
      </c>
      <c r="BV21" s="383">
        <v>6194</v>
      </c>
      <c r="BW21" s="383">
        <v>0</v>
      </c>
      <c r="BX21" s="383">
        <v>0</v>
      </c>
      <c r="BY21" s="383">
        <f t="shared" si="9"/>
        <v>6194</v>
      </c>
      <c r="BZ21" s="383">
        <v>0</v>
      </c>
      <c r="CA21" s="383">
        <v>0</v>
      </c>
      <c r="CB21" s="383">
        <v>0</v>
      </c>
      <c r="CC21" s="383">
        <v>14467.6</v>
      </c>
      <c r="CD21" s="383">
        <f t="shared" si="10"/>
        <v>14467.6</v>
      </c>
      <c r="CE21" s="383">
        <f t="shared" si="11"/>
        <v>-8273.6</v>
      </c>
      <c r="CF21" s="383">
        <v>8273.6</v>
      </c>
      <c r="CG21" s="383">
        <f t="shared" si="12"/>
        <v>0</v>
      </c>
      <c r="CH21" s="383">
        <f>VLOOKUP($B21,'Data - CFR 202526'!$B$4:$CJ$127,85,0)</f>
        <v>8273.6</v>
      </c>
      <c r="CI21" s="383">
        <f>VLOOKUP($B21,'Data - CFR 202526'!$B$4:$CJ$127,86,0)</f>
        <v>0</v>
      </c>
      <c r="CJ21" s="383">
        <f>VLOOKUP($B21,'Data - CFR 202526'!$B$4:$CJ$127,87,0)</f>
        <v>8273.6</v>
      </c>
    </row>
    <row r="22" spans="1:88" s="220" customFormat="1" ht="13.8">
      <c r="A22" s="252" t="s">
        <v>1525</v>
      </c>
      <c r="B22" s="288">
        <v>3008</v>
      </c>
      <c r="C22" s="288" t="s">
        <v>724</v>
      </c>
      <c r="D22" s="248" t="s">
        <v>704</v>
      </c>
      <c r="E22" s="380"/>
      <c r="F22" s="383">
        <v>803040.24591240787</v>
      </c>
      <c r="G22" s="383">
        <v>0</v>
      </c>
      <c r="H22" s="383">
        <v>12361</v>
      </c>
      <c r="I22" s="383">
        <v>0</v>
      </c>
      <c r="J22" s="383">
        <v>37200</v>
      </c>
      <c r="K22" s="383">
        <v>26806</v>
      </c>
      <c r="L22" s="383">
        <v>0</v>
      </c>
      <c r="M22" s="383">
        <v>0</v>
      </c>
      <c r="N22" s="383">
        <v>7000</v>
      </c>
      <c r="O22" s="383">
        <v>10200</v>
      </c>
      <c r="P22" s="383">
        <v>0</v>
      </c>
      <c r="Q22" s="383">
        <v>1500</v>
      </c>
      <c r="R22" s="383">
        <v>11670</v>
      </c>
      <c r="S22" s="383">
        <v>480</v>
      </c>
      <c r="T22" s="383">
        <v>0</v>
      </c>
      <c r="U22" s="383">
        <v>0</v>
      </c>
      <c r="V22" s="383">
        <v>0</v>
      </c>
      <c r="W22" s="383">
        <v>0</v>
      </c>
      <c r="X22" s="383">
        <v>0</v>
      </c>
      <c r="Y22" s="383">
        <f t="shared" si="0"/>
        <v>910257.24591240787</v>
      </c>
      <c r="Z22" s="383">
        <v>513429.72351653338</v>
      </c>
      <c r="AA22" s="383">
        <v>2000</v>
      </c>
      <c r="AB22" s="383">
        <v>133835.21333760303</v>
      </c>
      <c r="AC22" s="383">
        <v>32020.545809719333</v>
      </c>
      <c r="AD22" s="383">
        <v>42735.250299588864</v>
      </c>
      <c r="AE22" s="383">
        <v>0</v>
      </c>
      <c r="AF22" s="383">
        <v>21837.692057961784</v>
      </c>
      <c r="AG22" s="383">
        <v>3197</v>
      </c>
      <c r="AH22" s="383">
        <v>1000</v>
      </c>
      <c r="AI22" s="383">
        <v>2391</v>
      </c>
      <c r="AJ22" s="383">
        <v>0</v>
      </c>
      <c r="AK22" s="383">
        <v>6500</v>
      </c>
      <c r="AL22" s="383">
        <v>2000</v>
      </c>
      <c r="AM22" s="383">
        <v>2200</v>
      </c>
      <c r="AN22" s="383">
        <v>3600</v>
      </c>
      <c r="AO22" s="383">
        <v>17700</v>
      </c>
      <c r="AP22" s="383">
        <v>18564</v>
      </c>
      <c r="AQ22" s="383">
        <v>5019</v>
      </c>
      <c r="AR22" s="383">
        <v>38410</v>
      </c>
      <c r="AS22" s="383">
        <v>22737.41</v>
      </c>
      <c r="AT22" s="383">
        <v>0</v>
      </c>
      <c r="AU22" s="383">
        <v>7655</v>
      </c>
      <c r="AV22" s="383">
        <v>3910</v>
      </c>
      <c r="AW22" s="383">
        <v>0</v>
      </c>
      <c r="AX22" s="383">
        <v>36531</v>
      </c>
      <c r="AY22" s="383">
        <v>7000</v>
      </c>
      <c r="AZ22" s="383">
        <v>0</v>
      </c>
      <c r="BA22" s="383">
        <v>13342.8</v>
      </c>
      <c r="BB22" s="383">
        <v>0</v>
      </c>
      <c r="BC22" s="383">
        <v>0</v>
      </c>
      <c r="BD22" s="383">
        <v>0</v>
      </c>
      <c r="BE22" s="383">
        <f t="shared" si="1"/>
        <v>937615.63502140658</v>
      </c>
      <c r="BF22" s="383">
        <f t="shared" si="2"/>
        <v>-27358.389108998701</v>
      </c>
      <c r="BG22" s="383">
        <v>-21134.840000000284</v>
      </c>
      <c r="BH22" s="383">
        <f t="shared" si="3"/>
        <v>-48493.229108998989</v>
      </c>
      <c r="BI22" s="383">
        <v>0</v>
      </c>
      <c r="BJ22" s="383">
        <v>0</v>
      </c>
      <c r="BK22" s="383">
        <f t="shared" si="4"/>
        <v>0</v>
      </c>
      <c r="BL22" s="383">
        <v>0</v>
      </c>
      <c r="BM22" s="383">
        <v>0</v>
      </c>
      <c r="BN22" s="383">
        <f t="shared" si="5"/>
        <v>0</v>
      </c>
      <c r="BO22" s="383">
        <f t="shared" si="6"/>
        <v>0</v>
      </c>
      <c r="BP22" s="383">
        <v>0</v>
      </c>
      <c r="BQ22" s="383">
        <f t="shared" si="7"/>
        <v>0</v>
      </c>
      <c r="BR22" s="383">
        <v>0</v>
      </c>
      <c r="BS22" s="383">
        <v>-48493.229108998989</v>
      </c>
      <c r="BT22" s="383">
        <v>0</v>
      </c>
      <c r="BU22" s="383">
        <f t="shared" si="8"/>
        <v>-48493.229108998989</v>
      </c>
      <c r="BV22" s="383">
        <v>5388</v>
      </c>
      <c r="BW22" s="383">
        <v>0</v>
      </c>
      <c r="BX22" s="383">
        <v>0</v>
      </c>
      <c r="BY22" s="383">
        <f t="shared" si="9"/>
        <v>5388</v>
      </c>
      <c r="BZ22" s="383">
        <v>0</v>
      </c>
      <c r="CA22" s="383">
        <v>11839.04</v>
      </c>
      <c r="CB22" s="383">
        <v>0</v>
      </c>
      <c r="CC22" s="383">
        <v>0</v>
      </c>
      <c r="CD22" s="383">
        <f t="shared" si="10"/>
        <v>11839.04</v>
      </c>
      <c r="CE22" s="383">
        <f t="shared" si="11"/>
        <v>-6451.0400000000009</v>
      </c>
      <c r="CF22" s="383">
        <v>6451.0399999999991</v>
      </c>
      <c r="CG22" s="383">
        <f t="shared" si="12"/>
        <v>0</v>
      </c>
      <c r="CH22" s="383">
        <f>VLOOKUP($B22,'Data - CFR 202526'!$B$4:$CJ$127,85,0)</f>
        <v>6451.0399999999991</v>
      </c>
      <c r="CI22" s="383">
        <f>VLOOKUP($B22,'Data - CFR 202526'!$B$4:$CJ$127,86,0)</f>
        <v>0</v>
      </c>
      <c r="CJ22" s="383">
        <f>VLOOKUP($B22,'Data - CFR 202526'!$B$4:$CJ$127,87,0)</f>
        <v>6451.0399999999991</v>
      </c>
    </row>
    <row r="23" spans="1:88" s="220" customFormat="1" ht="13.8">
      <c r="A23" s="252" t="s">
        <v>1525</v>
      </c>
      <c r="B23" s="288">
        <v>7026</v>
      </c>
      <c r="C23" s="288" t="s">
        <v>725</v>
      </c>
      <c r="D23" s="248" t="s">
        <v>726</v>
      </c>
      <c r="E23" s="380"/>
      <c r="F23" s="383">
        <v>0</v>
      </c>
      <c r="G23" s="383">
        <v>0</v>
      </c>
      <c r="H23" s="383">
        <v>0</v>
      </c>
      <c r="I23" s="383">
        <v>0</v>
      </c>
      <c r="J23" s="383">
        <v>0</v>
      </c>
      <c r="K23" s="383">
        <v>0</v>
      </c>
      <c r="L23" s="383">
        <v>0</v>
      </c>
      <c r="M23" s="383">
        <v>0</v>
      </c>
      <c r="N23" s="383">
        <v>0</v>
      </c>
      <c r="O23" s="383">
        <v>0</v>
      </c>
      <c r="P23" s="383">
        <v>0</v>
      </c>
      <c r="Q23" s="383">
        <v>0</v>
      </c>
      <c r="R23" s="383">
        <v>0</v>
      </c>
      <c r="S23" s="383">
        <v>0</v>
      </c>
      <c r="T23" s="383">
        <v>0</v>
      </c>
      <c r="U23" s="383">
        <v>0</v>
      </c>
      <c r="V23" s="383">
        <v>0</v>
      </c>
      <c r="W23" s="383">
        <v>0</v>
      </c>
      <c r="X23" s="383">
        <v>0</v>
      </c>
      <c r="Y23" s="383">
        <f t="shared" si="0"/>
        <v>0</v>
      </c>
      <c r="Z23" s="383">
        <v>0</v>
      </c>
      <c r="AA23" s="383">
        <v>0</v>
      </c>
      <c r="AB23" s="383">
        <v>0</v>
      </c>
      <c r="AC23" s="383">
        <v>0</v>
      </c>
      <c r="AD23" s="383">
        <v>0</v>
      </c>
      <c r="AE23" s="383">
        <v>0</v>
      </c>
      <c r="AF23" s="383">
        <v>0</v>
      </c>
      <c r="AG23" s="383">
        <v>0</v>
      </c>
      <c r="AH23" s="383">
        <v>0</v>
      </c>
      <c r="AI23" s="383">
        <v>0</v>
      </c>
      <c r="AJ23" s="383">
        <v>0</v>
      </c>
      <c r="AK23" s="383">
        <v>0</v>
      </c>
      <c r="AL23" s="383">
        <v>0</v>
      </c>
      <c r="AM23" s="383">
        <v>0</v>
      </c>
      <c r="AN23" s="383">
        <v>0</v>
      </c>
      <c r="AO23" s="383">
        <v>0</v>
      </c>
      <c r="AP23" s="383">
        <v>0</v>
      </c>
      <c r="AQ23" s="383">
        <v>0</v>
      </c>
      <c r="AR23" s="383">
        <v>0</v>
      </c>
      <c r="AS23" s="383">
        <v>0</v>
      </c>
      <c r="AT23" s="383">
        <v>0</v>
      </c>
      <c r="AU23" s="383">
        <v>0</v>
      </c>
      <c r="AV23" s="383">
        <v>0</v>
      </c>
      <c r="AW23" s="383">
        <v>0</v>
      </c>
      <c r="AX23" s="383">
        <v>0</v>
      </c>
      <c r="AY23" s="383">
        <v>0</v>
      </c>
      <c r="AZ23" s="383">
        <v>0</v>
      </c>
      <c r="BA23" s="383">
        <v>0</v>
      </c>
      <c r="BB23" s="383">
        <v>0</v>
      </c>
      <c r="BC23" s="383">
        <v>0</v>
      </c>
      <c r="BD23" s="383">
        <v>0</v>
      </c>
      <c r="BE23" s="383">
        <f t="shared" si="1"/>
        <v>0</v>
      </c>
      <c r="BF23" s="383">
        <f t="shared" si="2"/>
        <v>0</v>
      </c>
      <c r="BG23" s="383">
        <v>0</v>
      </c>
      <c r="BH23" s="383">
        <f t="shared" si="3"/>
        <v>0</v>
      </c>
      <c r="BI23" s="383">
        <v>0</v>
      </c>
      <c r="BJ23" s="383">
        <v>0</v>
      </c>
      <c r="BK23" s="383">
        <f t="shared" si="4"/>
        <v>0</v>
      </c>
      <c r="BL23" s="383">
        <v>0</v>
      </c>
      <c r="BM23" s="383">
        <v>0</v>
      </c>
      <c r="BN23" s="383">
        <f t="shared" si="5"/>
        <v>0</v>
      </c>
      <c r="BO23" s="383">
        <f t="shared" si="6"/>
        <v>0</v>
      </c>
      <c r="BP23" s="383">
        <v>0</v>
      </c>
      <c r="BQ23" s="383">
        <f t="shared" si="7"/>
        <v>0</v>
      </c>
      <c r="BR23" s="383">
        <v>0</v>
      </c>
      <c r="BS23" s="383">
        <v>0</v>
      </c>
      <c r="BT23" s="383">
        <v>0</v>
      </c>
      <c r="BU23" s="383">
        <f t="shared" si="8"/>
        <v>0</v>
      </c>
      <c r="BV23" s="383">
        <v>0</v>
      </c>
      <c r="BW23" s="383">
        <v>0</v>
      </c>
      <c r="BX23" s="383">
        <v>0</v>
      </c>
      <c r="BY23" s="383">
        <f t="shared" si="9"/>
        <v>0</v>
      </c>
      <c r="BZ23" s="383">
        <v>0</v>
      </c>
      <c r="CA23" s="383">
        <v>0</v>
      </c>
      <c r="CB23" s="383">
        <v>0</v>
      </c>
      <c r="CC23" s="383">
        <v>0</v>
      </c>
      <c r="CD23" s="383">
        <f t="shared" si="10"/>
        <v>0</v>
      </c>
      <c r="CE23" s="383">
        <f t="shared" si="11"/>
        <v>0</v>
      </c>
      <c r="CF23" s="383">
        <v>0</v>
      </c>
      <c r="CG23" s="383">
        <f t="shared" si="12"/>
        <v>0</v>
      </c>
      <c r="CH23" s="383">
        <f>VLOOKUP($B23,'Data - CFR 202526'!$B$4:$CJ$127,85,0)</f>
        <v>0</v>
      </c>
      <c r="CI23" s="383">
        <f>VLOOKUP($B23,'Data - CFR 202526'!$B$4:$CJ$127,86,0)</f>
        <v>0</v>
      </c>
      <c r="CJ23" s="383">
        <f>VLOOKUP($B23,'Data - CFR 202526'!$B$4:$CJ$127,87,0)</f>
        <v>0</v>
      </c>
    </row>
    <row r="24" spans="1:88" s="220" customFormat="1" ht="13.8">
      <c r="A24" s="252" t="s">
        <v>1525</v>
      </c>
      <c r="B24" s="288">
        <v>3050</v>
      </c>
      <c r="C24" s="288" t="s">
        <v>727</v>
      </c>
      <c r="D24" s="248" t="s">
        <v>704</v>
      </c>
      <c r="E24" s="380"/>
      <c r="F24" s="383">
        <v>1179681.78128914</v>
      </c>
      <c r="G24" s="383">
        <v>0</v>
      </c>
      <c r="H24" s="383">
        <v>57669</v>
      </c>
      <c r="I24" s="383">
        <v>0</v>
      </c>
      <c r="J24" s="383">
        <v>67790</v>
      </c>
      <c r="K24" s="383">
        <v>52796</v>
      </c>
      <c r="L24" s="383">
        <v>0</v>
      </c>
      <c r="M24" s="383">
        <v>5000</v>
      </c>
      <c r="N24" s="383">
        <v>2400</v>
      </c>
      <c r="O24" s="383">
        <v>17000</v>
      </c>
      <c r="P24" s="383">
        <v>0</v>
      </c>
      <c r="Q24" s="383">
        <v>0</v>
      </c>
      <c r="R24" s="383">
        <v>11000</v>
      </c>
      <c r="S24" s="383">
        <v>2500</v>
      </c>
      <c r="T24" s="383">
        <v>0</v>
      </c>
      <c r="U24" s="383">
        <v>0</v>
      </c>
      <c r="V24" s="383">
        <v>0</v>
      </c>
      <c r="W24" s="383">
        <v>0</v>
      </c>
      <c r="X24" s="383">
        <v>0</v>
      </c>
      <c r="Y24" s="383">
        <f t="shared" si="0"/>
        <v>1395836.78128914</v>
      </c>
      <c r="Z24" s="383">
        <v>637765.99968199991</v>
      </c>
      <c r="AA24" s="383">
        <v>1000</v>
      </c>
      <c r="AB24" s="383">
        <v>320900.04951009108</v>
      </c>
      <c r="AC24" s="383">
        <v>45789.279752349001</v>
      </c>
      <c r="AD24" s="383">
        <v>99345.719538773905</v>
      </c>
      <c r="AE24" s="383">
        <v>0</v>
      </c>
      <c r="AF24" s="383">
        <v>6542.7517323574739</v>
      </c>
      <c r="AG24" s="383">
        <v>4700</v>
      </c>
      <c r="AH24" s="383">
        <v>2500</v>
      </c>
      <c r="AI24" s="383">
        <v>0</v>
      </c>
      <c r="AJ24" s="383">
        <v>0</v>
      </c>
      <c r="AK24" s="383">
        <v>6500</v>
      </c>
      <c r="AL24" s="383">
        <v>2640</v>
      </c>
      <c r="AM24" s="383">
        <v>3000</v>
      </c>
      <c r="AN24" s="383">
        <v>1500</v>
      </c>
      <c r="AO24" s="383">
        <v>24000</v>
      </c>
      <c r="AP24" s="383">
        <v>22954</v>
      </c>
      <c r="AQ24" s="383">
        <v>27895</v>
      </c>
      <c r="AR24" s="383">
        <v>38850</v>
      </c>
      <c r="AS24" s="383">
        <v>26240</v>
      </c>
      <c r="AT24" s="383">
        <v>0</v>
      </c>
      <c r="AU24" s="383">
        <v>9515</v>
      </c>
      <c r="AV24" s="383">
        <v>4458</v>
      </c>
      <c r="AW24" s="383">
        <v>1500</v>
      </c>
      <c r="AX24" s="383">
        <v>58900</v>
      </c>
      <c r="AY24" s="383">
        <v>7000</v>
      </c>
      <c r="AZ24" s="383">
        <v>1510</v>
      </c>
      <c r="BA24" s="383">
        <v>15778</v>
      </c>
      <c r="BB24" s="383">
        <v>0</v>
      </c>
      <c r="BC24" s="383">
        <v>0</v>
      </c>
      <c r="BD24" s="383">
        <v>1789</v>
      </c>
      <c r="BE24" s="383">
        <f t="shared" si="1"/>
        <v>1372572.8002155714</v>
      </c>
      <c r="BF24" s="383">
        <f t="shared" si="2"/>
        <v>23263.981073568575</v>
      </c>
      <c r="BG24" s="383">
        <v>-108772.0599999995</v>
      </c>
      <c r="BH24" s="383">
        <f t="shared" si="3"/>
        <v>-85508.078926430928</v>
      </c>
      <c r="BI24" s="383">
        <v>0</v>
      </c>
      <c r="BJ24" s="383">
        <v>0</v>
      </c>
      <c r="BK24" s="383">
        <f t="shared" si="4"/>
        <v>0</v>
      </c>
      <c r="BL24" s="383">
        <v>0</v>
      </c>
      <c r="BM24" s="383">
        <v>0</v>
      </c>
      <c r="BN24" s="383">
        <f t="shared" si="5"/>
        <v>0</v>
      </c>
      <c r="BO24" s="383">
        <f t="shared" si="6"/>
        <v>0</v>
      </c>
      <c r="BP24" s="383">
        <v>0</v>
      </c>
      <c r="BQ24" s="383">
        <f t="shared" si="7"/>
        <v>0</v>
      </c>
      <c r="BR24" s="383">
        <v>0</v>
      </c>
      <c r="BS24" s="383">
        <v>-85508.078926430928</v>
      </c>
      <c r="BT24" s="383">
        <v>0</v>
      </c>
      <c r="BU24" s="383">
        <f t="shared" si="8"/>
        <v>-85508.078926430928</v>
      </c>
      <c r="BV24" s="383">
        <v>5987</v>
      </c>
      <c r="BW24" s="383">
        <v>0</v>
      </c>
      <c r="BX24" s="383">
        <v>0</v>
      </c>
      <c r="BY24" s="383">
        <f t="shared" si="9"/>
        <v>5987</v>
      </c>
      <c r="BZ24" s="383">
        <v>0</v>
      </c>
      <c r="CA24" s="383">
        <v>15039.19</v>
      </c>
      <c r="CB24" s="383">
        <v>0</v>
      </c>
      <c r="CC24" s="383">
        <v>0</v>
      </c>
      <c r="CD24" s="383">
        <f t="shared" si="10"/>
        <v>15039.19</v>
      </c>
      <c r="CE24" s="383">
        <f t="shared" si="11"/>
        <v>-9052.19</v>
      </c>
      <c r="CF24" s="383">
        <v>9052.19</v>
      </c>
      <c r="CG24" s="383">
        <f t="shared" si="12"/>
        <v>0</v>
      </c>
      <c r="CH24" s="383">
        <f>VLOOKUP($B24,'Data - CFR 202526'!$B$4:$CJ$127,85,0)</f>
        <v>7519.85</v>
      </c>
      <c r="CI24" s="383">
        <f>VLOOKUP($B24,'Data - CFR 202526'!$B$4:$CJ$127,86,0)</f>
        <v>1532.34</v>
      </c>
      <c r="CJ24" s="383">
        <f>VLOOKUP($B24,'Data - CFR 202526'!$B$4:$CJ$127,87,0)</f>
        <v>9052.19</v>
      </c>
    </row>
    <row r="25" spans="1:88" s="220" customFormat="1" ht="13.8">
      <c r="A25" s="252" t="s">
        <v>1525</v>
      </c>
      <c r="B25" s="288">
        <v>3009</v>
      </c>
      <c r="C25" s="288" t="s">
        <v>728</v>
      </c>
      <c r="D25" s="248" t="s">
        <v>704</v>
      </c>
      <c r="E25" s="380"/>
      <c r="F25" s="383">
        <v>846784.99512101989</v>
      </c>
      <c r="G25" s="383">
        <v>0</v>
      </c>
      <c r="H25" s="383">
        <v>17785</v>
      </c>
      <c r="I25" s="383">
        <v>0</v>
      </c>
      <c r="J25" s="383">
        <v>34100</v>
      </c>
      <c r="K25" s="383">
        <v>28170</v>
      </c>
      <c r="L25" s="383">
        <v>0</v>
      </c>
      <c r="M25" s="383">
        <v>0</v>
      </c>
      <c r="N25" s="383">
        <v>22750</v>
      </c>
      <c r="O25" s="383">
        <v>11500</v>
      </c>
      <c r="P25" s="383">
        <v>0</v>
      </c>
      <c r="Q25" s="383">
        <v>0</v>
      </c>
      <c r="R25" s="383">
        <v>0</v>
      </c>
      <c r="S25" s="383">
        <v>0</v>
      </c>
      <c r="T25" s="383">
        <v>0</v>
      </c>
      <c r="U25" s="383">
        <v>0</v>
      </c>
      <c r="V25" s="383">
        <v>0</v>
      </c>
      <c r="W25" s="383">
        <v>0</v>
      </c>
      <c r="X25" s="383">
        <v>0</v>
      </c>
      <c r="Y25" s="383">
        <f t="shared" si="0"/>
        <v>961089.99512101989</v>
      </c>
      <c r="Z25" s="383">
        <v>525452.92772050377</v>
      </c>
      <c r="AA25" s="383">
        <v>7900</v>
      </c>
      <c r="AB25" s="383">
        <v>167048.89953929547</v>
      </c>
      <c r="AC25" s="383">
        <v>0</v>
      </c>
      <c r="AD25" s="383">
        <v>42137.374280359669</v>
      </c>
      <c r="AE25" s="383">
        <v>0</v>
      </c>
      <c r="AF25" s="383">
        <v>29533.636828772796</v>
      </c>
      <c r="AG25" s="383">
        <v>3359</v>
      </c>
      <c r="AH25" s="383">
        <v>3000</v>
      </c>
      <c r="AI25" s="383">
        <v>3796</v>
      </c>
      <c r="AJ25" s="383">
        <v>716</v>
      </c>
      <c r="AK25" s="383">
        <v>6999.99</v>
      </c>
      <c r="AL25" s="383">
        <v>3000</v>
      </c>
      <c r="AM25" s="383">
        <v>23053.03</v>
      </c>
      <c r="AN25" s="383">
        <v>5500</v>
      </c>
      <c r="AO25" s="383">
        <v>21300</v>
      </c>
      <c r="AP25" s="383">
        <v>0</v>
      </c>
      <c r="AQ25" s="383">
        <v>7659</v>
      </c>
      <c r="AR25" s="383">
        <v>40912</v>
      </c>
      <c r="AS25" s="383">
        <v>21160</v>
      </c>
      <c r="AT25" s="383">
        <v>0</v>
      </c>
      <c r="AU25" s="383">
        <v>8693</v>
      </c>
      <c r="AV25" s="383">
        <v>4468.49</v>
      </c>
      <c r="AW25" s="383">
        <v>1600</v>
      </c>
      <c r="AX25" s="383">
        <v>48952</v>
      </c>
      <c r="AY25" s="383">
        <v>0</v>
      </c>
      <c r="AZ25" s="383">
        <v>0</v>
      </c>
      <c r="BA25" s="383">
        <v>14746</v>
      </c>
      <c r="BB25" s="383">
        <v>0</v>
      </c>
      <c r="BC25" s="383">
        <v>0</v>
      </c>
      <c r="BD25" s="383">
        <v>0</v>
      </c>
      <c r="BE25" s="383">
        <f t="shared" si="1"/>
        <v>990987.34836893179</v>
      </c>
      <c r="BF25" s="383">
        <f t="shared" si="2"/>
        <v>-29897.353247911902</v>
      </c>
      <c r="BG25" s="383">
        <v>131354.24999999974</v>
      </c>
      <c r="BH25" s="383">
        <f t="shared" si="3"/>
        <v>101456.89675208784</v>
      </c>
      <c r="BI25" s="383">
        <v>0</v>
      </c>
      <c r="BJ25" s="383">
        <v>0</v>
      </c>
      <c r="BK25" s="383">
        <f t="shared" si="4"/>
        <v>0</v>
      </c>
      <c r="BL25" s="383">
        <v>0</v>
      </c>
      <c r="BM25" s="383">
        <v>0</v>
      </c>
      <c r="BN25" s="383">
        <f t="shared" si="5"/>
        <v>0</v>
      </c>
      <c r="BO25" s="383">
        <f t="shared" si="6"/>
        <v>0</v>
      </c>
      <c r="BP25" s="383">
        <v>0</v>
      </c>
      <c r="BQ25" s="383">
        <f t="shared" si="7"/>
        <v>0</v>
      </c>
      <c r="BR25" s="383">
        <v>0</v>
      </c>
      <c r="BS25" s="383">
        <v>101456.89675208784</v>
      </c>
      <c r="BT25" s="383">
        <v>0</v>
      </c>
      <c r="BU25" s="383">
        <f t="shared" si="8"/>
        <v>101456.89675208784</v>
      </c>
      <c r="BV25" s="383">
        <v>5643</v>
      </c>
      <c r="BW25" s="383">
        <v>0</v>
      </c>
      <c r="BX25" s="383">
        <v>0</v>
      </c>
      <c r="BY25" s="383">
        <f t="shared" si="9"/>
        <v>5643</v>
      </c>
      <c r="BZ25" s="383">
        <v>0</v>
      </c>
      <c r="CA25" s="383">
        <v>2643</v>
      </c>
      <c r="CB25" s="383">
        <v>1500</v>
      </c>
      <c r="CC25" s="383">
        <v>1500</v>
      </c>
      <c r="CD25" s="383">
        <f t="shared" si="10"/>
        <v>5643</v>
      </c>
      <c r="CE25" s="383">
        <f t="shared" si="11"/>
        <v>0</v>
      </c>
      <c r="CF25" s="383">
        <v>0</v>
      </c>
      <c r="CG25" s="383">
        <f t="shared" si="12"/>
        <v>0</v>
      </c>
      <c r="CH25" s="383">
        <f>VLOOKUP($B25,'Data - CFR 202526'!$B$4:$CJ$127,85,0)</f>
        <v>0</v>
      </c>
      <c r="CI25" s="383">
        <f>VLOOKUP($B25,'Data - CFR 202526'!$B$4:$CJ$127,86,0)</f>
        <v>0</v>
      </c>
      <c r="CJ25" s="383">
        <f>VLOOKUP($B25,'Data - CFR 202526'!$B$4:$CJ$127,87,0)</f>
        <v>0</v>
      </c>
    </row>
    <row r="26" spans="1:88" s="220" customFormat="1" ht="13.8">
      <c r="A26" s="252" t="s">
        <v>1525</v>
      </c>
      <c r="B26" s="288">
        <v>2091</v>
      </c>
      <c r="C26" s="288" t="s">
        <v>729</v>
      </c>
      <c r="D26" s="248" t="s">
        <v>704</v>
      </c>
      <c r="E26" s="380"/>
      <c r="F26" s="383">
        <v>1175177.0614897166</v>
      </c>
      <c r="G26" s="383">
        <v>0</v>
      </c>
      <c r="H26" s="383">
        <v>15487</v>
      </c>
      <c r="I26" s="383">
        <v>0</v>
      </c>
      <c r="J26" s="383">
        <v>67790</v>
      </c>
      <c r="K26" s="383">
        <v>74893</v>
      </c>
      <c r="L26" s="383">
        <v>0</v>
      </c>
      <c r="M26" s="383">
        <v>0</v>
      </c>
      <c r="N26" s="383">
        <v>3300</v>
      </c>
      <c r="O26" s="383">
        <v>0</v>
      </c>
      <c r="P26" s="383">
        <v>0</v>
      </c>
      <c r="Q26" s="383">
        <v>0</v>
      </c>
      <c r="R26" s="383">
        <v>2500</v>
      </c>
      <c r="S26" s="383">
        <v>0</v>
      </c>
      <c r="T26" s="383">
        <v>0</v>
      </c>
      <c r="U26" s="383">
        <v>0</v>
      </c>
      <c r="V26" s="383">
        <v>0</v>
      </c>
      <c r="W26" s="383">
        <v>0</v>
      </c>
      <c r="X26" s="383">
        <v>0</v>
      </c>
      <c r="Y26" s="383">
        <f t="shared" si="0"/>
        <v>1339147.0614897166</v>
      </c>
      <c r="Z26" s="383">
        <v>638873.83639866672</v>
      </c>
      <c r="AA26" s="383">
        <v>0</v>
      </c>
      <c r="AB26" s="383">
        <v>319720.37304553087</v>
      </c>
      <c r="AC26" s="383">
        <v>60792.631658472907</v>
      </c>
      <c r="AD26" s="383">
        <v>94678.648216904257</v>
      </c>
      <c r="AE26" s="383">
        <v>0</v>
      </c>
      <c r="AF26" s="383">
        <v>25177.890716604852</v>
      </c>
      <c r="AG26" s="383">
        <v>5500</v>
      </c>
      <c r="AH26" s="383">
        <v>11000</v>
      </c>
      <c r="AI26" s="383">
        <v>4420</v>
      </c>
      <c r="AJ26" s="383">
        <v>1895</v>
      </c>
      <c r="AK26" s="383">
        <v>5000</v>
      </c>
      <c r="AL26" s="383">
        <v>2500</v>
      </c>
      <c r="AM26" s="383">
        <v>4500</v>
      </c>
      <c r="AN26" s="383">
        <v>6000</v>
      </c>
      <c r="AO26" s="383">
        <v>40000</v>
      </c>
      <c r="AP26" s="383">
        <v>22321</v>
      </c>
      <c r="AQ26" s="383">
        <v>17250</v>
      </c>
      <c r="AR26" s="383">
        <v>30050</v>
      </c>
      <c r="AS26" s="383">
        <v>32972</v>
      </c>
      <c r="AT26" s="383">
        <v>0</v>
      </c>
      <c r="AU26" s="383">
        <v>8544</v>
      </c>
      <c r="AV26" s="383">
        <v>5340</v>
      </c>
      <c r="AW26" s="383">
        <v>5993.95</v>
      </c>
      <c r="AX26" s="383">
        <v>81793</v>
      </c>
      <c r="AY26" s="383">
        <v>10280</v>
      </c>
      <c r="AZ26" s="383">
        <v>3205</v>
      </c>
      <c r="BA26" s="383">
        <v>12788</v>
      </c>
      <c r="BB26" s="383">
        <v>0</v>
      </c>
      <c r="BC26" s="383">
        <v>0</v>
      </c>
      <c r="BD26" s="383">
        <v>10500</v>
      </c>
      <c r="BE26" s="383">
        <f t="shared" si="1"/>
        <v>1461095.3300361796</v>
      </c>
      <c r="BF26" s="383">
        <f t="shared" si="2"/>
        <v>-121948.26854646299</v>
      </c>
      <c r="BG26" s="383">
        <v>262063.94000000026</v>
      </c>
      <c r="BH26" s="383">
        <f t="shared" si="3"/>
        <v>140115.67145353727</v>
      </c>
      <c r="BI26" s="383">
        <v>0</v>
      </c>
      <c r="BJ26" s="383">
        <v>0</v>
      </c>
      <c r="BK26" s="383">
        <f t="shared" si="4"/>
        <v>0</v>
      </c>
      <c r="BL26" s="383">
        <v>0</v>
      </c>
      <c r="BM26" s="383">
        <v>0</v>
      </c>
      <c r="BN26" s="383">
        <f t="shared" si="5"/>
        <v>0</v>
      </c>
      <c r="BO26" s="383">
        <f t="shared" si="6"/>
        <v>0</v>
      </c>
      <c r="BP26" s="383">
        <v>0</v>
      </c>
      <c r="BQ26" s="383">
        <f t="shared" si="7"/>
        <v>0</v>
      </c>
      <c r="BR26" s="383">
        <v>0</v>
      </c>
      <c r="BS26" s="383">
        <v>140115.67145353727</v>
      </c>
      <c r="BT26" s="383">
        <v>0</v>
      </c>
      <c r="BU26" s="383">
        <f t="shared" si="8"/>
        <v>140115.67145353727</v>
      </c>
      <c r="BV26" s="383">
        <v>6070</v>
      </c>
      <c r="BW26" s="383">
        <v>0</v>
      </c>
      <c r="BX26" s="383">
        <v>0</v>
      </c>
      <c r="BY26" s="383">
        <f t="shared" si="9"/>
        <v>6070</v>
      </c>
      <c r="BZ26" s="383">
        <v>0</v>
      </c>
      <c r="CA26" s="383">
        <v>6070</v>
      </c>
      <c r="CB26" s="383">
        <v>0</v>
      </c>
      <c r="CC26" s="383">
        <v>0</v>
      </c>
      <c r="CD26" s="383">
        <f t="shared" si="10"/>
        <v>6070</v>
      </c>
      <c r="CE26" s="383">
        <f t="shared" si="11"/>
        <v>0</v>
      </c>
      <c r="CF26" s="383">
        <v>0</v>
      </c>
      <c r="CG26" s="383">
        <f t="shared" si="12"/>
        <v>0</v>
      </c>
      <c r="CH26" s="383">
        <f>VLOOKUP($B26,'Data - CFR 202526'!$B$4:$CJ$127,85,0)</f>
        <v>0</v>
      </c>
      <c r="CI26" s="383">
        <f>VLOOKUP($B26,'Data - CFR 202526'!$B$4:$CJ$127,86,0)</f>
        <v>0</v>
      </c>
      <c r="CJ26" s="383">
        <f>VLOOKUP($B26,'Data - CFR 202526'!$B$4:$CJ$127,87,0)</f>
        <v>0</v>
      </c>
    </row>
    <row r="27" spans="1:88" s="220" customFormat="1" ht="13.8">
      <c r="A27" s="252" t="s">
        <v>1525</v>
      </c>
      <c r="B27" s="288">
        <v>2065</v>
      </c>
      <c r="C27" s="288" t="s">
        <v>730</v>
      </c>
      <c r="D27" s="248" t="s">
        <v>704</v>
      </c>
      <c r="E27" s="380"/>
      <c r="F27" s="383">
        <v>1092537.6658601477</v>
      </c>
      <c r="G27" s="383">
        <v>0</v>
      </c>
      <c r="H27" s="383">
        <v>179914.2</v>
      </c>
      <c r="I27" s="383">
        <v>0</v>
      </c>
      <c r="J27" s="383">
        <v>62310</v>
      </c>
      <c r="K27" s="383">
        <v>37282</v>
      </c>
      <c r="L27" s="383">
        <v>0</v>
      </c>
      <c r="M27" s="383">
        <v>3500</v>
      </c>
      <c r="N27" s="383">
        <v>26500</v>
      </c>
      <c r="O27" s="383">
        <v>15000</v>
      </c>
      <c r="P27" s="383">
        <v>0</v>
      </c>
      <c r="Q27" s="383">
        <v>0</v>
      </c>
      <c r="R27" s="383">
        <v>500</v>
      </c>
      <c r="S27" s="383">
        <v>1000</v>
      </c>
      <c r="T27" s="383">
        <v>0</v>
      </c>
      <c r="U27" s="383">
        <v>0</v>
      </c>
      <c r="V27" s="383">
        <v>0</v>
      </c>
      <c r="W27" s="383">
        <v>0</v>
      </c>
      <c r="X27" s="383">
        <v>0</v>
      </c>
      <c r="Y27" s="383">
        <f t="shared" si="0"/>
        <v>1418543.8658601476</v>
      </c>
      <c r="Z27" s="383">
        <v>652296.84834825096</v>
      </c>
      <c r="AA27" s="383">
        <v>9780</v>
      </c>
      <c r="AB27" s="383">
        <v>418196.20430472959</v>
      </c>
      <c r="AC27" s="383">
        <v>13105.372512162161</v>
      </c>
      <c r="AD27" s="383">
        <v>77571.532241417881</v>
      </c>
      <c r="AE27" s="383">
        <v>0</v>
      </c>
      <c r="AF27" s="383">
        <v>52604.625915218596</v>
      </c>
      <c r="AG27" s="383">
        <v>7542.25</v>
      </c>
      <c r="AH27" s="383">
        <v>5375</v>
      </c>
      <c r="AI27" s="383">
        <v>0</v>
      </c>
      <c r="AJ27" s="383">
        <v>0</v>
      </c>
      <c r="AK27" s="383">
        <v>22750</v>
      </c>
      <c r="AL27" s="383">
        <v>3491.25</v>
      </c>
      <c r="AM27" s="383">
        <v>26308</v>
      </c>
      <c r="AN27" s="383">
        <v>3062.5</v>
      </c>
      <c r="AO27" s="383">
        <v>17937.5</v>
      </c>
      <c r="AP27" s="383">
        <v>22321</v>
      </c>
      <c r="AQ27" s="383">
        <v>3726.5</v>
      </c>
      <c r="AR27" s="383">
        <v>41486.06</v>
      </c>
      <c r="AS27" s="383">
        <v>33257.71</v>
      </c>
      <c r="AT27" s="383">
        <v>0</v>
      </c>
      <c r="AU27" s="383">
        <v>13784.5</v>
      </c>
      <c r="AV27" s="383">
        <v>5344.3</v>
      </c>
      <c r="AW27" s="383">
        <v>1500</v>
      </c>
      <c r="AX27" s="383">
        <v>53924.25</v>
      </c>
      <c r="AY27" s="383">
        <v>6000</v>
      </c>
      <c r="AZ27" s="383">
        <v>13700</v>
      </c>
      <c r="BA27" s="383">
        <v>9570.44</v>
      </c>
      <c r="BB27" s="383">
        <v>0</v>
      </c>
      <c r="BC27" s="383">
        <v>1683</v>
      </c>
      <c r="BD27" s="383">
        <v>3966</v>
      </c>
      <c r="BE27" s="383">
        <f t="shared" si="1"/>
        <v>1520284.8433217793</v>
      </c>
      <c r="BF27" s="383">
        <f t="shared" si="2"/>
        <v>-101740.97746163164</v>
      </c>
      <c r="BG27" s="383">
        <v>165674.87000000026</v>
      </c>
      <c r="BH27" s="383">
        <f t="shared" si="3"/>
        <v>63933.892538368615</v>
      </c>
      <c r="BI27" s="383">
        <v>106350.23</v>
      </c>
      <c r="BJ27" s="383">
        <v>11000</v>
      </c>
      <c r="BK27" s="383">
        <f t="shared" si="4"/>
        <v>117350.23</v>
      </c>
      <c r="BL27" s="383">
        <v>91220.62853718939</v>
      </c>
      <c r="BM27" s="383">
        <v>27684.5</v>
      </c>
      <c r="BN27" s="383">
        <f t="shared" si="5"/>
        <v>118905.12853718939</v>
      </c>
      <c r="BO27" s="383">
        <f t="shared" si="6"/>
        <v>-1554.8985371893941</v>
      </c>
      <c r="BP27" s="383">
        <v>23700.799999999992</v>
      </c>
      <c r="BQ27" s="383">
        <f t="shared" si="7"/>
        <v>22145.901462810598</v>
      </c>
      <c r="BR27" s="383">
        <v>0</v>
      </c>
      <c r="BS27" s="383">
        <v>63933.892538368615</v>
      </c>
      <c r="BT27" s="383">
        <v>22145.901462810598</v>
      </c>
      <c r="BU27" s="383">
        <f t="shared" si="8"/>
        <v>86079.794001179209</v>
      </c>
      <c r="BV27" s="383">
        <v>6284</v>
      </c>
      <c r="BW27" s="383">
        <v>0</v>
      </c>
      <c r="BX27" s="383">
        <v>0</v>
      </c>
      <c r="BY27" s="383">
        <f t="shared" si="9"/>
        <v>6284</v>
      </c>
      <c r="BZ27" s="383">
        <v>0</v>
      </c>
      <c r="CA27" s="383">
        <v>9515.85</v>
      </c>
      <c r="CB27" s="383">
        <v>0</v>
      </c>
      <c r="CC27" s="383">
        <v>0</v>
      </c>
      <c r="CD27" s="383">
        <f t="shared" si="10"/>
        <v>9515.85</v>
      </c>
      <c r="CE27" s="383">
        <f t="shared" si="11"/>
        <v>-3231.8500000000004</v>
      </c>
      <c r="CF27" s="383">
        <v>3231.8499999999985</v>
      </c>
      <c r="CG27" s="383">
        <f t="shared" si="12"/>
        <v>0</v>
      </c>
      <c r="CH27" s="383">
        <f>VLOOKUP($B27,'Data - CFR 202526'!$B$4:$CJ$127,85,0)</f>
        <v>2896.9799999999996</v>
      </c>
      <c r="CI27" s="383">
        <f>VLOOKUP($B27,'Data - CFR 202526'!$B$4:$CJ$127,86,0)</f>
        <v>334.87</v>
      </c>
      <c r="CJ27" s="383">
        <f>VLOOKUP($B27,'Data - CFR 202526'!$B$4:$CJ$127,87,0)</f>
        <v>3231.8499999999995</v>
      </c>
    </row>
    <row r="28" spans="1:88" s="220" customFormat="1" ht="13.8">
      <c r="A28" s="252" t="s">
        <v>1525</v>
      </c>
      <c r="B28" s="288">
        <v>1006</v>
      </c>
      <c r="C28" s="288" t="s">
        <v>731</v>
      </c>
      <c r="D28" s="248" t="s">
        <v>720</v>
      </c>
      <c r="E28" s="380"/>
      <c r="F28" s="383">
        <v>565525.36</v>
      </c>
      <c r="G28" s="383">
        <v>0</v>
      </c>
      <c r="H28" s="383">
        <v>3511</v>
      </c>
      <c r="I28" s="383">
        <v>0</v>
      </c>
      <c r="J28" s="383">
        <v>0</v>
      </c>
      <c r="K28" s="383">
        <v>0</v>
      </c>
      <c r="L28" s="383">
        <v>0</v>
      </c>
      <c r="M28" s="383">
        <v>0</v>
      </c>
      <c r="N28" s="383">
        <v>14960</v>
      </c>
      <c r="O28" s="383">
        <v>0</v>
      </c>
      <c r="P28" s="383">
        <v>0</v>
      </c>
      <c r="Q28" s="383">
        <v>0</v>
      </c>
      <c r="R28" s="383">
        <v>65000</v>
      </c>
      <c r="S28" s="383">
        <v>3000</v>
      </c>
      <c r="T28" s="383">
        <v>0</v>
      </c>
      <c r="U28" s="383">
        <v>0</v>
      </c>
      <c r="V28" s="383">
        <v>0</v>
      </c>
      <c r="W28" s="383">
        <v>0</v>
      </c>
      <c r="X28" s="383">
        <v>0</v>
      </c>
      <c r="Y28" s="383">
        <f t="shared" si="0"/>
        <v>651996.36</v>
      </c>
      <c r="Z28" s="383">
        <v>214172.27</v>
      </c>
      <c r="AA28" s="383">
        <v>0</v>
      </c>
      <c r="AB28" s="383">
        <v>290728.77</v>
      </c>
      <c r="AC28" s="383">
        <v>0</v>
      </c>
      <c r="AD28" s="383">
        <v>61821.66</v>
      </c>
      <c r="AE28" s="383">
        <v>10509.82</v>
      </c>
      <c r="AF28" s="383">
        <v>9503.4</v>
      </c>
      <c r="AG28" s="383">
        <v>2100</v>
      </c>
      <c r="AH28" s="383">
        <v>1025</v>
      </c>
      <c r="AI28" s="383">
        <v>1950</v>
      </c>
      <c r="AJ28" s="383">
        <v>1325</v>
      </c>
      <c r="AK28" s="383">
        <v>5565</v>
      </c>
      <c r="AL28" s="383">
        <v>1155</v>
      </c>
      <c r="AM28" s="383">
        <v>11205</v>
      </c>
      <c r="AN28" s="383">
        <v>940</v>
      </c>
      <c r="AO28" s="383">
        <v>13530</v>
      </c>
      <c r="AP28" s="383">
        <v>9453.2800000000007</v>
      </c>
      <c r="AQ28" s="383">
        <v>900</v>
      </c>
      <c r="AR28" s="383">
        <v>3000</v>
      </c>
      <c r="AS28" s="383">
        <v>9607.5300000000007</v>
      </c>
      <c r="AT28" s="383">
        <v>0</v>
      </c>
      <c r="AU28" s="383">
        <v>1400</v>
      </c>
      <c r="AV28" s="383">
        <v>2578.86</v>
      </c>
      <c r="AW28" s="383">
        <v>1500</v>
      </c>
      <c r="AX28" s="383">
        <v>18070</v>
      </c>
      <c r="AY28" s="383">
        <v>0</v>
      </c>
      <c r="AZ28" s="383">
        <v>0</v>
      </c>
      <c r="BA28" s="383">
        <v>8572.6299999999992</v>
      </c>
      <c r="BB28" s="383">
        <v>0</v>
      </c>
      <c r="BC28" s="383">
        <v>0</v>
      </c>
      <c r="BD28" s="383">
        <v>0</v>
      </c>
      <c r="BE28" s="383">
        <f t="shared" si="1"/>
        <v>680613.22000000009</v>
      </c>
      <c r="BF28" s="383">
        <f t="shared" si="2"/>
        <v>-28616.860000000102</v>
      </c>
      <c r="BG28" s="383">
        <v>-110331.1</v>
      </c>
      <c r="BH28" s="383">
        <f t="shared" si="3"/>
        <v>-138947.96000000011</v>
      </c>
      <c r="BI28" s="383">
        <v>0</v>
      </c>
      <c r="BJ28" s="383">
        <v>21229.22</v>
      </c>
      <c r="BK28" s="383">
        <f t="shared" si="4"/>
        <v>21229.22</v>
      </c>
      <c r="BL28" s="383">
        <v>0</v>
      </c>
      <c r="BM28" s="383">
        <v>21229.22</v>
      </c>
      <c r="BN28" s="383">
        <f t="shared" si="5"/>
        <v>21229.22</v>
      </c>
      <c r="BO28" s="383">
        <f t="shared" si="6"/>
        <v>0</v>
      </c>
      <c r="BP28" s="383">
        <v>4478</v>
      </c>
      <c r="BQ28" s="383">
        <f t="shared" si="7"/>
        <v>4478</v>
      </c>
      <c r="BR28" s="383">
        <v>0</v>
      </c>
      <c r="BS28" s="383">
        <v>-138947.96000000011</v>
      </c>
      <c r="BT28" s="383">
        <v>4478</v>
      </c>
      <c r="BU28" s="383">
        <f t="shared" si="8"/>
        <v>-134469.96000000011</v>
      </c>
      <c r="BV28" s="383">
        <v>4606</v>
      </c>
      <c r="BW28" s="383">
        <v>0</v>
      </c>
      <c r="BX28" s="383">
        <v>0</v>
      </c>
      <c r="BY28" s="383">
        <f t="shared" si="9"/>
        <v>4606</v>
      </c>
      <c r="BZ28" s="383">
        <v>0</v>
      </c>
      <c r="CA28" s="383">
        <v>4090</v>
      </c>
      <c r="CB28" s="383">
        <v>0</v>
      </c>
      <c r="CC28" s="383">
        <v>2226.42</v>
      </c>
      <c r="CD28" s="383">
        <f t="shared" si="10"/>
        <v>6316.42</v>
      </c>
      <c r="CE28" s="383">
        <f t="shared" si="11"/>
        <v>-1710.42</v>
      </c>
      <c r="CF28" s="383">
        <v>8929.18</v>
      </c>
      <c r="CG28" s="383">
        <f t="shared" si="12"/>
        <v>7218.76</v>
      </c>
      <c r="CH28" s="383">
        <f>VLOOKUP($B28,'Data - CFR 202526'!$B$4:$CJ$127,85,0)</f>
        <v>8929.18</v>
      </c>
      <c r="CI28" s="383">
        <f>VLOOKUP($B28,'Data - CFR 202526'!$B$4:$CJ$127,86,0)</f>
        <v>0</v>
      </c>
      <c r="CJ28" s="383">
        <f>VLOOKUP($B28,'Data - CFR 202526'!$B$4:$CJ$127,87,0)</f>
        <v>8929.18</v>
      </c>
    </row>
    <row r="29" spans="1:88" s="220" customFormat="1" ht="13.8">
      <c r="A29" s="252" t="s">
        <v>1525</v>
      </c>
      <c r="B29" s="288">
        <v>2119</v>
      </c>
      <c r="C29" s="288" t="s">
        <v>732</v>
      </c>
      <c r="D29" s="248" t="s">
        <v>704</v>
      </c>
      <c r="E29" s="380"/>
      <c r="F29" s="383">
        <v>1487936.2196758811</v>
      </c>
      <c r="G29" s="383">
        <v>0</v>
      </c>
      <c r="H29" s="383">
        <v>142933</v>
      </c>
      <c r="I29" s="383">
        <v>0</v>
      </c>
      <c r="J29" s="383">
        <v>90220</v>
      </c>
      <c r="K29" s="383">
        <v>16347</v>
      </c>
      <c r="L29" s="383">
        <v>0</v>
      </c>
      <c r="M29" s="383">
        <v>3500</v>
      </c>
      <c r="N29" s="383">
        <v>400</v>
      </c>
      <c r="O29" s="383">
        <v>0</v>
      </c>
      <c r="P29" s="383">
        <v>0</v>
      </c>
      <c r="Q29" s="383">
        <v>0</v>
      </c>
      <c r="R29" s="383">
        <v>500</v>
      </c>
      <c r="S29" s="383">
        <v>0</v>
      </c>
      <c r="T29" s="383">
        <v>0</v>
      </c>
      <c r="U29" s="383">
        <v>0</v>
      </c>
      <c r="V29" s="383">
        <v>0</v>
      </c>
      <c r="W29" s="383">
        <v>0</v>
      </c>
      <c r="X29" s="383">
        <v>0</v>
      </c>
      <c r="Y29" s="383">
        <f t="shared" si="0"/>
        <v>1741836.2196758811</v>
      </c>
      <c r="Z29" s="383">
        <v>918951.10440699034</v>
      </c>
      <c r="AA29" s="383">
        <v>6500</v>
      </c>
      <c r="AB29" s="383">
        <v>357825.20591878326</v>
      </c>
      <c r="AC29" s="383">
        <v>74461.215387809585</v>
      </c>
      <c r="AD29" s="383">
        <v>51174.559619842519</v>
      </c>
      <c r="AE29" s="383">
        <v>0</v>
      </c>
      <c r="AF29" s="383">
        <v>6950.8195609482163</v>
      </c>
      <c r="AG29" s="383">
        <v>6150</v>
      </c>
      <c r="AH29" s="383">
        <v>4250</v>
      </c>
      <c r="AI29" s="383">
        <v>5000</v>
      </c>
      <c r="AJ29" s="383">
        <v>510</v>
      </c>
      <c r="AK29" s="383">
        <v>18000</v>
      </c>
      <c r="AL29" s="383">
        <v>4650</v>
      </c>
      <c r="AM29" s="383">
        <v>4600</v>
      </c>
      <c r="AN29" s="383">
        <v>2000</v>
      </c>
      <c r="AO29" s="383">
        <v>42000</v>
      </c>
      <c r="AP29" s="383">
        <v>38295</v>
      </c>
      <c r="AQ29" s="383">
        <v>13200</v>
      </c>
      <c r="AR29" s="383">
        <v>42500</v>
      </c>
      <c r="AS29" s="383">
        <v>39500</v>
      </c>
      <c r="AT29" s="383">
        <v>0</v>
      </c>
      <c r="AU29" s="383">
        <v>11300</v>
      </c>
      <c r="AV29" s="383">
        <v>8000</v>
      </c>
      <c r="AW29" s="383">
        <v>0</v>
      </c>
      <c r="AX29" s="383">
        <v>25000</v>
      </c>
      <c r="AY29" s="383">
        <v>0</v>
      </c>
      <c r="AZ29" s="383">
        <v>9500</v>
      </c>
      <c r="BA29" s="383">
        <v>20939</v>
      </c>
      <c r="BB29" s="383">
        <v>0</v>
      </c>
      <c r="BC29" s="383">
        <v>0</v>
      </c>
      <c r="BD29" s="383">
        <v>0</v>
      </c>
      <c r="BE29" s="383">
        <f t="shared" si="1"/>
        <v>1711256.9048943741</v>
      </c>
      <c r="BF29" s="383">
        <f t="shared" si="2"/>
        <v>30579.314781507012</v>
      </c>
      <c r="BG29" s="383">
        <v>15360.180000000822</v>
      </c>
      <c r="BH29" s="383">
        <f t="shared" si="3"/>
        <v>45939.494781507834</v>
      </c>
      <c r="BI29" s="383">
        <v>0</v>
      </c>
      <c r="BJ29" s="383">
        <v>0</v>
      </c>
      <c r="BK29" s="383">
        <f t="shared" si="4"/>
        <v>0</v>
      </c>
      <c r="BL29" s="383">
        <v>0</v>
      </c>
      <c r="BM29" s="383">
        <v>0</v>
      </c>
      <c r="BN29" s="383">
        <f t="shared" si="5"/>
        <v>0</v>
      </c>
      <c r="BO29" s="383">
        <f t="shared" si="6"/>
        <v>0</v>
      </c>
      <c r="BP29" s="383">
        <v>0</v>
      </c>
      <c r="BQ29" s="383">
        <f t="shared" si="7"/>
        <v>0</v>
      </c>
      <c r="BR29" s="383">
        <v>0</v>
      </c>
      <c r="BS29" s="383">
        <v>45939.494781507834</v>
      </c>
      <c r="BT29" s="383">
        <v>0</v>
      </c>
      <c r="BU29" s="383">
        <f t="shared" si="8"/>
        <v>45939.494781507834</v>
      </c>
      <c r="BV29" s="383">
        <v>6453</v>
      </c>
      <c r="BW29" s="383">
        <v>0</v>
      </c>
      <c r="BX29" s="383">
        <v>0</v>
      </c>
      <c r="BY29" s="383">
        <f t="shared" si="9"/>
        <v>6453</v>
      </c>
      <c r="BZ29" s="383">
        <v>0</v>
      </c>
      <c r="CA29" s="383">
        <v>7323</v>
      </c>
      <c r="CB29" s="383">
        <v>0</v>
      </c>
      <c r="CC29" s="383">
        <v>2500</v>
      </c>
      <c r="CD29" s="383">
        <f t="shared" si="10"/>
        <v>9823</v>
      </c>
      <c r="CE29" s="383">
        <f t="shared" si="11"/>
        <v>-3370</v>
      </c>
      <c r="CF29" s="383">
        <v>3370.2699999999995</v>
      </c>
      <c r="CG29" s="383">
        <f t="shared" si="12"/>
        <v>0.26999999999952706</v>
      </c>
      <c r="CH29" s="383">
        <f>VLOOKUP($B29,'Data - CFR 202526'!$B$4:$CJ$127,85,0)</f>
        <v>3370.2699999999995</v>
      </c>
      <c r="CI29" s="383">
        <f>VLOOKUP($B29,'Data - CFR 202526'!$B$4:$CJ$127,86,0)</f>
        <v>0</v>
      </c>
      <c r="CJ29" s="383">
        <f>VLOOKUP($B29,'Data - CFR 202526'!$B$4:$CJ$127,87,0)</f>
        <v>3370.2699999999995</v>
      </c>
    </row>
    <row r="30" spans="1:88" s="220" customFormat="1" ht="13.8">
      <c r="A30" s="252" t="s">
        <v>1525</v>
      </c>
      <c r="B30" s="288">
        <v>3011</v>
      </c>
      <c r="C30" s="288" t="s">
        <v>733</v>
      </c>
      <c r="D30" s="248" t="s">
        <v>704</v>
      </c>
      <c r="E30" s="380"/>
      <c r="F30" s="383">
        <v>677325.49366317398</v>
      </c>
      <c r="G30" s="383">
        <v>0</v>
      </c>
      <c r="H30" s="383">
        <v>26306</v>
      </c>
      <c r="I30" s="383">
        <v>0</v>
      </c>
      <c r="J30" s="383">
        <v>24450</v>
      </c>
      <c r="K30" s="383">
        <v>32200</v>
      </c>
      <c r="L30" s="383">
        <v>0</v>
      </c>
      <c r="M30" s="383">
        <v>10000</v>
      </c>
      <c r="N30" s="383">
        <v>37950</v>
      </c>
      <c r="O30" s="383">
        <v>13000</v>
      </c>
      <c r="P30" s="383">
        <v>0</v>
      </c>
      <c r="Q30" s="383">
        <v>0</v>
      </c>
      <c r="R30" s="383">
        <v>2000</v>
      </c>
      <c r="S30" s="383">
        <v>9000</v>
      </c>
      <c r="T30" s="383">
        <v>0</v>
      </c>
      <c r="U30" s="383">
        <v>0</v>
      </c>
      <c r="V30" s="383">
        <v>0</v>
      </c>
      <c r="W30" s="383">
        <v>0</v>
      </c>
      <c r="X30" s="383">
        <v>0</v>
      </c>
      <c r="Y30" s="383">
        <f t="shared" si="0"/>
        <v>832231.49366317398</v>
      </c>
      <c r="Z30" s="383">
        <v>403447.0642585376</v>
      </c>
      <c r="AA30" s="383">
        <v>0</v>
      </c>
      <c r="AB30" s="383">
        <v>153227.52693483903</v>
      </c>
      <c r="AC30" s="383">
        <v>0</v>
      </c>
      <c r="AD30" s="383">
        <v>46420.378492394273</v>
      </c>
      <c r="AE30" s="383">
        <v>16666.960767858283</v>
      </c>
      <c r="AF30" s="383">
        <v>33166.306191573378</v>
      </c>
      <c r="AG30" s="383">
        <v>4300</v>
      </c>
      <c r="AH30" s="383">
        <v>2500</v>
      </c>
      <c r="AI30" s="383">
        <v>2700</v>
      </c>
      <c r="AJ30" s="383">
        <v>712</v>
      </c>
      <c r="AK30" s="383">
        <v>3500</v>
      </c>
      <c r="AL30" s="383">
        <v>3175</v>
      </c>
      <c r="AM30" s="383">
        <v>18500</v>
      </c>
      <c r="AN30" s="383">
        <v>4500</v>
      </c>
      <c r="AO30" s="383">
        <v>18000</v>
      </c>
      <c r="AP30" s="383">
        <v>19779.5</v>
      </c>
      <c r="AQ30" s="383">
        <v>4830</v>
      </c>
      <c r="AR30" s="383">
        <v>32374.720000000001</v>
      </c>
      <c r="AS30" s="383">
        <v>18390</v>
      </c>
      <c r="AT30" s="383">
        <v>0</v>
      </c>
      <c r="AU30" s="383">
        <v>4302</v>
      </c>
      <c r="AV30" s="383">
        <v>3200</v>
      </c>
      <c r="AW30" s="383">
        <v>3000</v>
      </c>
      <c r="AX30" s="383">
        <v>16200</v>
      </c>
      <c r="AY30" s="383">
        <v>4000</v>
      </c>
      <c r="AZ30" s="383">
        <v>450</v>
      </c>
      <c r="BA30" s="383">
        <v>14850</v>
      </c>
      <c r="BB30" s="383">
        <v>0</v>
      </c>
      <c r="BC30" s="383">
        <v>0</v>
      </c>
      <c r="BD30" s="383">
        <v>0</v>
      </c>
      <c r="BE30" s="383">
        <f t="shared" si="1"/>
        <v>832191.45664520247</v>
      </c>
      <c r="BF30" s="383">
        <f t="shared" si="2"/>
        <v>40.037017971510068</v>
      </c>
      <c r="BG30" s="383">
        <v>-33501.61999999969</v>
      </c>
      <c r="BH30" s="383">
        <f t="shared" si="3"/>
        <v>-33461.58298202818</v>
      </c>
      <c r="BI30" s="383">
        <v>0</v>
      </c>
      <c r="BJ30" s="383">
        <v>0</v>
      </c>
      <c r="BK30" s="383">
        <f t="shared" si="4"/>
        <v>0</v>
      </c>
      <c r="BL30" s="383">
        <v>0</v>
      </c>
      <c r="BM30" s="383">
        <v>0</v>
      </c>
      <c r="BN30" s="383">
        <f t="shared" si="5"/>
        <v>0</v>
      </c>
      <c r="BO30" s="383">
        <f t="shared" si="6"/>
        <v>0</v>
      </c>
      <c r="BP30" s="383">
        <v>0</v>
      </c>
      <c r="BQ30" s="383">
        <f t="shared" si="7"/>
        <v>0</v>
      </c>
      <c r="BR30" s="383">
        <v>0</v>
      </c>
      <c r="BS30" s="383">
        <v>-33461.58298202818</v>
      </c>
      <c r="BT30" s="383">
        <v>0</v>
      </c>
      <c r="BU30" s="383">
        <f t="shared" si="8"/>
        <v>-33461.58298202818</v>
      </c>
      <c r="BV30" s="383">
        <v>5204</v>
      </c>
      <c r="BW30" s="383">
        <v>0</v>
      </c>
      <c r="BX30" s="383">
        <v>0</v>
      </c>
      <c r="BY30" s="383">
        <f t="shared" si="9"/>
        <v>5204</v>
      </c>
      <c r="BZ30" s="383">
        <v>0</v>
      </c>
      <c r="CA30" s="383">
        <v>13106.96</v>
      </c>
      <c r="CB30" s="383">
        <v>0</v>
      </c>
      <c r="CC30" s="383">
        <v>5048.25</v>
      </c>
      <c r="CD30" s="383">
        <f t="shared" si="10"/>
        <v>18155.21</v>
      </c>
      <c r="CE30" s="383">
        <f t="shared" si="11"/>
        <v>-12951.21</v>
      </c>
      <c r="CF30" s="383">
        <v>12951.21</v>
      </c>
      <c r="CG30" s="383">
        <f t="shared" si="12"/>
        <v>0</v>
      </c>
      <c r="CH30" s="383">
        <f>VLOOKUP($B30,'Data - CFR 202526'!$B$4:$CJ$127,85,0)</f>
        <v>5048.25</v>
      </c>
      <c r="CI30" s="383">
        <f>VLOOKUP($B30,'Data - CFR 202526'!$B$4:$CJ$127,86,0)</f>
        <v>7902.9599999999973</v>
      </c>
      <c r="CJ30" s="383">
        <f>VLOOKUP($B30,'Data - CFR 202526'!$B$4:$CJ$127,87,0)</f>
        <v>12951.209999999997</v>
      </c>
    </row>
    <row r="31" spans="1:88" s="220" customFormat="1" ht="13.8">
      <c r="A31" s="252" t="s">
        <v>1525</v>
      </c>
      <c r="B31" s="288">
        <v>2006</v>
      </c>
      <c r="C31" s="288" t="s">
        <v>734</v>
      </c>
      <c r="D31" s="248" t="s">
        <v>704</v>
      </c>
      <c r="E31" s="380"/>
      <c r="F31" s="383">
        <v>2612803.3384059202</v>
      </c>
      <c r="G31" s="383">
        <v>0</v>
      </c>
      <c r="H31" s="383">
        <v>122628.6</v>
      </c>
      <c r="I31" s="383">
        <v>0</v>
      </c>
      <c r="J31" s="383">
        <v>146330</v>
      </c>
      <c r="K31" s="383">
        <v>108297</v>
      </c>
      <c r="L31" s="383">
        <v>6078</v>
      </c>
      <c r="M31" s="383">
        <v>5000</v>
      </c>
      <c r="N31" s="383">
        <v>3000</v>
      </c>
      <c r="O31" s="383">
        <v>0</v>
      </c>
      <c r="P31" s="383">
        <v>0</v>
      </c>
      <c r="Q31" s="383">
        <v>0</v>
      </c>
      <c r="R31" s="383">
        <v>0</v>
      </c>
      <c r="S31" s="383">
        <v>5459.25</v>
      </c>
      <c r="T31" s="383">
        <v>0</v>
      </c>
      <c r="U31" s="383">
        <v>0</v>
      </c>
      <c r="V31" s="383">
        <v>0</v>
      </c>
      <c r="W31" s="383">
        <v>0</v>
      </c>
      <c r="X31" s="383">
        <v>0</v>
      </c>
      <c r="Y31" s="383">
        <f t="shared" si="0"/>
        <v>3009596.1884059203</v>
      </c>
      <c r="Z31" s="383">
        <v>1674626.7230174749</v>
      </c>
      <c r="AA31" s="383">
        <v>30500</v>
      </c>
      <c r="AB31" s="383">
        <v>518963.77678767004</v>
      </c>
      <c r="AC31" s="383">
        <v>108225.49984407084</v>
      </c>
      <c r="AD31" s="383">
        <v>232948.31691577844</v>
      </c>
      <c r="AE31" s="383">
        <v>0</v>
      </c>
      <c r="AF31" s="383">
        <v>6651.1337373537835</v>
      </c>
      <c r="AG31" s="383">
        <v>10400</v>
      </c>
      <c r="AH31" s="383">
        <v>4350</v>
      </c>
      <c r="AI31" s="383">
        <v>12500</v>
      </c>
      <c r="AJ31" s="383">
        <v>1500</v>
      </c>
      <c r="AK31" s="383">
        <v>23000</v>
      </c>
      <c r="AL31" s="383">
        <v>7500</v>
      </c>
      <c r="AM31" s="383">
        <v>9500</v>
      </c>
      <c r="AN31" s="383">
        <v>9000</v>
      </c>
      <c r="AO31" s="383">
        <v>56500</v>
      </c>
      <c r="AP31" s="383">
        <v>73010</v>
      </c>
      <c r="AQ31" s="383">
        <v>5450</v>
      </c>
      <c r="AR31" s="383">
        <v>44440.950000000004</v>
      </c>
      <c r="AS31" s="383">
        <v>45009</v>
      </c>
      <c r="AT31" s="383">
        <v>0</v>
      </c>
      <c r="AU31" s="383">
        <v>9500</v>
      </c>
      <c r="AV31" s="383">
        <v>14250</v>
      </c>
      <c r="AW31" s="383">
        <v>250</v>
      </c>
      <c r="AX31" s="383">
        <v>123457</v>
      </c>
      <c r="AY31" s="383">
        <v>8000</v>
      </c>
      <c r="AZ31" s="383">
        <v>4750</v>
      </c>
      <c r="BA31" s="383">
        <v>16530</v>
      </c>
      <c r="BB31" s="383">
        <v>0</v>
      </c>
      <c r="BC31" s="383">
        <v>0</v>
      </c>
      <c r="BD31" s="383">
        <v>0</v>
      </c>
      <c r="BE31" s="383">
        <f t="shared" si="1"/>
        <v>3050812.4003023482</v>
      </c>
      <c r="BF31" s="383">
        <f t="shared" si="2"/>
        <v>-41216.211896427907</v>
      </c>
      <c r="BG31" s="383">
        <v>154088.9899999997</v>
      </c>
      <c r="BH31" s="383">
        <f t="shared" si="3"/>
        <v>112872.77810357179</v>
      </c>
      <c r="BI31" s="383">
        <v>0</v>
      </c>
      <c r="BJ31" s="383">
        <v>0</v>
      </c>
      <c r="BK31" s="383">
        <f t="shared" si="4"/>
        <v>0</v>
      </c>
      <c r="BL31" s="383">
        <v>0</v>
      </c>
      <c r="BM31" s="383">
        <v>0</v>
      </c>
      <c r="BN31" s="383">
        <f t="shared" si="5"/>
        <v>0</v>
      </c>
      <c r="BO31" s="383">
        <f t="shared" si="6"/>
        <v>0</v>
      </c>
      <c r="BP31" s="383">
        <v>0</v>
      </c>
      <c r="BQ31" s="383">
        <f t="shared" si="7"/>
        <v>0</v>
      </c>
      <c r="BR31" s="383">
        <v>0</v>
      </c>
      <c r="BS31" s="383">
        <v>112872.77810357179</v>
      </c>
      <c r="BT31" s="383">
        <v>0</v>
      </c>
      <c r="BU31" s="383">
        <f t="shared" si="8"/>
        <v>112872.77810357179</v>
      </c>
      <c r="BV31" s="383">
        <v>9411</v>
      </c>
      <c r="BW31" s="383">
        <v>0</v>
      </c>
      <c r="BX31" s="383">
        <v>0</v>
      </c>
      <c r="BY31" s="383">
        <f t="shared" si="9"/>
        <v>9411</v>
      </c>
      <c r="BZ31" s="383">
        <v>0</v>
      </c>
      <c r="CA31" s="383">
        <v>9000</v>
      </c>
      <c r="CB31" s="383">
        <v>0</v>
      </c>
      <c r="CC31" s="383">
        <v>17500</v>
      </c>
      <c r="CD31" s="383">
        <f t="shared" si="10"/>
        <v>26500</v>
      </c>
      <c r="CE31" s="383">
        <f t="shared" si="11"/>
        <v>-17089</v>
      </c>
      <c r="CF31" s="383">
        <v>30536.320000000003</v>
      </c>
      <c r="CG31" s="383">
        <f t="shared" si="12"/>
        <v>13447.320000000003</v>
      </c>
      <c r="CH31" s="383">
        <f>VLOOKUP($B31,'Data - CFR 202526'!$B$4:$CJ$127,85,0)</f>
        <v>30536.320000000003</v>
      </c>
      <c r="CI31" s="383">
        <f>VLOOKUP($B31,'Data - CFR 202526'!$B$4:$CJ$127,86,0)</f>
        <v>0</v>
      </c>
      <c r="CJ31" s="383">
        <f>VLOOKUP($B31,'Data - CFR 202526'!$B$4:$CJ$127,87,0)</f>
        <v>30536.320000000003</v>
      </c>
    </row>
    <row r="32" spans="1:88" s="220" customFormat="1" ht="13.8">
      <c r="A32" s="252" t="s">
        <v>1525</v>
      </c>
      <c r="B32" s="288">
        <v>3012</v>
      </c>
      <c r="C32" s="288" t="s">
        <v>735</v>
      </c>
      <c r="D32" s="248" t="s">
        <v>704</v>
      </c>
      <c r="E32" s="380"/>
      <c r="F32" s="383">
        <v>536221.42883631494</v>
      </c>
      <c r="G32" s="383">
        <v>0</v>
      </c>
      <c r="H32" s="383">
        <v>10528</v>
      </c>
      <c r="I32" s="383">
        <v>0</v>
      </c>
      <c r="J32" s="383">
        <v>12400</v>
      </c>
      <c r="K32" s="383">
        <v>27759</v>
      </c>
      <c r="L32" s="383">
        <v>0</v>
      </c>
      <c r="M32" s="383">
        <v>6000</v>
      </c>
      <c r="N32" s="383">
        <v>21100</v>
      </c>
      <c r="O32" s="383">
        <v>15400</v>
      </c>
      <c r="P32" s="383">
        <v>0</v>
      </c>
      <c r="Q32" s="383">
        <v>0</v>
      </c>
      <c r="R32" s="383">
        <v>0</v>
      </c>
      <c r="S32" s="383">
        <v>0</v>
      </c>
      <c r="T32" s="383">
        <v>0</v>
      </c>
      <c r="U32" s="383">
        <v>0</v>
      </c>
      <c r="V32" s="383">
        <v>0</v>
      </c>
      <c r="W32" s="383">
        <v>0</v>
      </c>
      <c r="X32" s="383">
        <v>0</v>
      </c>
      <c r="Y32" s="383">
        <f t="shared" si="0"/>
        <v>629408.42883631494</v>
      </c>
      <c r="Z32" s="383">
        <v>358555.53568861657</v>
      </c>
      <c r="AA32" s="383">
        <v>2000</v>
      </c>
      <c r="AB32" s="383">
        <v>74294.048479647856</v>
      </c>
      <c r="AC32" s="383">
        <v>0</v>
      </c>
      <c r="AD32" s="383">
        <v>52840.287681559596</v>
      </c>
      <c r="AE32" s="383">
        <v>21389.587859890151</v>
      </c>
      <c r="AF32" s="383">
        <v>17270.489410407456</v>
      </c>
      <c r="AG32" s="383">
        <v>1950</v>
      </c>
      <c r="AH32" s="383">
        <v>5000</v>
      </c>
      <c r="AI32" s="383">
        <v>1690</v>
      </c>
      <c r="AJ32" s="383">
        <v>897</v>
      </c>
      <c r="AK32" s="383">
        <v>7000</v>
      </c>
      <c r="AL32" s="383">
        <v>2000</v>
      </c>
      <c r="AM32" s="383">
        <v>11690.08</v>
      </c>
      <c r="AN32" s="383">
        <v>1300</v>
      </c>
      <c r="AO32" s="383">
        <v>11000</v>
      </c>
      <c r="AP32" s="383">
        <v>12911.63</v>
      </c>
      <c r="AQ32" s="383">
        <v>3700</v>
      </c>
      <c r="AR32" s="383">
        <v>14750</v>
      </c>
      <c r="AS32" s="383">
        <v>18024</v>
      </c>
      <c r="AT32" s="383">
        <v>0</v>
      </c>
      <c r="AU32" s="383">
        <v>4150</v>
      </c>
      <c r="AV32" s="383">
        <v>2462.42</v>
      </c>
      <c r="AW32" s="383">
        <v>0</v>
      </c>
      <c r="AX32" s="383">
        <v>15050</v>
      </c>
      <c r="AY32" s="383">
        <v>2000</v>
      </c>
      <c r="AZ32" s="383">
        <v>500</v>
      </c>
      <c r="BA32" s="383">
        <v>8324</v>
      </c>
      <c r="BB32" s="383">
        <v>0</v>
      </c>
      <c r="BC32" s="383">
        <v>0</v>
      </c>
      <c r="BD32" s="383">
        <v>0</v>
      </c>
      <c r="BE32" s="383">
        <f t="shared" si="1"/>
        <v>650749.07912012155</v>
      </c>
      <c r="BF32" s="383">
        <f t="shared" si="2"/>
        <v>-21340.650283806608</v>
      </c>
      <c r="BG32" s="383">
        <v>37921.030000000304</v>
      </c>
      <c r="BH32" s="383">
        <f t="shared" si="3"/>
        <v>16580.379716193696</v>
      </c>
      <c r="BI32" s="383">
        <v>0</v>
      </c>
      <c r="BJ32" s="383">
        <v>47000</v>
      </c>
      <c r="BK32" s="383">
        <f t="shared" si="4"/>
        <v>47000</v>
      </c>
      <c r="BL32" s="383">
        <v>58088.555064328095</v>
      </c>
      <c r="BM32" s="383">
        <v>4000</v>
      </c>
      <c r="BN32" s="383">
        <f t="shared" si="5"/>
        <v>62088.555064328095</v>
      </c>
      <c r="BO32" s="383">
        <f t="shared" si="6"/>
        <v>-15088.555064328095</v>
      </c>
      <c r="BP32" s="383">
        <v>11220.18</v>
      </c>
      <c r="BQ32" s="383">
        <f t="shared" si="7"/>
        <v>-3868.3750643280946</v>
      </c>
      <c r="BR32" s="383">
        <v>0</v>
      </c>
      <c r="BS32" s="383">
        <v>16580.379716193696</v>
      </c>
      <c r="BT32" s="383">
        <v>-3868.3750643280946</v>
      </c>
      <c r="BU32" s="383">
        <f t="shared" si="8"/>
        <v>12712.004651865602</v>
      </c>
      <c r="BV32" s="383">
        <v>4776</v>
      </c>
      <c r="BW32" s="383">
        <v>0</v>
      </c>
      <c r="BX32" s="383">
        <v>0</v>
      </c>
      <c r="BY32" s="383">
        <f t="shared" si="9"/>
        <v>4776</v>
      </c>
      <c r="BZ32" s="383">
        <v>0</v>
      </c>
      <c r="CA32" s="383">
        <v>47482.880000000005</v>
      </c>
      <c r="CB32" s="383">
        <v>0</v>
      </c>
      <c r="CC32" s="383">
        <v>0</v>
      </c>
      <c r="CD32" s="383">
        <f t="shared" si="10"/>
        <v>47482.880000000005</v>
      </c>
      <c r="CE32" s="383">
        <f t="shared" si="11"/>
        <v>-42706.880000000005</v>
      </c>
      <c r="CF32" s="383">
        <v>42686.880000000005</v>
      </c>
      <c r="CG32" s="383">
        <f t="shared" si="12"/>
        <v>-20</v>
      </c>
      <c r="CH32" s="383">
        <f>VLOOKUP($B32,'Data - CFR 202526'!$B$4:$CJ$127,85,0)</f>
        <v>20862.91</v>
      </c>
      <c r="CI32" s="383">
        <f>VLOOKUP($B32,'Data - CFR 202526'!$B$4:$CJ$127,86,0)</f>
        <v>21823.97</v>
      </c>
      <c r="CJ32" s="383">
        <f>VLOOKUP($B32,'Data - CFR 202526'!$B$4:$CJ$127,87,0)</f>
        <v>42686.880000000005</v>
      </c>
    </row>
    <row r="33" spans="1:88" s="220" customFormat="1" ht="13.8">
      <c r="A33" s="252" t="s">
        <v>1525</v>
      </c>
      <c r="B33" s="288">
        <v>3041</v>
      </c>
      <c r="C33" s="288" t="s">
        <v>736</v>
      </c>
      <c r="D33" s="248" t="s">
        <v>704</v>
      </c>
      <c r="E33" s="380"/>
      <c r="F33" s="383">
        <v>904479.120439508</v>
      </c>
      <c r="G33" s="383">
        <v>0</v>
      </c>
      <c r="H33" s="383">
        <v>25229</v>
      </c>
      <c r="I33" s="383">
        <v>0</v>
      </c>
      <c r="J33" s="383">
        <v>34100</v>
      </c>
      <c r="K33" s="383">
        <v>27051</v>
      </c>
      <c r="L33" s="383">
        <v>0</v>
      </c>
      <c r="M33" s="383">
        <v>28000</v>
      </c>
      <c r="N33" s="383">
        <v>150</v>
      </c>
      <c r="O33" s="383">
        <v>19000</v>
      </c>
      <c r="P33" s="383">
        <v>0</v>
      </c>
      <c r="Q33" s="383">
        <v>0</v>
      </c>
      <c r="R33" s="383">
        <v>0</v>
      </c>
      <c r="S33" s="383">
        <v>0</v>
      </c>
      <c r="T33" s="383">
        <v>0</v>
      </c>
      <c r="U33" s="383">
        <v>0</v>
      </c>
      <c r="V33" s="383">
        <v>0</v>
      </c>
      <c r="W33" s="383">
        <v>0</v>
      </c>
      <c r="X33" s="383">
        <v>0</v>
      </c>
      <c r="Y33" s="383">
        <f t="shared" si="0"/>
        <v>1038009.120439508</v>
      </c>
      <c r="Z33" s="383">
        <v>474700.46567291406</v>
      </c>
      <c r="AA33" s="383">
        <v>500</v>
      </c>
      <c r="AB33" s="383">
        <v>209720.91685577531</v>
      </c>
      <c r="AC33" s="383">
        <v>56560.206644935795</v>
      </c>
      <c r="AD33" s="383">
        <v>63355.783677510888</v>
      </c>
      <c r="AE33" s="383">
        <v>30909.813587439708</v>
      </c>
      <c r="AF33" s="383">
        <v>2200</v>
      </c>
      <c r="AG33" s="383">
        <v>4200</v>
      </c>
      <c r="AH33" s="383">
        <v>4000</v>
      </c>
      <c r="AI33" s="383">
        <v>3208</v>
      </c>
      <c r="AJ33" s="383">
        <v>93</v>
      </c>
      <c r="AK33" s="383">
        <v>6000</v>
      </c>
      <c r="AL33" s="383">
        <v>3336</v>
      </c>
      <c r="AM33" s="383">
        <v>2000</v>
      </c>
      <c r="AN33" s="383">
        <v>9000</v>
      </c>
      <c r="AO33" s="383">
        <v>27000</v>
      </c>
      <c r="AP33" s="383">
        <v>52170</v>
      </c>
      <c r="AQ33" s="383">
        <v>9300</v>
      </c>
      <c r="AR33" s="383">
        <v>40766</v>
      </c>
      <c r="AS33" s="383">
        <v>22268</v>
      </c>
      <c r="AT33" s="383">
        <v>0</v>
      </c>
      <c r="AU33" s="383">
        <v>6119</v>
      </c>
      <c r="AV33" s="383">
        <v>4607</v>
      </c>
      <c r="AW33" s="383">
        <v>0</v>
      </c>
      <c r="AX33" s="383">
        <v>22200</v>
      </c>
      <c r="AY33" s="383">
        <v>32170</v>
      </c>
      <c r="AZ33" s="383">
        <v>12220</v>
      </c>
      <c r="BA33" s="383">
        <v>13370</v>
      </c>
      <c r="BB33" s="383">
        <v>0</v>
      </c>
      <c r="BC33" s="383">
        <v>0</v>
      </c>
      <c r="BD33" s="383">
        <v>0</v>
      </c>
      <c r="BE33" s="383">
        <f t="shared" si="1"/>
        <v>1111974.1864385759</v>
      </c>
      <c r="BF33" s="383">
        <f t="shared" si="2"/>
        <v>-73965.065999067854</v>
      </c>
      <c r="BG33" s="383">
        <v>38478.120000000104</v>
      </c>
      <c r="BH33" s="383">
        <f t="shared" si="3"/>
        <v>-35486.94599906775</v>
      </c>
      <c r="BI33" s="383">
        <v>0</v>
      </c>
      <c r="BJ33" s="383">
        <v>0</v>
      </c>
      <c r="BK33" s="383">
        <f t="shared" si="4"/>
        <v>0</v>
      </c>
      <c r="BL33" s="383">
        <v>0</v>
      </c>
      <c r="BM33" s="383">
        <v>0</v>
      </c>
      <c r="BN33" s="383">
        <f t="shared" si="5"/>
        <v>0</v>
      </c>
      <c r="BO33" s="383">
        <f t="shared" si="6"/>
        <v>0</v>
      </c>
      <c r="BP33" s="383">
        <v>0</v>
      </c>
      <c r="BQ33" s="383">
        <f t="shared" si="7"/>
        <v>0</v>
      </c>
      <c r="BR33" s="383">
        <v>0</v>
      </c>
      <c r="BS33" s="383">
        <v>-35486.94599906775</v>
      </c>
      <c r="BT33" s="383">
        <v>0</v>
      </c>
      <c r="BU33" s="383">
        <f t="shared" si="8"/>
        <v>-35486.94599906775</v>
      </c>
      <c r="BV33" s="383">
        <v>5778</v>
      </c>
      <c r="BW33" s="383">
        <v>0</v>
      </c>
      <c r="BX33" s="383">
        <v>0</v>
      </c>
      <c r="BY33" s="383">
        <f t="shared" si="9"/>
        <v>5778</v>
      </c>
      <c r="BZ33" s="383">
        <v>0</v>
      </c>
      <c r="CA33" s="383">
        <v>23659.68</v>
      </c>
      <c r="CB33" s="383">
        <v>0</v>
      </c>
      <c r="CC33" s="383">
        <v>1000</v>
      </c>
      <c r="CD33" s="383">
        <f t="shared" si="10"/>
        <v>24659.68</v>
      </c>
      <c r="CE33" s="383">
        <f t="shared" si="11"/>
        <v>-18881.68</v>
      </c>
      <c r="CF33" s="383">
        <v>18881.68</v>
      </c>
      <c r="CG33" s="383">
        <f t="shared" si="12"/>
        <v>0</v>
      </c>
      <c r="CH33" s="383">
        <f>VLOOKUP($B33,'Data - CFR 202526'!$B$4:$CJ$127,85,0)</f>
        <v>18881.68</v>
      </c>
      <c r="CI33" s="383">
        <f>VLOOKUP($B33,'Data - CFR 202526'!$B$4:$CJ$127,86,0)</f>
        <v>0</v>
      </c>
      <c r="CJ33" s="383">
        <f>VLOOKUP($B33,'Data - CFR 202526'!$B$4:$CJ$127,87,0)</f>
        <v>18881.68</v>
      </c>
    </row>
    <row r="34" spans="1:88" s="220" customFormat="1" ht="13.8">
      <c r="A34" s="252" t="s">
        <v>1525</v>
      </c>
      <c r="B34" s="288">
        <v>2246</v>
      </c>
      <c r="C34" s="288" t="s">
        <v>737</v>
      </c>
      <c r="D34" s="248" t="s">
        <v>704</v>
      </c>
      <c r="E34" s="380"/>
      <c r="F34" s="383">
        <v>1125587.2596433829</v>
      </c>
      <c r="G34" s="383">
        <v>0</v>
      </c>
      <c r="H34" s="383">
        <v>34000</v>
      </c>
      <c r="I34" s="383">
        <v>0</v>
      </c>
      <c r="J34" s="383">
        <v>38700</v>
      </c>
      <c r="K34" s="383">
        <v>82787</v>
      </c>
      <c r="L34" s="383">
        <v>0</v>
      </c>
      <c r="M34" s="383">
        <v>13000</v>
      </c>
      <c r="N34" s="383">
        <v>38443</v>
      </c>
      <c r="O34" s="383">
        <v>0</v>
      </c>
      <c r="P34" s="383">
        <v>0</v>
      </c>
      <c r="Q34" s="383">
        <v>0</v>
      </c>
      <c r="R34" s="383">
        <v>16000</v>
      </c>
      <c r="S34" s="383">
        <v>0</v>
      </c>
      <c r="T34" s="383">
        <v>0</v>
      </c>
      <c r="U34" s="383">
        <v>0</v>
      </c>
      <c r="V34" s="383">
        <v>0</v>
      </c>
      <c r="W34" s="383">
        <v>0</v>
      </c>
      <c r="X34" s="383">
        <v>0</v>
      </c>
      <c r="Y34" s="383">
        <f t="shared" si="0"/>
        <v>1348517.2596433829</v>
      </c>
      <c r="Z34" s="383">
        <v>670660.80211440008</v>
      </c>
      <c r="AA34" s="383">
        <v>500</v>
      </c>
      <c r="AB34" s="383">
        <v>396499.59282081795</v>
      </c>
      <c r="AC34" s="383">
        <v>23114</v>
      </c>
      <c r="AD34" s="383">
        <v>60591.446554818736</v>
      </c>
      <c r="AE34" s="383">
        <v>44307.445238911016</v>
      </c>
      <c r="AF34" s="383">
        <v>46134.618102588065</v>
      </c>
      <c r="AG34" s="383">
        <v>4600</v>
      </c>
      <c r="AH34" s="383">
        <v>2000</v>
      </c>
      <c r="AI34" s="383">
        <v>4973</v>
      </c>
      <c r="AJ34" s="383">
        <v>0</v>
      </c>
      <c r="AK34" s="383">
        <v>8000</v>
      </c>
      <c r="AL34" s="383">
        <v>3500</v>
      </c>
      <c r="AM34" s="383">
        <v>35500</v>
      </c>
      <c r="AN34" s="383">
        <v>2500</v>
      </c>
      <c r="AO34" s="383">
        <v>22200</v>
      </c>
      <c r="AP34" s="383">
        <v>0</v>
      </c>
      <c r="AQ34" s="383">
        <v>7050</v>
      </c>
      <c r="AR34" s="383">
        <v>6700</v>
      </c>
      <c r="AS34" s="383">
        <v>29721</v>
      </c>
      <c r="AT34" s="383">
        <v>0</v>
      </c>
      <c r="AU34" s="383">
        <v>6835</v>
      </c>
      <c r="AV34" s="383">
        <v>5600</v>
      </c>
      <c r="AW34" s="383">
        <v>0</v>
      </c>
      <c r="AX34" s="383">
        <v>32000</v>
      </c>
      <c r="AY34" s="383">
        <v>3000</v>
      </c>
      <c r="AZ34" s="383">
        <v>3205</v>
      </c>
      <c r="BA34" s="383">
        <v>13299</v>
      </c>
      <c r="BB34" s="383">
        <v>0</v>
      </c>
      <c r="BC34" s="383">
        <v>0</v>
      </c>
      <c r="BD34" s="383">
        <v>0</v>
      </c>
      <c r="BE34" s="383">
        <f t="shared" si="1"/>
        <v>1432490.9048315359</v>
      </c>
      <c r="BF34" s="383">
        <f t="shared" si="2"/>
        <v>-83973.645188153023</v>
      </c>
      <c r="BG34" s="383">
        <v>-122573.82999999997</v>
      </c>
      <c r="BH34" s="383">
        <f t="shared" si="3"/>
        <v>-206547.47518815298</v>
      </c>
      <c r="BI34" s="383">
        <v>0</v>
      </c>
      <c r="BJ34" s="383">
        <v>0</v>
      </c>
      <c r="BK34" s="383">
        <f t="shared" si="4"/>
        <v>0</v>
      </c>
      <c r="BL34" s="383">
        <v>0</v>
      </c>
      <c r="BM34" s="383">
        <v>0</v>
      </c>
      <c r="BN34" s="383">
        <f t="shared" si="5"/>
        <v>0</v>
      </c>
      <c r="BO34" s="383">
        <f t="shared" si="6"/>
        <v>0</v>
      </c>
      <c r="BP34" s="383">
        <v>0</v>
      </c>
      <c r="BQ34" s="383">
        <f t="shared" si="7"/>
        <v>0</v>
      </c>
      <c r="BR34" s="383">
        <v>0</v>
      </c>
      <c r="BS34" s="383">
        <v>-206547.47518815298</v>
      </c>
      <c r="BT34" s="383">
        <v>0</v>
      </c>
      <c r="BU34" s="383">
        <f t="shared" si="8"/>
        <v>-206547.47518815298</v>
      </c>
      <c r="BV34" s="383">
        <v>6192</v>
      </c>
      <c r="BW34" s="383">
        <v>0</v>
      </c>
      <c r="BX34" s="383">
        <v>0</v>
      </c>
      <c r="BY34" s="383">
        <f t="shared" si="9"/>
        <v>6192</v>
      </c>
      <c r="BZ34" s="383">
        <v>0</v>
      </c>
      <c r="CA34" s="383">
        <v>6192</v>
      </c>
      <c r="CB34" s="383">
        <v>0</v>
      </c>
      <c r="CC34" s="383">
        <v>0</v>
      </c>
      <c r="CD34" s="383">
        <f t="shared" si="10"/>
        <v>6192</v>
      </c>
      <c r="CE34" s="383">
        <f t="shared" si="11"/>
        <v>0</v>
      </c>
      <c r="CF34" s="383">
        <v>46779.770000000004</v>
      </c>
      <c r="CG34" s="383">
        <f t="shared" si="12"/>
        <v>46779.770000000004</v>
      </c>
      <c r="CH34" s="383">
        <f>VLOOKUP($B34,'Data - CFR 202526'!$B$4:$CJ$127,85,0)</f>
        <v>18080.43</v>
      </c>
      <c r="CI34" s="383">
        <f>VLOOKUP($B34,'Data - CFR 202526'!$B$4:$CJ$127,86,0)</f>
        <v>28699.34</v>
      </c>
      <c r="CJ34" s="383">
        <f>VLOOKUP($B34,'Data - CFR 202526'!$B$4:$CJ$127,87,0)</f>
        <v>46779.770000000004</v>
      </c>
    </row>
    <row r="35" spans="1:88" s="220" customFormat="1" ht="13.8">
      <c r="A35" s="252" t="s">
        <v>1525</v>
      </c>
      <c r="B35" s="288">
        <v>3308</v>
      </c>
      <c r="C35" s="288" t="s">
        <v>738</v>
      </c>
      <c r="D35" s="248" t="s">
        <v>704</v>
      </c>
      <c r="E35" s="380"/>
      <c r="F35" s="383">
        <v>787563.806058986</v>
      </c>
      <c r="G35" s="383">
        <v>0</v>
      </c>
      <c r="H35" s="383">
        <v>12436</v>
      </c>
      <c r="I35" s="383">
        <v>0</v>
      </c>
      <c r="J35" s="383">
        <v>10850</v>
      </c>
      <c r="K35" s="383">
        <v>31339</v>
      </c>
      <c r="L35" s="383">
        <v>0</v>
      </c>
      <c r="M35" s="383">
        <v>0</v>
      </c>
      <c r="N35" s="383">
        <v>27700</v>
      </c>
      <c r="O35" s="383">
        <v>0</v>
      </c>
      <c r="P35" s="383">
        <v>0</v>
      </c>
      <c r="Q35" s="383">
        <v>0</v>
      </c>
      <c r="R35" s="383">
        <v>0</v>
      </c>
      <c r="S35" s="383">
        <v>4000</v>
      </c>
      <c r="T35" s="383">
        <v>0</v>
      </c>
      <c r="U35" s="383">
        <v>0</v>
      </c>
      <c r="V35" s="383">
        <v>0</v>
      </c>
      <c r="W35" s="383">
        <v>0</v>
      </c>
      <c r="X35" s="383">
        <v>0</v>
      </c>
      <c r="Y35" s="383">
        <f t="shared" si="0"/>
        <v>873888.806058986</v>
      </c>
      <c r="Z35" s="383">
        <v>450423.2228003355</v>
      </c>
      <c r="AA35" s="383">
        <v>22500</v>
      </c>
      <c r="AB35" s="383">
        <v>112423.89348866316</v>
      </c>
      <c r="AC35" s="383">
        <v>14347.116874411642</v>
      </c>
      <c r="AD35" s="383">
        <v>53322.451042358101</v>
      </c>
      <c r="AE35" s="383">
        <v>0</v>
      </c>
      <c r="AF35" s="383">
        <v>32832.660918649548</v>
      </c>
      <c r="AG35" s="383">
        <v>200</v>
      </c>
      <c r="AH35" s="383">
        <v>4000</v>
      </c>
      <c r="AI35" s="383">
        <v>3354</v>
      </c>
      <c r="AJ35" s="383">
        <v>131</v>
      </c>
      <c r="AK35" s="383">
        <v>10500</v>
      </c>
      <c r="AL35" s="383">
        <v>4200</v>
      </c>
      <c r="AM35" s="383">
        <v>2000</v>
      </c>
      <c r="AN35" s="383">
        <v>2000</v>
      </c>
      <c r="AO35" s="383">
        <v>17000</v>
      </c>
      <c r="AP35" s="383">
        <v>3558.1</v>
      </c>
      <c r="AQ35" s="383">
        <v>3253.8199999999997</v>
      </c>
      <c r="AR35" s="383">
        <v>19829.849999999999</v>
      </c>
      <c r="AS35" s="383">
        <v>25381</v>
      </c>
      <c r="AT35" s="383">
        <v>0</v>
      </c>
      <c r="AU35" s="383">
        <v>6525.32</v>
      </c>
      <c r="AV35" s="383">
        <v>4571.88</v>
      </c>
      <c r="AW35" s="383">
        <v>2000</v>
      </c>
      <c r="AX35" s="383">
        <v>41092</v>
      </c>
      <c r="AY35" s="383">
        <v>17000</v>
      </c>
      <c r="AZ35" s="383">
        <v>0</v>
      </c>
      <c r="BA35" s="383">
        <v>20757.760000000002</v>
      </c>
      <c r="BB35" s="383">
        <v>0</v>
      </c>
      <c r="BC35" s="383">
        <v>0</v>
      </c>
      <c r="BD35" s="383">
        <v>15500</v>
      </c>
      <c r="BE35" s="383">
        <f t="shared" si="1"/>
        <v>888704.07512441766</v>
      </c>
      <c r="BF35" s="383">
        <f t="shared" si="2"/>
        <v>-14815.269065431668</v>
      </c>
      <c r="BG35" s="383">
        <v>118395.17000000016</v>
      </c>
      <c r="BH35" s="383">
        <f t="shared" si="3"/>
        <v>103579.90093456849</v>
      </c>
      <c r="BI35" s="383">
        <v>0</v>
      </c>
      <c r="BJ35" s="383">
        <v>0</v>
      </c>
      <c r="BK35" s="383">
        <f t="shared" si="4"/>
        <v>0</v>
      </c>
      <c r="BL35" s="383">
        <v>0</v>
      </c>
      <c r="BM35" s="383">
        <v>0</v>
      </c>
      <c r="BN35" s="383">
        <f t="shared" si="5"/>
        <v>0</v>
      </c>
      <c r="BO35" s="383">
        <f t="shared" si="6"/>
        <v>0</v>
      </c>
      <c r="BP35" s="383">
        <v>0</v>
      </c>
      <c r="BQ35" s="383">
        <f t="shared" si="7"/>
        <v>0</v>
      </c>
      <c r="BR35" s="383">
        <v>0</v>
      </c>
      <c r="BS35" s="383">
        <v>103579.90093456849</v>
      </c>
      <c r="BT35" s="383">
        <v>0</v>
      </c>
      <c r="BU35" s="383">
        <f t="shared" si="8"/>
        <v>103579.90093456849</v>
      </c>
      <c r="BV35" s="383">
        <v>0</v>
      </c>
      <c r="BW35" s="383">
        <v>0</v>
      </c>
      <c r="BX35" s="383">
        <v>0</v>
      </c>
      <c r="BY35" s="383">
        <f t="shared" si="9"/>
        <v>0</v>
      </c>
      <c r="BZ35" s="383">
        <v>0</v>
      </c>
      <c r="CA35" s="383">
        <v>0</v>
      </c>
      <c r="CB35" s="383">
        <v>0</v>
      </c>
      <c r="CC35" s="383">
        <v>0</v>
      </c>
      <c r="CD35" s="383">
        <f t="shared" si="10"/>
        <v>0</v>
      </c>
      <c r="CE35" s="383">
        <f t="shared" si="11"/>
        <v>0</v>
      </c>
      <c r="CF35" s="383">
        <v>0</v>
      </c>
      <c r="CG35" s="383">
        <f t="shared" si="12"/>
        <v>0</v>
      </c>
      <c r="CH35" s="383">
        <f>VLOOKUP($B35,'Data - CFR 202526'!$B$4:$CJ$127,85,0)</f>
        <v>0</v>
      </c>
      <c r="CI35" s="383">
        <f>VLOOKUP($B35,'Data - CFR 202526'!$B$4:$CJ$127,86,0)</f>
        <v>0</v>
      </c>
      <c r="CJ35" s="383">
        <f>VLOOKUP($B35,'Data - CFR 202526'!$B$4:$CJ$127,87,0)</f>
        <v>0</v>
      </c>
    </row>
    <row r="36" spans="1:88" s="220" customFormat="1" ht="13.8">
      <c r="A36" s="252" t="s">
        <v>1525</v>
      </c>
      <c r="B36" s="288">
        <v>3368</v>
      </c>
      <c r="C36" s="288" t="s">
        <v>739</v>
      </c>
      <c r="D36" s="248" t="s">
        <v>704</v>
      </c>
      <c r="E36" s="380"/>
      <c r="F36" s="383">
        <v>778409.283858579</v>
      </c>
      <c r="G36" s="383">
        <v>0</v>
      </c>
      <c r="H36" s="383">
        <v>3532</v>
      </c>
      <c r="I36" s="383">
        <v>0</v>
      </c>
      <c r="J36" s="383">
        <v>16640</v>
      </c>
      <c r="K36" s="383">
        <v>43075</v>
      </c>
      <c r="L36" s="383">
        <v>0</v>
      </c>
      <c r="M36" s="383">
        <v>0</v>
      </c>
      <c r="N36" s="383">
        <v>5700</v>
      </c>
      <c r="O36" s="383">
        <v>27000</v>
      </c>
      <c r="P36" s="383">
        <v>0</v>
      </c>
      <c r="Q36" s="383">
        <v>0</v>
      </c>
      <c r="R36" s="383">
        <v>0</v>
      </c>
      <c r="S36" s="383">
        <v>6500</v>
      </c>
      <c r="T36" s="383">
        <v>0</v>
      </c>
      <c r="U36" s="383">
        <v>0</v>
      </c>
      <c r="V36" s="383">
        <v>0</v>
      </c>
      <c r="W36" s="383">
        <v>0</v>
      </c>
      <c r="X36" s="383">
        <v>0</v>
      </c>
      <c r="Y36" s="383">
        <f t="shared" si="0"/>
        <v>880856.283858579</v>
      </c>
      <c r="Z36" s="383">
        <v>480333.53899733326</v>
      </c>
      <c r="AA36" s="383">
        <v>0</v>
      </c>
      <c r="AB36" s="383">
        <v>164421.94650951176</v>
      </c>
      <c r="AC36" s="383">
        <v>0</v>
      </c>
      <c r="AD36" s="383">
        <v>40597.526465239265</v>
      </c>
      <c r="AE36" s="383">
        <v>36032.738619958422</v>
      </c>
      <c r="AF36" s="383">
        <v>8266.7355518357508</v>
      </c>
      <c r="AG36" s="383">
        <v>500</v>
      </c>
      <c r="AH36" s="383">
        <v>1465</v>
      </c>
      <c r="AI36" s="383">
        <v>0</v>
      </c>
      <c r="AJ36" s="383">
        <v>0</v>
      </c>
      <c r="AK36" s="383">
        <v>7000</v>
      </c>
      <c r="AL36" s="383">
        <v>2100</v>
      </c>
      <c r="AM36" s="383">
        <v>21200</v>
      </c>
      <c r="AN36" s="383">
        <v>4200</v>
      </c>
      <c r="AO36" s="383">
        <v>15500</v>
      </c>
      <c r="AP36" s="383">
        <v>3315</v>
      </c>
      <c r="AQ36" s="383">
        <v>2290</v>
      </c>
      <c r="AR36" s="383">
        <v>20531.29</v>
      </c>
      <c r="AS36" s="383">
        <v>22238.84</v>
      </c>
      <c r="AT36" s="383">
        <v>0</v>
      </c>
      <c r="AU36" s="383">
        <v>4919.3600000000006</v>
      </c>
      <c r="AV36" s="383">
        <v>3616</v>
      </c>
      <c r="AW36" s="383">
        <v>0</v>
      </c>
      <c r="AX36" s="383">
        <v>18770</v>
      </c>
      <c r="AY36" s="383">
        <v>21290</v>
      </c>
      <c r="AZ36" s="383">
        <v>23601.5</v>
      </c>
      <c r="BA36" s="383">
        <v>13214.130000000001</v>
      </c>
      <c r="BB36" s="383">
        <v>0</v>
      </c>
      <c r="BC36" s="383">
        <v>0</v>
      </c>
      <c r="BD36" s="383">
        <v>5000</v>
      </c>
      <c r="BE36" s="383">
        <f t="shared" si="1"/>
        <v>920403.60614387842</v>
      </c>
      <c r="BF36" s="383">
        <f t="shared" si="2"/>
        <v>-39547.322285299422</v>
      </c>
      <c r="BG36" s="383">
        <v>43561.209999999963</v>
      </c>
      <c r="BH36" s="383">
        <f t="shared" si="3"/>
        <v>4013.8877147005405</v>
      </c>
      <c r="BI36" s="383">
        <v>0</v>
      </c>
      <c r="BJ36" s="383">
        <v>0</v>
      </c>
      <c r="BK36" s="383">
        <f t="shared" si="4"/>
        <v>0</v>
      </c>
      <c r="BL36" s="383">
        <v>0</v>
      </c>
      <c r="BM36" s="383">
        <v>0</v>
      </c>
      <c r="BN36" s="383">
        <f t="shared" si="5"/>
        <v>0</v>
      </c>
      <c r="BO36" s="383">
        <f t="shared" si="6"/>
        <v>0</v>
      </c>
      <c r="BP36" s="383">
        <v>0</v>
      </c>
      <c r="BQ36" s="383">
        <f t="shared" si="7"/>
        <v>0</v>
      </c>
      <c r="BR36" s="383">
        <v>0</v>
      </c>
      <c r="BS36" s="383">
        <v>4013.8877147005405</v>
      </c>
      <c r="BT36" s="383">
        <v>0</v>
      </c>
      <c r="BU36" s="383">
        <f t="shared" si="8"/>
        <v>4013.8877147005405</v>
      </c>
      <c r="BV36" s="383">
        <v>0</v>
      </c>
      <c r="BW36" s="383">
        <v>0</v>
      </c>
      <c r="BX36" s="383">
        <v>0</v>
      </c>
      <c r="BY36" s="383">
        <f t="shared" si="9"/>
        <v>0</v>
      </c>
      <c r="BZ36" s="383">
        <v>0</v>
      </c>
      <c r="CA36" s="383">
        <v>0</v>
      </c>
      <c r="CB36" s="383">
        <v>0</v>
      </c>
      <c r="CC36" s="383">
        <v>0</v>
      </c>
      <c r="CD36" s="383">
        <f t="shared" si="10"/>
        <v>0</v>
      </c>
      <c r="CE36" s="383">
        <f t="shared" si="11"/>
        <v>0</v>
      </c>
      <c r="CF36" s="383">
        <v>0</v>
      </c>
      <c r="CG36" s="383">
        <f t="shared" si="12"/>
        <v>0</v>
      </c>
      <c r="CH36" s="383">
        <f>VLOOKUP($B36,'Data - CFR 202526'!$B$4:$CJ$127,85,0)</f>
        <v>0</v>
      </c>
      <c r="CI36" s="383">
        <f>VLOOKUP($B36,'Data - CFR 202526'!$B$4:$CJ$127,86,0)</f>
        <v>0</v>
      </c>
      <c r="CJ36" s="383">
        <f>VLOOKUP($B36,'Data - CFR 202526'!$B$4:$CJ$127,87,0)</f>
        <v>0</v>
      </c>
    </row>
    <row r="37" spans="1:88" s="220" customFormat="1" ht="13.8">
      <c r="A37" s="252" t="s">
        <v>1525</v>
      </c>
      <c r="B37" s="288">
        <v>2444</v>
      </c>
      <c r="C37" s="288" t="s">
        <v>740</v>
      </c>
      <c r="D37" s="248" t="s">
        <v>704</v>
      </c>
      <c r="E37" s="380"/>
      <c r="F37" s="383">
        <v>2001930.0541451129</v>
      </c>
      <c r="G37" s="383">
        <v>0</v>
      </c>
      <c r="H37" s="383">
        <v>113775</v>
      </c>
      <c r="I37" s="383">
        <v>0</v>
      </c>
      <c r="J37" s="383">
        <v>67420</v>
      </c>
      <c r="K37" s="383">
        <v>77960</v>
      </c>
      <c r="L37" s="383">
        <v>0</v>
      </c>
      <c r="M37" s="383">
        <v>24000</v>
      </c>
      <c r="N37" s="383">
        <v>6400</v>
      </c>
      <c r="O37" s="383">
        <v>40000</v>
      </c>
      <c r="P37" s="383">
        <v>0</v>
      </c>
      <c r="Q37" s="383">
        <v>0</v>
      </c>
      <c r="R37" s="383">
        <v>10400</v>
      </c>
      <c r="S37" s="383">
        <v>5800</v>
      </c>
      <c r="T37" s="383">
        <v>0</v>
      </c>
      <c r="U37" s="383">
        <v>0</v>
      </c>
      <c r="V37" s="383">
        <v>0</v>
      </c>
      <c r="W37" s="383">
        <v>0</v>
      </c>
      <c r="X37" s="383">
        <v>0</v>
      </c>
      <c r="Y37" s="383">
        <f t="shared" si="0"/>
        <v>2347685.0541451126</v>
      </c>
      <c r="Z37" s="383">
        <v>1243036.6443295996</v>
      </c>
      <c r="AA37" s="383">
        <v>4000</v>
      </c>
      <c r="AB37" s="383">
        <v>417429.04260629055</v>
      </c>
      <c r="AC37" s="383">
        <v>75660.751993951402</v>
      </c>
      <c r="AD37" s="383">
        <v>60145.049734481203</v>
      </c>
      <c r="AE37" s="383">
        <v>0</v>
      </c>
      <c r="AF37" s="383">
        <v>28049.297845276491</v>
      </c>
      <c r="AG37" s="383">
        <v>7900</v>
      </c>
      <c r="AH37" s="383">
        <v>5000</v>
      </c>
      <c r="AI37" s="383">
        <v>9594</v>
      </c>
      <c r="AJ37" s="383">
        <v>0</v>
      </c>
      <c r="AK37" s="383">
        <v>25500</v>
      </c>
      <c r="AL37" s="383">
        <v>6000</v>
      </c>
      <c r="AM37" s="383">
        <v>4000</v>
      </c>
      <c r="AN37" s="383">
        <v>9500</v>
      </c>
      <c r="AO37" s="383">
        <v>37000</v>
      </c>
      <c r="AP37" s="383">
        <v>62160</v>
      </c>
      <c r="AQ37" s="383">
        <v>11300</v>
      </c>
      <c r="AR37" s="383">
        <v>74106</v>
      </c>
      <c r="AS37" s="383">
        <v>45500</v>
      </c>
      <c r="AT37" s="383">
        <v>0</v>
      </c>
      <c r="AU37" s="383">
        <v>11350</v>
      </c>
      <c r="AV37" s="383">
        <v>10400</v>
      </c>
      <c r="AW37" s="383">
        <v>0</v>
      </c>
      <c r="AX37" s="383">
        <v>128705</v>
      </c>
      <c r="AY37" s="383">
        <v>4000</v>
      </c>
      <c r="AZ37" s="383">
        <v>17800</v>
      </c>
      <c r="BA37" s="383">
        <v>33687</v>
      </c>
      <c r="BB37" s="383">
        <v>0</v>
      </c>
      <c r="BC37" s="383">
        <v>5320</v>
      </c>
      <c r="BD37" s="383">
        <v>8635</v>
      </c>
      <c r="BE37" s="383">
        <f t="shared" si="1"/>
        <v>2345777.7865095991</v>
      </c>
      <c r="BF37" s="383">
        <f t="shared" si="2"/>
        <v>1907.2676355135627</v>
      </c>
      <c r="BG37" s="383">
        <v>69430.150000000169</v>
      </c>
      <c r="BH37" s="383">
        <f t="shared" si="3"/>
        <v>71337.417635513732</v>
      </c>
      <c r="BI37" s="383">
        <v>0</v>
      </c>
      <c r="BJ37" s="383">
        <v>0</v>
      </c>
      <c r="BK37" s="383">
        <f t="shared" si="4"/>
        <v>0</v>
      </c>
      <c r="BL37" s="383">
        <v>0</v>
      </c>
      <c r="BM37" s="383">
        <v>0</v>
      </c>
      <c r="BN37" s="383">
        <f t="shared" si="5"/>
        <v>0</v>
      </c>
      <c r="BO37" s="383">
        <f t="shared" si="6"/>
        <v>0</v>
      </c>
      <c r="BP37" s="383">
        <v>0</v>
      </c>
      <c r="BQ37" s="383">
        <f t="shared" si="7"/>
        <v>0</v>
      </c>
      <c r="BR37" s="383">
        <v>0</v>
      </c>
      <c r="BS37" s="383">
        <v>71337.417635513732</v>
      </c>
      <c r="BT37" s="383">
        <v>0</v>
      </c>
      <c r="BU37" s="383">
        <f t="shared" si="8"/>
        <v>71337.417635513732</v>
      </c>
      <c r="BV37" s="383">
        <v>8151</v>
      </c>
      <c r="BW37" s="383">
        <v>0</v>
      </c>
      <c r="BX37" s="383">
        <v>0</v>
      </c>
      <c r="BY37" s="383">
        <f t="shared" si="9"/>
        <v>8151</v>
      </c>
      <c r="BZ37" s="383">
        <v>0</v>
      </c>
      <c r="CA37" s="383">
        <v>0</v>
      </c>
      <c r="CB37" s="383">
        <v>0</v>
      </c>
      <c r="CC37" s="383">
        <v>12072</v>
      </c>
      <c r="CD37" s="383">
        <f t="shared" si="10"/>
        <v>12072</v>
      </c>
      <c r="CE37" s="383">
        <f t="shared" si="11"/>
        <v>-3921</v>
      </c>
      <c r="CF37" s="383">
        <v>3921.0499999999993</v>
      </c>
      <c r="CG37" s="383">
        <f t="shared" si="12"/>
        <v>4.9999999999272404E-2</v>
      </c>
      <c r="CH37" s="383">
        <f>VLOOKUP($B37,'Data - CFR 202526'!$B$4:$CJ$127,85,0)</f>
        <v>3921.0499999999993</v>
      </c>
      <c r="CI37" s="383">
        <f>VLOOKUP($B37,'Data - CFR 202526'!$B$4:$CJ$127,86,0)</f>
        <v>0</v>
      </c>
      <c r="CJ37" s="383">
        <f>VLOOKUP($B37,'Data - CFR 202526'!$B$4:$CJ$127,87,0)</f>
        <v>3921.0499999999993</v>
      </c>
    </row>
    <row r="38" spans="1:88" s="220" customFormat="1" ht="13.8">
      <c r="A38" s="252" t="s">
        <v>1525</v>
      </c>
      <c r="B38" s="288">
        <v>3074</v>
      </c>
      <c r="C38" s="288" t="s">
        <v>741</v>
      </c>
      <c r="D38" s="248" t="s">
        <v>704</v>
      </c>
      <c r="E38" s="380"/>
      <c r="F38" s="383">
        <v>1068268.830580018</v>
      </c>
      <c r="G38" s="383">
        <v>0</v>
      </c>
      <c r="H38" s="383">
        <v>41525</v>
      </c>
      <c r="I38" s="383">
        <v>0</v>
      </c>
      <c r="J38" s="383">
        <v>65010</v>
      </c>
      <c r="K38" s="383">
        <v>49388</v>
      </c>
      <c r="L38" s="383">
        <v>0</v>
      </c>
      <c r="M38" s="383">
        <v>7500</v>
      </c>
      <c r="N38" s="383">
        <v>54432</v>
      </c>
      <c r="O38" s="383">
        <v>0</v>
      </c>
      <c r="P38" s="383">
        <v>0</v>
      </c>
      <c r="Q38" s="383">
        <v>0</v>
      </c>
      <c r="R38" s="383">
        <v>0</v>
      </c>
      <c r="S38" s="383">
        <v>0</v>
      </c>
      <c r="T38" s="383">
        <v>0</v>
      </c>
      <c r="U38" s="383">
        <v>0</v>
      </c>
      <c r="V38" s="383">
        <v>0</v>
      </c>
      <c r="W38" s="383">
        <v>0</v>
      </c>
      <c r="X38" s="383">
        <v>0</v>
      </c>
      <c r="Y38" s="383">
        <f t="shared" si="0"/>
        <v>1286123.830580018</v>
      </c>
      <c r="Z38" s="383">
        <v>655748.07303733332</v>
      </c>
      <c r="AA38" s="383">
        <v>18000</v>
      </c>
      <c r="AB38" s="383">
        <v>199184.35681060419</v>
      </c>
      <c r="AC38" s="383">
        <v>44006.684110920876</v>
      </c>
      <c r="AD38" s="383">
        <v>62620.284665450134</v>
      </c>
      <c r="AE38" s="383">
        <v>0</v>
      </c>
      <c r="AF38" s="383">
        <v>59869.560256122859</v>
      </c>
      <c r="AG38" s="383">
        <v>4450</v>
      </c>
      <c r="AH38" s="383">
        <v>6125</v>
      </c>
      <c r="AI38" s="383">
        <v>5050</v>
      </c>
      <c r="AJ38" s="383">
        <v>1025</v>
      </c>
      <c r="AK38" s="383">
        <v>12250</v>
      </c>
      <c r="AL38" s="383">
        <v>6125</v>
      </c>
      <c r="AM38" s="383">
        <v>5556</v>
      </c>
      <c r="AN38" s="383">
        <v>3500</v>
      </c>
      <c r="AO38" s="383">
        <v>42437</v>
      </c>
      <c r="AP38" s="383">
        <v>22455</v>
      </c>
      <c r="AQ38" s="383">
        <v>5791</v>
      </c>
      <c r="AR38" s="383">
        <v>37712</v>
      </c>
      <c r="AS38" s="383">
        <v>32974</v>
      </c>
      <c r="AT38" s="383">
        <v>0</v>
      </c>
      <c r="AU38" s="383">
        <v>15805</v>
      </c>
      <c r="AV38" s="383">
        <v>4940</v>
      </c>
      <c r="AW38" s="383">
        <v>2600</v>
      </c>
      <c r="AX38" s="383">
        <v>51786</v>
      </c>
      <c r="AY38" s="383">
        <v>0</v>
      </c>
      <c r="AZ38" s="383">
        <v>1863</v>
      </c>
      <c r="BA38" s="383">
        <v>16617</v>
      </c>
      <c r="BB38" s="383">
        <v>0</v>
      </c>
      <c r="BC38" s="383">
        <v>0</v>
      </c>
      <c r="BD38" s="383">
        <v>2421</v>
      </c>
      <c r="BE38" s="383">
        <f t="shared" si="1"/>
        <v>1320910.9588804315</v>
      </c>
      <c r="BF38" s="383">
        <f t="shared" si="2"/>
        <v>-34787.128300413489</v>
      </c>
      <c r="BG38" s="383">
        <v>74376.70999999989</v>
      </c>
      <c r="BH38" s="383">
        <f t="shared" si="3"/>
        <v>39589.581699586401</v>
      </c>
      <c r="BI38" s="383">
        <v>74569</v>
      </c>
      <c r="BJ38" s="383">
        <v>18284</v>
      </c>
      <c r="BK38" s="383">
        <f t="shared" si="4"/>
        <v>92853</v>
      </c>
      <c r="BL38" s="383">
        <v>101810.87984974816</v>
      </c>
      <c r="BM38" s="383">
        <v>24316</v>
      </c>
      <c r="BN38" s="383">
        <f t="shared" si="5"/>
        <v>126126.87984974816</v>
      </c>
      <c r="BO38" s="383">
        <f t="shared" si="6"/>
        <v>-33273.879849748162</v>
      </c>
      <c r="BP38" s="383">
        <v>39553.840000000011</v>
      </c>
      <c r="BQ38" s="383">
        <f t="shared" si="7"/>
        <v>6279.960150251849</v>
      </c>
      <c r="BR38" s="383">
        <v>0</v>
      </c>
      <c r="BS38" s="383">
        <v>39589.581699586401</v>
      </c>
      <c r="BT38" s="383">
        <v>6279.960150251849</v>
      </c>
      <c r="BU38" s="383">
        <f t="shared" si="8"/>
        <v>45869.54184983825</v>
      </c>
      <c r="BV38" s="383">
        <v>6426</v>
      </c>
      <c r="BW38" s="383">
        <v>0</v>
      </c>
      <c r="BX38" s="383">
        <v>2421</v>
      </c>
      <c r="BY38" s="383">
        <f t="shared" si="9"/>
        <v>8847</v>
      </c>
      <c r="BZ38" s="383">
        <v>0</v>
      </c>
      <c r="CA38" s="383">
        <v>11668.8</v>
      </c>
      <c r="CB38" s="383">
        <v>0</v>
      </c>
      <c r="CC38" s="383">
        <v>2422</v>
      </c>
      <c r="CD38" s="383">
        <f t="shared" si="10"/>
        <v>14090.8</v>
      </c>
      <c r="CE38" s="383">
        <f t="shared" si="11"/>
        <v>-5243.7999999999993</v>
      </c>
      <c r="CF38" s="383">
        <v>5242.8</v>
      </c>
      <c r="CG38" s="383">
        <f t="shared" si="12"/>
        <v>-0.99999999999909051</v>
      </c>
      <c r="CH38" s="383">
        <f>VLOOKUP($B38,'Data - CFR 202526'!$B$4:$CJ$127,85,0)</f>
        <v>5242.8</v>
      </c>
      <c r="CI38" s="383">
        <f>VLOOKUP($B38,'Data - CFR 202526'!$B$4:$CJ$127,86,0)</f>
        <v>0</v>
      </c>
      <c r="CJ38" s="383">
        <f>VLOOKUP($B38,'Data - CFR 202526'!$B$4:$CJ$127,87,0)</f>
        <v>5242.8</v>
      </c>
    </row>
    <row r="39" spans="1:88" s="220" customFormat="1" ht="13.8">
      <c r="A39" s="252" t="s">
        <v>1525</v>
      </c>
      <c r="B39" s="288">
        <v>2336</v>
      </c>
      <c r="C39" s="288" t="s">
        <v>1372</v>
      </c>
      <c r="D39" s="248" t="s">
        <v>704</v>
      </c>
      <c r="E39" s="380"/>
      <c r="F39" s="383">
        <v>0</v>
      </c>
      <c r="G39" s="383">
        <v>0</v>
      </c>
      <c r="H39" s="383">
        <v>0</v>
      </c>
      <c r="I39" s="383">
        <v>0</v>
      </c>
      <c r="J39" s="383">
        <v>0</v>
      </c>
      <c r="K39" s="383">
        <v>0</v>
      </c>
      <c r="L39" s="383">
        <v>0</v>
      </c>
      <c r="M39" s="383">
        <v>0</v>
      </c>
      <c r="N39" s="383">
        <v>0</v>
      </c>
      <c r="O39" s="383">
        <v>0</v>
      </c>
      <c r="P39" s="383">
        <v>0</v>
      </c>
      <c r="Q39" s="383">
        <v>0</v>
      </c>
      <c r="R39" s="383">
        <v>0</v>
      </c>
      <c r="S39" s="383">
        <v>0</v>
      </c>
      <c r="T39" s="383">
        <v>0</v>
      </c>
      <c r="U39" s="383">
        <v>0</v>
      </c>
      <c r="V39" s="383">
        <v>0</v>
      </c>
      <c r="W39" s="383">
        <v>0</v>
      </c>
      <c r="X39" s="383">
        <v>0</v>
      </c>
      <c r="Y39" s="383">
        <f t="shared" si="0"/>
        <v>0</v>
      </c>
      <c r="Z39" s="383">
        <v>0</v>
      </c>
      <c r="AA39" s="383">
        <v>0</v>
      </c>
      <c r="AB39" s="383">
        <v>0</v>
      </c>
      <c r="AC39" s="383">
        <v>0</v>
      </c>
      <c r="AD39" s="383">
        <v>0</v>
      </c>
      <c r="AE39" s="383">
        <v>0</v>
      </c>
      <c r="AF39" s="383">
        <v>0</v>
      </c>
      <c r="AG39" s="383">
        <v>0</v>
      </c>
      <c r="AH39" s="383">
        <v>0</v>
      </c>
      <c r="AI39" s="383">
        <v>0</v>
      </c>
      <c r="AJ39" s="383">
        <v>0</v>
      </c>
      <c r="AK39" s="383">
        <v>0</v>
      </c>
      <c r="AL39" s="383">
        <v>0</v>
      </c>
      <c r="AM39" s="383">
        <v>0</v>
      </c>
      <c r="AN39" s="383">
        <v>0</v>
      </c>
      <c r="AO39" s="383">
        <v>0</v>
      </c>
      <c r="AP39" s="383">
        <v>0</v>
      </c>
      <c r="AQ39" s="383">
        <v>0</v>
      </c>
      <c r="AR39" s="383">
        <v>0</v>
      </c>
      <c r="AS39" s="383">
        <v>0</v>
      </c>
      <c r="AT39" s="383">
        <v>0</v>
      </c>
      <c r="AU39" s="383">
        <v>0</v>
      </c>
      <c r="AV39" s="383">
        <v>0</v>
      </c>
      <c r="AW39" s="383">
        <v>0</v>
      </c>
      <c r="AX39" s="383">
        <v>0</v>
      </c>
      <c r="AY39" s="383">
        <v>0</v>
      </c>
      <c r="AZ39" s="383">
        <v>0</v>
      </c>
      <c r="BA39" s="383">
        <v>0</v>
      </c>
      <c r="BB39" s="383">
        <v>0</v>
      </c>
      <c r="BC39" s="383">
        <v>0</v>
      </c>
      <c r="BD39" s="383">
        <v>0</v>
      </c>
      <c r="BE39" s="383">
        <f t="shared" si="1"/>
        <v>0</v>
      </c>
      <c r="BF39" s="383">
        <f t="shared" si="2"/>
        <v>0</v>
      </c>
      <c r="BG39" s="383">
        <v>0</v>
      </c>
      <c r="BH39" s="383">
        <f t="shared" si="3"/>
        <v>0</v>
      </c>
      <c r="BI39" s="383">
        <v>0</v>
      </c>
      <c r="BJ39" s="383">
        <v>0</v>
      </c>
      <c r="BK39" s="383">
        <f t="shared" si="4"/>
        <v>0</v>
      </c>
      <c r="BL39" s="383">
        <v>0</v>
      </c>
      <c r="BM39" s="383">
        <v>0</v>
      </c>
      <c r="BN39" s="383">
        <f t="shared" si="5"/>
        <v>0</v>
      </c>
      <c r="BO39" s="383">
        <f t="shared" si="6"/>
        <v>0</v>
      </c>
      <c r="BP39" s="383">
        <v>0</v>
      </c>
      <c r="BQ39" s="383">
        <f t="shared" si="7"/>
        <v>0</v>
      </c>
      <c r="BR39" s="383">
        <v>0</v>
      </c>
      <c r="BS39" s="383">
        <v>0</v>
      </c>
      <c r="BT39" s="383">
        <v>0</v>
      </c>
      <c r="BU39" s="383">
        <f t="shared" si="8"/>
        <v>0</v>
      </c>
      <c r="BV39" s="383">
        <v>0</v>
      </c>
      <c r="BW39" s="383">
        <v>0</v>
      </c>
      <c r="BX39" s="383">
        <v>0</v>
      </c>
      <c r="BY39" s="383">
        <f t="shared" si="9"/>
        <v>0</v>
      </c>
      <c r="BZ39" s="383">
        <v>0</v>
      </c>
      <c r="CA39" s="383">
        <v>0</v>
      </c>
      <c r="CB39" s="383">
        <v>0</v>
      </c>
      <c r="CC39" s="383">
        <v>0</v>
      </c>
      <c r="CD39" s="383">
        <f t="shared" si="10"/>
        <v>0</v>
      </c>
      <c r="CE39" s="383">
        <f t="shared" si="11"/>
        <v>0</v>
      </c>
      <c r="CF39" s="383">
        <v>0</v>
      </c>
      <c r="CG39" s="383">
        <f t="shared" si="12"/>
        <v>0</v>
      </c>
      <c r="CH39" s="383">
        <f>VLOOKUP($B39,'Data - CFR 202526'!$B$4:$CJ$127,85,0)</f>
        <v>5619.22</v>
      </c>
      <c r="CI39" s="383">
        <f>VLOOKUP($B39,'Data - CFR 202526'!$B$4:$CJ$127,86,0)</f>
        <v>0</v>
      </c>
      <c r="CJ39" s="383">
        <f>VLOOKUP($B39,'Data - CFR 202526'!$B$4:$CJ$127,87,0)</f>
        <v>5619.22</v>
      </c>
    </row>
    <row r="40" spans="1:88" s="220" customFormat="1" ht="13.8">
      <c r="A40" s="252" t="s">
        <v>1525</v>
      </c>
      <c r="B40" s="288">
        <v>2010</v>
      </c>
      <c r="C40" s="288" t="s">
        <v>742</v>
      </c>
      <c r="D40" s="248" t="s">
        <v>704</v>
      </c>
      <c r="E40" s="380"/>
      <c r="F40" s="383">
        <v>636245.09184201597</v>
      </c>
      <c r="G40" s="383">
        <v>0</v>
      </c>
      <c r="H40" s="383">
        <v>34688</v>
      </c>
      <c r="I40" s="383">
        <v>0</v>
      </c>
      <c r="J40" s="383">
        <v>24390</v>
      </c>
      <c r="K40" s="383">
        <v>30329</v>
      </c>
      <c r="L40" s="383">
        <v>0</v>
      </c>
      <c r="M40" s="383">
        <v>960</v>
      </c>
      <c r="N40" s="383">
        <v>100</v>
      </c>
      <c r="O40" s="383">
        <v>0</v>
      </c>
      <c r="P40" s="383">
        <v>0</v>
      </c>
      <c r="Q40" s="383">
        <v>0</v>
      </c>
      <c r="R40" s="383">
        <v>0</v>
      </c>
      <c r="S40" s="383">
        <v>0</v>
      </c>
      <c r="T40" s="383">
        <v>0</v>
      </c>
      <c r="U40" s="383">
        <v>0</v>
      </c>
      <c r="V40" s="383">
        <v>0</v>
      </c>
      <c r="W40" s="383">
        <v>0</v>
      </c>
      <c r="X40" s="383">
        <v>0</v>
      </c>
      <c r="Y40" s="383">
        <f t="shared" si="0"/>
        <v>726712.09184201597</v>
      </c>
      <c r="Z40" s="383">
        <v>375014.10208025808</v>
      </c>
      <c r="AA40" s="383">
        <v>14700</v>
      </c>
      <c r="AB40" s="383">
        <v>153891.37635998896</v>
      </c>
      <c r="AC40" s="383">
        <v>0</v>
      </c>
      <c r="AD40" s="383">
        <v>54850.814412560503</v>
      </c>
      <c r="AE40" s="383">
        <v>0</v>
      </c>
      <c r="AF40" s="383">
        <v>18783.658904716358</v>
      </c>
      <c r="AG40" s="383">
        <v>2750</v>
      </c>
      <c r="AH40" s="383">
        <v>4700</v>
      </c>
      <c r="AI40" s="383">
        <v>3510</v>
      </c>
      <c r="AJ40" s="383">
        <v>0</v>
      </c>
      <c r="AK40" s="383">
        <v>6500</v>
      </c>
      <c r="AL40" s="383">
        <v>3900</v>
      </c>
      <c r="AM40" s="383">
        <v>18710</v>
      </c>
      <c r="AN40" s="383">
        <v>2000</v>
      </c>
      <c r="AO40" s="383">
        <v>15000</v>
      </c>
      <c r="AP40" s="383">
        <v>15691</v>
      </c>
      <c r="AQ40" s="383">
        <v>6150</v>
      </c>
      <c r="AR40" s="383">
        <v>32215.559999999998</v>
      </c>
      <c r="AS40" s="383">
        <v>17852</v>
      </c>
      <c r="AT40" s="383">
        <v>0</v>
      </c>
      <c r="AU40" s="383">
        <v>4935</v>
      </c>
      <c r="AV40" s="383">
        <v>2980</v>
      </c>
      <c r="AW40" s="383">
        <v>0</v>
      </c>
      <c r="AX40" s="383">
        <v>41134</v>
      </c>
      <c r="AY40" s="383">
        <v>0</v>
      </c>
      <c r="AZ40" s="383">
        <v>3800</v>
      </c>
      <c r="BA40" s="383">
        <v>16000</v>
      </c>
      <c r="BB40" s="383">
        <v>0</v>
      </c>
      <c r="BC40" s="383">
        <v>0</v>
      </c>
      <c r="BD40" s="383">
        <v>0</v>
      </c>
      <c r="BE40" s="383">
        <f t="shared" si="1"/>
        <v>815067.51175752399</v>
      </c>
      <c r="BF40" s="383">
        <f t="shared" si="2"/>
        <v>-88355.419915508013</v>
      </c>
      <c r="BG40" s="383">
        <v>-33200.589999999895</v>
      </c>
      <c r="BH40" s="383">
        <f t="shared" si="3"/>
        <v>-121556.00991550791</v>
      </c>
      <c r="BI40" s="383">
        <v>0</v>
      </c>
      <c r="BJ40" s="383">
        <v>0</v>
      </c>
      <c r="BK40" s="383">
        <f t="shared" si="4"/>
        <v>0</v>
      </c>
      <c r="BL40" s="383">
        <v>0</v>
      </c>
      <c r="BM40" s="383">
        <v>0</v>
      </c>
      <c r="BN40" s="383">
        <f t="shared" si="5"/>
        <v>0</v>
      </c>
      <c r="BO40" s="383">
        <f t="shared" si="6"/>
        <v>0</v>
      </c>
      <c r="BP40" s="383">
        <v>0</v>
      </c>
      <c r="BQ40" s="383">
        <f t="shared" si="7"/>
        <v>0</v>
      </c>
      <c r="BR40" s="383">
        <v>0</v>
      </c>
      <c r="BS40" s="383">
        <v>-121556.00991550791</v>
      </c>
      <c r="BT40" s="383">
        <v>0</v>
      </c>
      <c r="BU40" s="383">
        <f t="shared" si="8"/>
        <v>-121556.00991550791</v>
      </c>
      <c r="BV40" s="383">
        <v>5238</v>
      </c>
      <c r="BW40" s="383">
        <v>0</v>
      </c>
      <c r="BX40" s="383">
        <v>0</v>
      </c>
      <c r="BY40" s="383">
        <f t="shared" si="9"/>
        <v>5238</v>
      </c>
      <c r="BZ40" s="383">
        <v>0</v>
      </c>
      <c r="CA40" s="383">
        <v>5650</v>
      </c>
      <c r="CB40" s="383">
        <v>0</v>
      </c>
      <c r="CC40" s="383">
        <v>1250</v>
      </c>
      <c r="CD40" s="383">
        <f t="shared" si="10"/>
        <v>6900</v>
      </c>
      <c r="CE40" s="383">
        <f t="shared" si="11"/>
        <v>-1662</v>
      </c>
      <c r="CF40" s="383">
        <v>1689.2900000000009</v>
      </c>
      <c r="CG40" s="383">
        <f t="shared" si="12"/>
        <v>27.290000000000873</v>
      </c>
      <c r="CH40" s="383">
        <f>VLOOKUP($B40,'Data - CFR 202526'!$B$4:$CJ$127,85,0)</f>
        <v>1689.2900000000009</v>
      </c>
      <c r="CI40" s="383">
        <f>VLOOKUP($B40,'Data - CFR 202526'!$B$4:$CJ$127,86,0)</f>
        <v>0</v>
      </c>
      <c r="CJ40" s="383">
        <f>VLOOKUP($B40,'Data - CFR 202526'!$B$4:$CJ$127,87,0)</f>
        <v>1689.2900000000009</v>
      </c>
    </row>
    <row r="41" spans="1:88" s="220" customFormat="1" ht="13.8">
      <c r="A41" s="252" t="s">
        <v>1525</v>
      </c>
      <c r="B41" s="288">
        <v>2208</v>
      </c>
      <c r="C41" s="288" t="s">
        <v>743</v>
      </c>
      <c r="D41" s="248" t="s">
        <v>704</v>
      </c>
      <c r="E41" s="380"/>
      <c r="F41" s="383">
        <v>1090201.2906170799</v>
      </c>
      <c r="G41" s="383">
        <v>0</v>
      </c>
      <c r="H41" s="383">
        <v>12000</v>
      </c>
      <c r="I41" s="383">
        <v>0</v>
      </c>
      <c r="J41" s="383">
        <v>55800</v>
      </c>
      <c r="K41" s="383">
        <v>43660</v>
      </c>
      <c r="L41" s="383">
        <v>0</v>
      </c>
      <c r="M41" s="383">
        <v>11000</v>
      </c>
      <c r="N41" s="383">
        <v>28000</v>
      </c>
      <c r="O41" s="383">
        <v>21000</v>
      </c>
      <c r="P41" s="383">
        <v>0</v>
      </c>
      <c r="Q41" s="383">
        <v>0</v>
      </c>
      <c r="R41" s="383">
        <v>11400</v>
      </c>
      <c r="S41" s="383">
        <v>10000</v>
      </c>
      <c r="T41" s="383">
        <v>0</v>
      </c>
      <c r="U41" s="383">
        <v>0</v>
      </c>
      <c r="V41" s="383">
        <v>0</v>
      </c>
      <c r="W41" s="383">
        <v>0</v>
      </c>
      <c r="X41" s="383">
        <v>0</v>
      </c>
      <c r="Y41" s="383">
        <f t="shared" si="0"/>
        <v>1283061.2906170799</v>
      </c>
      <c r="Z41" s="383">
        <v>666989.83970998717</v>
      </c>
      <c r="AA41" s="383">
        <v>4000</v>
      </c>
      <c r="AB41" s="383">
        <v>152987.08390334688</v>
      </c>
      <c r="AC41" s="383">
        <v>36845.179219999998</v>
      </c>
      <c r="AD41" s="383">
        <v>89846.821484891887</v>
      </c>
      <c r="AE41" s="383">
        <v>0</v>
      </c>
      <c r="AF41" s="383">
        <v>28676.948427331212</v>
      </c>
      <c r="AG41" s="383">
        <v>3100</v>
      </c>
      <c r="AH41" s="383">
        <v>2750</v>
      </c>
      <c r="AI41" s="383">
        <v>4700</v>
      </c>
      <c r="AJ41" s="383">
        <v>0</v>
      </c>
      <c r="AK41" s="383">
        <v>18000</v>
      </c>
      <c r="AL41" s="383">
        <v>6500</v>
      </c>
      <c r="AM41" s="383">
        <v>33680</v>
      </c>
      <c r="AN41" s="383">
        <v>7500</v>
      </c>
      <c r="AO41" s="383">
        <v>27000</v>
      </c>
      <c r="AP41" s="383">
        <v>25970</v>
      </c>
      <c r="AQ41" s="383">
        <v>2000</v>
      </c>
      <c r="AR41" s="383">
        <v>23910</v>
      </c>
      <c r="AS41" s="383">
        <v>35600</v>
      </c>
      <c r="AT41" s="383">
        <v>0</v>
      </c>
      <c r="AU41" s="383">
        <v>7140</v>
      </c>
      <c r="AV41" s="383">
        <v>6005.52</v>
      </c>
      <c r="AW41" s="383">
        <v>0</v>
      </c>
      <c r="AX41" s="383">
        <v>81600</v>
      </c>
      <c r="AY41" s="383">
        <v>5000</v>
      </c>
      <c r="AZ41" s="383">
        <v>16100</v>
      </c>
      <c r="BA41" s="383">
        <v>19761.2</v>
      </c>
      <c r="BB41" s="383">
        <v>0</v>
      </c>
      <c r="BC41" s="383">
        <v>0</v>
      </c>
      <c r="BD41" s="383">
        <v>5913.85</v>
      </c>
      <c r="BE41" s="383">
        <f t="shared" si="1"/>
        <v>1311576.4427455573</v>
      </c>
      <c r="BF41" s="383">
        <f t="shared" si="2"/>
        <v>-28515.152128477348</v>
      </c>
      <c r="BG41" s="383">
        <v>36587.359999999768</v>
      </c>
      <c r="BH41" s="383">
        <f t="shared" si="3"/>
        <v>8072.2078715224197</v>
      </c>
      <c r="BI41" s="383">
        <v>110000</v>
      </c>
      <c r="BJ41" s="383">
        <v>10000</v>
      </c>
      <c r="BK41" s="383">
        <f t="shared" si="4"/>
        <v>120000</v>
      </c>
      <c r="BL41" s="383">
        <v>106400.07396674936</v>
      </c>
      <c r="BM41" s="383">
        <v>43930</v>
      </c>
      <c r="BN41" s="383">
        <f t="shared" si="5"/>
        <v>150330.07396674936</v>
      </c>
      <c r="BO41" s="383">
        <f t="shared" si="6"/>
        <v>-30330.073966749362</v>
      </c>
      <c r="BP41" s="383">
        <v>67861.50999999998</v>
      </c>
      <c r="BQ41" s="383">
        <f t="shared" si="7"/>
        <v>37531.436033250618</v>
      </c>
      <c r="BR41" s="383">
        <v>0</v>
      </c>
      <c r="BS41" s="383">
        <v>8072.2078715224197</v>
      </c>
      <c r="BT41" s="383">
        <v>37531.436033250618</v>
      </c>
      <c r="BU41" s="383">
        <f t="shared" si="8"/>
        <v>45603.643904773038</v>
      </c>
      <c r="BV41" s="383">
        <v>6416.91</v>
      </c>
      <c r="BW41" s="383">
        <v>0</v>
      </c>
      <c r="BX41" s="383">
        <v>0</v>
      </c>
      <c r="BY41" s="383">
        <f t="shared" si="9"/>
        <v>6416.91</v>
      </c>
      <c r="BZ41" s="383">
        <v>0</v>
      </c>
      <c r="CA41" s="383">
        <v>8000</v>
      </c>
      <c r="CB41" s="383">
        <v>0</v>
      </c>
      <c r="CC41" s="383">
        <v>6416.91</v>
      </c>
      <c r="CD41" s="383">
        <f t="shared" si="10"/>
        <v>14416.91</v>
      </c>
      <c r="CE41" s="383">
        <f t="shared" si="11"/>
        <v>-8000</v>
      </c>
      <c r="CF41" s="383">
        <v>18118.259999999998</v>
      </c>
      <c r="CG41" s="383">
        <f t="shared" si="12"/>
        <v>10118.259999999998</v>
      </c>
      <c r="CH41" s="383">
        <f>VLOOKUP($B41,'Data - CFR 202526'!$B$4:$CJ$127,85,0)</f>
        <v>17583.829999999998</v>
      </c>
      <c r="CI41" s="383">
        <f>VLOOKUP($B41,'Data - CFR 202526'!$B$4:$CJ$127,86,0)</f>
        <v>534.42999999999995</v>
      </c>
      <c r="CJ41" s="383">
        <f>VLOOKUP($B41,'Data - CFR 202526'!$B$4:$CJ$127,87,0)</f>
        <v>18118.259999999998</v>
      </c>
    </row>
    <row r="42" spans="1:88" s="220" customFormat="1" ht="13.8">
      <c r="A42" s="252" t="s">
        <v>1525</v>
      </c>
      <c r="B42" s="288">
        <v>3065</v>
      </c>
      <c r="C42" s="288" t="s">
        <v>744</v>
      </c>
      <c r="D42" s="248" t="s">
        <v>704</v>
      </c>
      <c r="E42" s="380"/>
      <c r="F42" s="383">
        <v>573287</v>
      </c>
      <c r="G42" s="383">
        <v>0</v>
      </c>
      <c r="H42" s="383">
        <v>62268</v>
      </c>
      <c r="I42" s="383">
        <v>0</v>
      </c>
      <c r="J42" s="383">
        <v>20150</v>
      </c>
      <c r="K42" s="383">
        <v>30788</v>
      </c>
      <c r="L42" s="383">
        <v>0</v>
      </c>
      <c r="M42" s="383">
        <v>2700</v>
      </c>
      <c r="N42" s="383">
        <v>18300</v>
      </c>
      <c r="O42" s="383">
        <v>7500</v>
      </c>
      <c r="P42" s="383">
        <v>0</v>
      </c>
      <c r="Q42" s="383">
        <v>0</v>
      </c>
      <c r="R42" s="383">
        <v>1350</v>
      </c>
      <c r="S42" s="383">
        <v>1200</v>
      </c>
      <c r="T42" s="383">
        <v>0</v>
      </c>
      <c r="U42" s="383">
        <v>0</v>
      </c>
      <c r="V42" s="383">
        <v>0</v>
      </c>
      <c r="W42" s="383">
        <v>0</v>
      </c>
      <c r="X42" s="383">
        <v>0</v>
      </c>
      <c r="Y42" s="383">
        <f t="shared" si="0"/>
        <v>717543</v>
      </c>
      <c r="Z42" s="383">
        <v>388805.9</v>
      </c>
      <c r="AA42" s="383">
        <v>0</v>
      </c>
      <c r="AB42" s="383">
        <v>134095.93</v>
      </c>
      <c r="AC42" s="383">
        <v>0</v>
      </c>
      <c r="AD42" s="383">
        <v>24817.83</v>
      </c>
      <c r="AE42" s="383">
        <v>23146.09</v>
      </c>
      <c r="AF42" s="383">
        <v>35940.99</v>
      </c>
      <c r="AG42" s="383">
        <v>2405</v>
      </c>
      <c r="AH42" s="383">
        <v>500</v>
      </c>
      <c r="AI42" s="383">
        <v>1204</v>
      </c>
      <c r="AJ42" s="383">
        <v>0</v>
      </c>
      <c r="AK42" s="383">
        <v>3000</v>
      </c>
      <c r="AL42" s="383">
        <v>3900</v>
      </c>
      <c r="AM42" s="383">
        <v>17465.37</v>
      </c>
      <c r="AN42" s="383">
        <v>3800</v>
      </c>
      <c r="AO42" s="383">
        <v>10200</v>
      </c>
      <c r="AP42" s="383">
        <v>14144</v>
      </c>
      <c r="AQ42" s="383">
        <v>1295.8</v>
      </c>
      <c r="AR42" s="383">
        <v>7171</v>
      </c>
      <c r="AS42" s="383">
        <v>17872.98</v>
      </c>
      <c r="AT42" s="383">
        <v>0</v>
      </c>
      <c r="AU42" s="383">
        <v>4757</v>
      </c>
      <c r="AV42" s="383">
        <v>3110</v>
      </c>
      <c r="AW42" s="383">
        <v>450</v>
      </c>
      <c r="AX42" s="383">
        <v>11250</v>
      </c>
      <c r="AY42" s="383">
        <v>0</v>
      </c>
      <c r="AZ42" s="383">
        <v>1870</v>
      </c>
      <c r="BA42" s="383">
        <v>6719.3</v>
      </c>
      <c r="BB42" s="383">
        <v>0</v>
      </c>
      <c r="BC42" s="383">
        <v>0</v>
      </c>
      <c r="BD42" s="383">
        <v>0</v>
      </c>
      <c r="BE42" s="383">
        <f t="shared" si="1"/>
        <v>717921.19000000006</v>
      </c>
      <c r="BF42" s="383">
        <f t="shared" si="2"/>
        <v>-378.19000000006054</v>
      </c>
      <c r="BG42" s="383">
        <v>411.10999999993055</v>
      </c>
      <c r="BH42" s="383">
        <f t="shared" si="3"/>
        <v>32.919999999870015</v>
      </c>
      <c r="BI42" s="383">
        <v>0</v>
      </c>
      <c r="BJ42" s="383">
        <v>0</v>
      </c>
      <c r="BK42" s="383">
        <f t="shared" si="4"/>
        <v>0</v>
      </c>
      <c r="BL42" s="383">
        <v>0</v>
      </c>
      <c r="BM42" s="383">
        <v>0</v>
      </c>
      <c r="BN42" s="383">
        <f t="shared" si="5"/>
        <v>0</v>
      </c>
      <c r="BO42" s="383">
        <f t="shared" si="6"/>
        <v>0</v>
      </c>
      <c r="BP42" s="383">
        <v>0</v>
      </c>
      <c r="BQ42" s="383">
        <f t="shared" si="7"/>
        <v>0</v>
      </c>
      <c r="BR42" s="383">
        <v>0</v>
      </c>
      <c r="BS42" s="383">
        <v>32.919999999870015</v>
      </c>
      <c r="BT42" s="383">
        <v>0</v>
      </c>
      <c r="BU42" s="383">
        <f t="shared" si="8"/>
        <v>32.919999999870015</v>
      </c>
      <c r="BV42" s="383">
        <v>4945</v>
      </c>
      <c r="BW42" s="383">
        <v>0</v>
      </c>
      <c r="BX42" s="383">
        <v>0</v>
      </c>
      <c r="BY42" s="383">
        <f t="shared" si="9"/>
        <v>4945</v>
      </c>
      <c r="BZ42" s="383">
        <v>0</v>
      </c>
      <c r="CA42" s="383">
        <v>4945</v>
      </c>
      <c r="CB42" s="383">
        <v>0</v>
      </c>
      <c r="CC42" s="383">
        <v>0</v>
      </c>
      <c r="CD42" s="383">
        <f t="shared" si="10"/>
        <v>4945</v>
      </c>
      <c r="CE42" s="383">
        <f t="shared" si="11"/>
        <v>0</v>
      </c>
      <c r="CF42" s="383">
        <v>4.0023540037736893E-13</v>
      </c>
      <c r="CG42" s="383">
        <f t="shared" si="12"/>
        <v>4.0023540037736893E-13</v>
      </c>
      <c r="CH42" s="383">
        <f>VLOOKUP($B42,'Data - CFR 202526'!$B$4:$CJ$127,85,0)</f>
        <v>4.0023540037736893E-13</v>
      </c>
      <c r="CI42" s="383">
        <f>VLOOKUP($B42,'Data - CFR 202526'!$B$4:$CJ$127,86,0)</f>
        <v>0</v>
      </c>
      <c r="CJ42" s="383">
        <f>VLOOKUP($B42,'Data - CFR 202526'!$B$4:$CJ$127,87,0)</f>
        <v>4.0023540037736893E-13</v>
      </c>
    </row>
    <row r="43" spans="1:88" s="220" customFormat="1" ht="13.8">
      <c r="A43" s="252" t="s">
        <v>1525</v>
      </c>
      <c r="B43" s="288">
        <v>3014</v>
      </c>
      <c r="C43" s="288" t="s">
        <v>745</v>
      </c>
      <c r="D43" s="248" t="s">
        <v>704</v>
      </c>
      <c r="E43" s="380"/>
      <c r="F43" s="383">
        <v>2128317.9999996978</v>
      </c>
      <c r="G43" s="383">
        <v>0</v>
      </c>
      <c r="H43" s="383">
        <v>115375</v>
      </c>
      <c r="I43" s="383">
        <v>0</v>
      </c>
      <c r="J43" s="383">
        <v>89690</v>
      </c>
      <c r="K43" s="383">
        <v>81005</v>
      </c>
      <c r="L43" s="383">
        <v>0</v>
      </c>
      <c r="M43" s="383">
        <v>1000</v>
      </c>
      <c r="N43" s="383">
        <v>102000</v>
      </c>
      <c r="O43" s="383">
        <v>45202.5</v>
      </c>
      <c r="P43" s="383">
        <v>3500</v>
      </c>
      <c r="Q43" s="383">
        <v>0</v>
      </c>
      <c r="R43" s="383">
        <v>14000</v>
      </c>
      <c r="S43" s="383">
        <v>0</v>
      </c>
      <c r="T43" s="383">
        <v>0</v>
      </c>
      <c r="U43" s="383">
        <v>0</v>
      </c>
      <c r="V43" s="383">
        <v>0</v>
      </c>
      <c r="W43" s="383">
        <v>0</v>
      </c>
      <c r="X43" s="383">
        <v>0</v>
      </c>
      <c r="Y43" s="383">
        <f t="shared" si="0"/>
        <v>2580090.4999996978</v>
      </c>
      <c r="Z43" s="383">
        <v>1445169.1414388204</v>
      </c>
      <c r="AA43" s="383">
        <v>10000</v>
      </c>
      <c r="AB43" s="383">
        <v>522247.47818259458</v>
      </c>
      <c r="AC43" s="383">
        <v>27611.943064756757</v>
      </c>
      <c r="AD43" s="383">
        <v>103345.21196305486</v>
      </c>
      <c r="AE43" s="383">
        <v>0</v>
      </c>
      <c r="AF43" s="383">
        <v>79794.862498155693</v>
      </c>
      <c r="AG43" s="383">
        <v>9500</v>
      </c>
      <c r="AH43" s="383">
        <v>7000</v>
      </c>
      <c r="AI43" s="383">
        <v>10475.15</v>
      </c>
      <c r="AJ43" s="383">
        <v>0</v>
      </c>
      <c r="AK43" s="383">
        <v>11102.5</v>
      </c>
      <c r="AL43" s="383">
        <v>6000</v>
      </c>
      <c r="AM43" s="383">
        <v>61945.75</v>
      </c>
      <c r="AN43" s="383">
        <v>6500</v>
      </c>
      <c r="AO43" s="383">
        <v>44000</v>
      </c>
      <c r="AP43" s="383">
        <v>0</v>
      </c>
      <c r="AQ43" s="383">
        <v>23815.91</v>
      </c>
      <c r="AR43" s="383">
        <v>20036</v>
      </c>
      <c r="AS43" s="383">
        <v>40358.880000000005</v>
      </c>
      <c r="AT43" s="383">
        <v>0</v>
      </c>
      <c r="AU43" s="383">
        <v>16186.25</v>
      </c>
      <c r="AV43" s="383">
        <v>10869.84</v>
      </c>
      <c r="AW43" s="383">
        <v>0</v>
      </c>
      <c r="AX43" s="383">
        <v>132557.5</v>
      </c>
      <c r="AY43" s="383">
        <v>0</v>
      </c>
      <c r="AZ43" s="383">
        <v>0</v>
      </c>
      <c r="BA43" s="383">
        <v>15699.68</v>
      </c>
      <c r="BB43" s="383">
        <v>0</v>
      </c>
      <c r="BC43" s="383">
        <v>0</v>
      </c>
      <c r="BD43" s="383">
        <v>0</v>
      </c>
      <c r="BE43" s="383">
        <f t="shared" si="1"/>
        <v>2604216.0971473823</v>
      </c>
      <c r="BF43" s="383">
        <f t="shared" si="2"/>
        <v>-24125.597147684544</v>
      </c>
      <c r="BG43" s="383">
        <v>67406.709999999264</v>
      </c>
      <c r="BH43" s="383">
        <f t="shared" si="3"/>
        <v>43281.11285231472</v>
      </c>
      <c r="BI43" s="383">
        <v>0</v>
      </c>
      <c r="BJ43" s="383">
        <v>0</v>
      </c>
      <c r="BK43" s="383">
        <f t="shared" si="4"/>
        <v>0</v>
      </c>
      <c r="BL43" s="383">
        <v>0</v>
      </c>
      <c r="BM43" s="383">
        <v>0</v>
      </c>
      <c r="BN43" s="383">
        <f t="shared" si="5"/>
        <v>0</v>
      </c>
      <c r="BO43" s="383">
        <f t="shared" si="6"/>
        <v>0</v>
      </c>
      <c r="BP43" s="383">
        <v>0</v>
      </c>
      <c r="BQ43" s="383">
        <f t="shared" si="7"/>
        <v>0</v>
      </c>
      <c r="BR43" s="383">
        <v>0</v>
      </c>
      <c r="BS43" s="383">
        <v>43281.11285231472</v>
      </c>
      <c r="BT43" s="383">
        <v>0</v>
      </c>
      <c r="BU43" s="383">
        <f t="shared" si="8"/>
        <v>43281.11285231472</v>
      </c>
      <c r="BV43" s="383">
        <v>8658</v>
      </c>
      <c r="BW43" s="383">
        <v>0</v>
      </c>
      <c r="BX43" s="383">
        <v>0</v>
      </c>
      <c r="BY43" s="383">
        <f t="shared" si="9"/>
        <v>8658</v>
      </c>
      <c r="BZ43" s="383">
        <v>0</v>
      </c>
      <c r="CA43" s="383">
        <v>4658</v>
      </c>
      <c r="CB43" s="383">
        <v>0</v>
      </c>
      <c r="CC43" s="383">
        <v>4000</v>
      </c>
      <c r="CD43" s="383">
        <f t="shared" si="10"/>
        <v>8658</v>
      </c>
      <c r="CE43" s="383">
        <f t="shared" si="11"/>
        <v>0</v>
      </c>
      <c r="CF43" s="383">
        <v>0</v>
      </c>
      <c r="CG43" s="383">
        <f t="shared" si="12"/>
        <v>0</v>
      </c>
      <c r="CH43" s="383">
        <f>VLOOKUP($B43,'Data - CFR 202526'!$B$4:$CJ$127,85,0)</f>
        <v>0</v>
      </c>
      <c r="CI43" s="383">
        <f>VLOOKUP($B43,'Data - CFR 202526'!$B$4:$CJ$127,86,0)</f>
        <v>0</v>
      </c>
      <c r="CJ43" s="383">
        <f>VLOOKUP($B43,'Data - CFR 202526'!$B$4:$CJ$127,87,0)</f>
        <v>0</v>
      </c>
    </row>
    <row r="44" spans="1:88" s="220" customFormat="1" ht="13.8">
      <c r="A44" s="252" t="s">
        <v>1525</v>
      </c>
      <c r="B44" s="288">
        <v>2321</v>
      </c>
      <c r="C44" s="288" t="s">
        <v>746</v>
      </c>
      <c r="D44" s="248" t="s">
        <v>704</v>
      </c>
      <c r="E44" s="380"/>
      <c r="F44" s="383">
        <v>2433416.578033336</v>
      </c>
      <c r="G44" s="383">
        <v>0</v>
      </c>
      <c r="H44" s="383">
        <v>280062</v>
      </c>
      <c r="I44" s="383">
        <v>0</v>
      </c>
      <c r="J44" s="383">
        <v>137120</v>
      </c>
      <c r="K44" s="383">
        <v>90018</v>
      </c>
      <c r="L44" s="383">
        <v>0</v>
      </c>
      <c r="M44" s="383">
        <v>0</v>
      </c>
      <c r="N44" s="383">
        <v>102000</v>
      </c>
      <c r="O44" s="383">
        <v>30000</v>
      </c>
      <c r="P44" s="383">
        <v>2250</v>
      </c>
      <c r="Q44" s="383">
        <v>0</v>
      </c>
      <c r="R44" s="383">
        <v>1300</v>
      </c>
      <c r="S44" s="383">
        <v>4895</v>
      </c>
      <c r="T44" s="383">
        <v>0</v>
      </c>
      <c r="U44" s="383">
        <v>0</v>
      </c>
      <c r="V44" s="383">
        <v>0</v>
      </c>
      <c r="W44" s="383">
        <v>0</v>
      </c>
      <c r="X44" s="383">
        <v>0</v>
      </c>
      <c r="Y44" s="383">
        <f t="shared" si="0"/>
        <v>3081061.578033336</v>
      </c>
      <c r="Z44" s="383">
        <v>1283358.4770138818</v>
      </c>
      <c r="AA44" s="383">
        <v>40000</v>
      </c>
      <c r="AB44" s="383">
        <v>741115.98197361978</v>
      </c>
      <c r="AC44" s="383">
        <v>39663.96299</v>
      </c>
      <c r="AD44" s="383">
        <v>166667.86914958557</v>
      </c>
      <c r="AE44" s="383">
        <v>91894.403908097651</v>
      </c>
      <c r="AF44" s="383">
        <v>48166.994570962583</v>
      </c>
      <c r="AG44" s="383">
        <v>12450</v>
      </c>
      <c r="AH44" s="383">
        <v>15000</v>
      </c>
      <c r="AI44" s="383">
        <v>0</v>
      </c>
      <c r="AJ44" s="383">
        <v>7720</v>
      </c>
      <c r="AK44" s="383">
        <v>20000</v>
      </c>
      <c r="AL44" s="383">
        <v>10000</v>
      </c>
      <c r="AM44" s="383">
        <v>60750.01</v>
      </c>
      <c r="AN44" s="383">
        <v>12600</v>
      </c>
      <c r="AO44" s="383">
        <v>56700</v>
      </c>
      <c r="AP44" s="383">
        <v>61740</v>
      </c>
      <c r="AQ44" s="383">
        <v>15920</v>
      </c>
      <c r="AR44" s="383">
        <v>111030</v>
      </c>
      <c r="AS44" s="383">
        <v>63970</v>
      </c>
      <c r="AT44" s="383">
        <v>0</v>
      </c>
      <c r="AU44" s="383">
        <v>14334</v>
      </c>
      <c r="AV44" s="383">
        <v>14000</v>
      </c>
      <c r="AW44" s="383">
        <v>0</v>
      </c>
      <c r="AX44" s="383">
        <v>52500</v>
      </c>
      <c r="AY44" s="383">
        <v>80000</v>
      </c>
      <c r="AZ44" s="383">
        <v>1800</v>
      </c>
      <c r="BA44" s="383">
        <v>14578</v>
      </c>
      <c r="BB44" s="383">
        <v>0</v>
      </c>
      <c r="BC44" s="383">
        <v>0</v>
      </c>
      <c r="BD44" s="383">
        <v>45000</v>
      </c>
      <c r="BE44" s="383">
        <f t="shared" si="1"/>
        <v>3080959.6996061471</v>
      </c>
      <c r="BF44" s="383">
        <f t="shared" si="2"/>
        <v>101.87842718884349</v>
      </c>
      <c r="BG44" s="383">
        <v>309266.3399999995</v>
      </c>
      <c r="BH44" s="383">
        <f t="shared" si="3"/>
        <v>309368.21842718835</v>
      </c>
      <c r="BI44" s="383">
        <v>7624.5</v>
      </c>
      <c r="BJ44" s="383">
        <v>24000</v>
      </c>
      <c r="BK44" s="383">
        <f t="shared" si="4"/>
        <v>31624.5</v>
      </c>
      <c r="BL44" s="383">
        <v>4096</v>
      </c>
      <c r="BM44" s="383">
        <v>30174.47</v>
      </c>
      <c r="BN44" s="383">
        <f t="shared" si="5"/>
        <v>34270.47</v>
      </c>
      <c r="BO44" s="383">
        <f t="shared" si="6"/>
        <v>-2645.9700000000012</v>
      </c>
      <c r="BP44" s="383">
        <v>4709.8900000000031</v>
      </c>
      <c r="BQ44" s="383">
        <f t="shared" si="7"/>
        <v>2063.9200000000019</v>
      </c>
      <c r="BR44" s="383">
        <v>0</v>
      </c>
      <c r="BS44" s="383">
        <v>309368.21842718835</v>
      </c>
      <c r="BT44" s="383">
        <v>2063.9200000000019</v>
      </c>
      <c r="BU44" s="383">
        <f t="shared" si="8"/>
        <v>311432.13842718833</v>
      </c>
      <c r="BV44" s="383">
        <v>9040</v>
      </c>
      <c r="BW44" s="383">
        <v>0</v>
      </c>
      <c r="BX44" s="383">
        <v>0</v>
      </c>
      <c r="BY44" s="383">
        <f t="shared" si="9"/>
        <v>9040</v>
      </c>
      <c r="BZ44" s="383">
        <v>0</v>
      </c>
      <c r="CA44" s="383">
        <v>9040</v>
      </c>
      <c r="CB44" s="383">
        <v>0</v>
      </c>
      <c r="CC44" s="383">
        <v>0</v>
      </c>
      <c r="CD44" s="383">
        <f t="shared" si="10"/>
        <v>9040</v>
      </c>
      <c r="CE44" s="383">
        <f t="shared" si="11"/>
        <v>0</v>
      </c>
      <c r="CF44" s="383">
        <v>1007.4699999999993</v>
      </c>
      <c r="CG44" s="383">
        <f t="shared" si="12"/>
        <v>1007.4699999999993</v>
      </c>
      <c r="CH44" s="383">
        <f>VLOOKUP($B44,'Data - CFR 202526'!$B$4:$CJ$127,85,0)</f>
        <v>1007.4699999999993</v>
      </c>
      <c r="CI44" s="383">
        <f>VLOOKUP($B44,'Data - CFR 202526'!$B$4:$CJ$127,86,0)</f>
        <v>0</v>
      </c>
      <c r="CJ44" s="383">
        <f>VLOOKUP($B44,'Data - CFR 202526'!$B$4:$CJ$127,87,0)</f>
        <v>1007.4699999999993</v>
      </c>
    </row>
    <row r="45" spans="1:88" s="220" customFormat="1" ht="13.8">
      <c r="A45" s="252" t="s">
        <v>1525</v>
      </c>
      <c r="B45" s="288">
        <v>2011</v>
      </c>
      <c r="C45" s="288" t="s">
        <v>747</v>
      </c>
      <c r="D45" s="248" t="s">
        <v>704</v>
      </c>
      <c r="E45" s="380"/>
      <c r="F45" s="383">
        <v>530875.86430522497</v>
      </c>
      <c r="G45" s="383">
        <v>0</v>
      </c>
      <c r="H45" s="383">
        <v>0</v>
      </c>
      <c r="I45" s="383">
        <v>0</v>
      </c>
      <c r="J45" s="383">
        <v>15500</v>
      </c>
      <c r="K45" s="383">
        <v>15442</v>
      </c>
      <c r="L45" s="383">
        <v>0</v>
      </c>
      <c r="M45" s="383">
        <v>5000</v>
      </c>
      <c r="N45" s="383">
        <v>0</v>
      </c>
      <c r="O45" s="383">
        <v>8150</v>
      </c>
      <c r="P45" s="383">
        <v>0</v>
      </c>
      <c r="Q45" s="383">
        <v>0</v>
      </c>
      <c r="R45" s="383">
        <v>0</v>
      </c>
      <c r="S45" s="383">
        <v>0</v>
      </c>
      <c r="T45" s="383">
        <v>0</v>
      </c>
      <c r="U45" s="383">
        <v>0</v>
      </c>
      <c r="V45" s="383">
        <v>0</v>
      </c>
      <c r="W45" s="383">
        <v>0</v>
      </c>
      <c r="X45" s="383">
        <v>0</v>
      </c>
      <c r="Y45" s="383">
        <f t="shared" si="0"/>
        <v>574967.86430522497</v>
      </c>
      <c r="Z45" s="383">
        <v>212596.3230007448</v>
      </c>
      <c r="AA45" s="383">
        <v>0</v>
      </c>
      <c r="AB45" s="383">
        <v>59897.870228296444</v>
      </c>
      <c r="AC45" s="383">
        <v>0</v>
      </c>
      <c r="AD45" s="383">
        <v>29368.745512156031</v>
      </c>
      <c r="AE45" s="383">
        <v>0</v>
      </c>
      <c r="AF45" s="383">
        <v>7214.8356322938325</v>
      </c>
      <c r="AG45" s="383">
        <v>11070</v>
      </c>
      <c r="AH45" s="383">
        <v>3000</v>
      </c>
      <c r="AI45" s="383">
        <v>1875</v>
      </c>
      <c r="AJ45" s="383">
        <v>355</v>
      </c>
      <c r="AK45" s="383">
        <v>5000</v>
      </c>
      <c r="AL45" s="383">
        <v>896</v>
      </c>
      <c r="AM45" s="383">
        <v>15500</v>
      </c>
      <c r="AN45" s="383">
        <v>1350</v>
      </c>
      <c r="AO45" s="383">
        <v>21000</v>
      </c>
      <c r="AP45" s="383">
        <v>0</v>
      </c>
      <c r="AQ45" s="383">
        <v>12406</v>
      </c>
      <c r="AR45" s="383">
        <v>15441</v>
      </c>
      <c r="AS45" s="383">
        <v>21350</v>
      </c>
      <c r="AT45" s="383">
        <v>0</v>
      </c>
      <c r="AU45" s="383">
        <v>4570</v>
      </c>
      <c r="AV45" s="383">
        <v>3135</v>
      </c>
      <c r="AW45" s="383">
        <v>1000</v>
      </c>
      <c r="AX45" s="383">
        <v>21166</v>
      </c>
      <c r="AY45" s="383">
        <v>21889</v>
      </c>
      <c r="AZ45" s="383">
        <v>14280</v>
      </c>
      <c r="BA45" s="383">
        <v>118115</v>
      </c>
      <c r="BB45" s="383">
        <v>0</v>
      </c>
      <c r="BC45" s="383">
        <v>0</v>
      </c>
      <c r="BD45" s="383">
        <v>0</v>
      </c>
      <c r="BE45" s="383">
        <f t="shared" si="1"/>
        <v>602475.77437349106</v>
      </c>
      <c r="BF45" s="383">
        <f t="shared" si="2"/>
        <v>-27507.910068266094</v>
      </c>
      <c r="BG45" s="383">
        <v>-62020.950000000048</v>
      </c>
      <c r="BH45" s="383">
        <f t="shared" si="3"/>
        <v>-89528.860068266134</v>
      </c>
      <c r="BI45" s="383">
        <v>0</v>
      </c>
      <c r="BJ45" s="383">
        <v>0</v>
      </c>
      <c r="BK45" s="383">
        <f t="shared" si="4"/>
        <v>0</v>
      </c>
      <c r="BL45" s="383">
        <v>0</v>
      </c>
      <c r="BM45" s="383">
        <v>0</v>
      </c>
      <c r="BN45" s="383">
        <f t="shared" si="5"/>
        <v>0</v>
      </c>
      <c r="BO45" s="383">
        <f t="shared" si="6"/>
        <v>0</v>
      </c>
      <c r="BP45" s="383">
        <v>0</v>
      </c>
      <c r="BQ45" s="383">
        <f t="shared" si="7"/>
        <v>0</v>
      </c>
      <c r="BR45" s="383">
        <v>0</v>
      </c>
      <c r="BS45" s="383">
        <v>-89528.860068266134</v>
      </c>
      <c r="BT45" s="383">
        <v>0</v>
      </c>
      <c r="BU45" s="383">
        <f t="shared" si="8"/>
        <v>-89528.860068266134</v>
      </c>
      <c r="BV45" s="383">
        <v>4800</v>
      </c>
      <c r="BW45" s="383">
        <v>0</v>
      </c>
      <c r="BX45" s="383">
        <v>0</v>
      </c>
      <c r="BY45" s="383">
        <f t="shared" si="9"/>
        <v>4800</v>
      </c>
      <c r="BZ45" s="383">
        <v>0</v>
      </c>
      <c r="CA45" s="383">
        <v>5905.72</v>
      </c>
      <c r="CB45" s="383">
        <v>0</v>
      </c>
      <c r="CC45" s="383">
        <v>10000</v>
      </c>
      <c r="CD45" s="383">
        <f t="shared" si="10"/>
        <v>15905.720000000001</v>
      </c>
      <c r="CE45" s="383">
        <f t="shared" si="11"/>
        <v>-11105.720000000001</v>
      </c>
      <c r="CF45" s="383">
        <v>11105.720000000001</v>
      </c>
      <c r="CG45" s="383">
        <f t="shared" si="12"/>
        <v>0</v>
      </c>
      <c r="CH45" s="383">
        <f>VLOOKUP($B45,'Data - CFR 202526'!$B$4:$CJ$127,85,0)</f>
        <v>11105.720000000001</v>
      </c>
      <c r="CI45" s="383">
        <f>VLOOKUP($B45,'Data - CFR 202526'!$B$4:$CJ$127,86,0)</f>
        <v>0</v>
      </c>
      <c r="CJ45" s="383">
        <f>VLOOKUP($B45,'Data - CFR 202526'!$B$4:$CJ$127,87,0)</f>
        <v>11105.720000000001</v>
      </c>
    </row>
    <row r="46" spans="1:88" s="220" customFormat="1" ht="13.8">
      <c r="A46" s="252" t="s">
        <v>1525</v>
      </c>
      <c r="B46" s="288">
        <v>2012</v>
      </c>
      <c r="C46" s="288" t="s">
        <v>748</v>
      </c>
      <c r="D46" s="248" t="s">
        <v>704</v>
      </c>
      <c r="E46" s="380"/>
      <c r="F46" s="383">
        <v>654440.23982195999</v>
      </c>
      <c r="G46" s="383">
        <v>0</v>
      </c>
      <c r="H46" s="383">
        <v>38273</v>
      </c>
      <c r="I46" s="383">
        <v>0</v>
      </c>
      <c r="J46" s="383">
        <v>34100</v>
      </c>
      <c r="K46" s="383">
        <v>22103</v>
      </c>
      <c r="L46" s="383">
        <v>0</v>
      </c>
      <c r="M46" s="383">
        <v>0</v>
      </c>
      <c r="N46" s="383">
        <v>95875</v>
      </c>
      <c r="O46" s="383">
        <v>10600</v>
      </c>
      <c r="P46" s="383">
        <v>0</v>
      </c>
      <c r="Q46" s="383">
        <v>0</v>
      </c>
      <c r="R46" s="383">
        <v>0</v>
      </c>
      <c r="S46" s="383">
        <v>0</v>
      </c>
      <c r="T46" s="383">
        <v>0</v>
      </c>
      <c r="U46" s="383">
        <v>0</v>
      </c>
      <c r="V46" s="383">
        <v>0</v>
      </c>
      <c r="W46" s="383">
        <v>0</v>
      </c>
      <c r="X46" s="383">
        <v>0</v>
      </c>
      <c r="Y46" s="383">
        <f t="shared" si="0"/>
        <v>855391.23982195999</v>
      </c>
      <c r="Z46" s="383">
        <v>440748.48423139786</v>
      </c>
      <c r="AA46" s="383">
        <v>6000</v>
      </c>
      <c r="AB46" s="383">
        <v>163202.87061709908</v>
      </c>
      <c r="AC46" s="383">
        <v>0</v>
      </c>
      <c r="AD46" s="383">
        <v>49717.44871985256</v>
      </c>
      <c r="AE46" s="383">
        <v>0</v>
      </c>
      <c r="AF46" s="383">
        <v>4571.2737865384615</v>
      </c>
      <c r="AG46" s="383">
        <v>2450</v>
      </c>
      <c r="AH46" s="383">
        <v>3000</v>
      </c>
      <c r="AI46" s="383">
        <v>2054</v>
      </c>
      <c r="AJ46" s="383">
        <v>638</v>
      </c>
      <c r="AK46" s="383">
        <v>6000</v>
      </c>
      <c r="AL46" s="383">
        <v>2700</v>
      </c>
      <c r="AM46" s="383">
        <v>19100</v>
      </c>
      <c r="AN46" s="383">
        <v>1700</v>
      </c>
      <c r="AO46" s="383">
        <v>22000</v>
      </c>
      <c r="AP46" s="383">
        <v>18674.5</v>
      </c>
      <c r="AQ46" s="383">
        <v>26958</v>
      </c>
      <c r="AR46" s="383">
        <v>27852.36</v>
      </c>
      <c r="AS46" s="383">
        <v>25516</v>
      </c>
      <c r="AT46" s="383">
        <v>0</v>
      </c>
      <c r="AU46" s="383">
        <v>6007</v>
      </c>
      <c r="AV46" s="383">
        <v>2360</v>
      </c>
      <c r="AW46" s="383">
        <v>0</v>
      </c>
      <c r="AX46" s="383">
        <v>30694</v>
      </c>
      <c r="AY46" s="383">
        <v>1500</v>
      </c>
      <c r="AZ46" s="383">
        <v>25834</v>
      </c>
      <c r="BA46" s="383">
        <v>24288</v>
      </c>
      <c r="BB46" s="383">
        <v>0</v>
      </c>
      <c r="BC46" s="383">
        <v>0</v>
      </c>
      <c r="BD46" s="383">
        <v>0</v>
      </c>
      <c r="BE46" s="383">
        <f t="shared" si="1"/>
        <v>913565.93735488807</v>
      </c>
      <c r="BF46" s="383">
        <f t="shared" si="2"/>
        <v>-58174.697532928083</v>
      </c>
      <c r="BG46" s="383">
        <v>196415.79000000015</v>
      </c>
      <c r="BH46" s="383">
        <f t="shared" si="3"/>
        <v>138241.09246707207</v>
      </c>
      <c r="BI46" s="383">
        <v>0</v>
      </c>
      <c r="BJ46" s="383">
        <v>0</v>
      </c>
      <c r="BK46" s="383">
        <f t="shared" si="4"/>
        <v>0</v>
      </c>
      <c r="BL46" s="383">
        <v>0</v>
      </c>
      <c r="BM46" s="383">
        <v>0</v>
      </c>
      <c r="BN46" s="383">
        <f t="shared" si="5"/>
        <v>0</v>
      </c>
      <c r="BO46" s="383">
        <f t="shared" si="6"/>
        <v>0</v>
      </c>
      <c r="BP46" s="383">
        <v>0</v>
      </c>
      <c r="BQ46" s="383">
        <f t="shared" si="7"/>
        <v>0</v>
      </c>
      <c r="BR46" s="383">
        <v>0</v>
      </c>
      <c r="BS46" s="383">
        <v>138241.09246707207</v>
      </c>
      <c r="BT46" s="383">
        <v>0</v>
      </c>
      <c r="BU46" s="383">
        <f t="shared" si="8"/>
        <v>138241.09246707207</v>
      </c>
      <c r="BV46" s="383">
        <v>4800</v>
      </c>
      <c r="BW46" s="383">
        <v>0</v>
      </c>
      <c r="BX46" s="383">
        <v>0</v>
      </c>
      <c r="BY46" s="383">
        <f t="shared" si="9"/>
        <v>4800</v>
      </c>
      <c r="BZ46" s="383">
        <v>0</v>
      </c>
      <c r="CA46" s="383">
        <v>10424.59</v>
      </c>
      <c r="CB46" s="383">
        <v>0</v>
      </c>
      <c r="CC46" s="383">
        <v>0</v>
      </c>
      <c r="CD46" s="383">
        <f t="shared" si="10"/>
        <v>10424.59</v>
      </c>
      <c r="CE46" s="383">
        <f t="shared" si="11"/>
        <v>-5624.59</v>
      </c>
      <c r="CF46" s="383">
        <v>5624.59</v>
      </c>
      <c r="CG46" s="383">
        <f t="shared" si="12"/>
        <v>0</v>
      </c>
      <c r="CH46" s="383">
        <f>VLOOKUP($B46,'Data - CFR 202526'!$B$4:$CJ$127,85,0)</f>
        <v>5624.5900000000038</v>
      </c>
      <c r="CI46" s="383">
        <f>VLOOKUP($B46,'Data - CFR 202526'!$B$4:$CJ$127,86,0)</f>
        <v>0</v>
      </c>
      <c r="CJ46" s="383">
        <f>VLOOKUP($B46,'Data - CFR 202526'!$B$4:$CJ$127,87,0)</f>
        <v>5624.5900000000038</v>
      </c>
    </row>
    <row r="47" spans="1:88" s="220" customFormat="1" ht="13.8">
      <c r="A47" s="252" t="s">
        <v>1525</v>
      </c>
      <c r="B47" s="288">
        <v>2068</v>
      </c>
      <c r="C47" s="288" t="s">
        <v>749</v>
      </c>
      <c r="D47" s="248" t="s">
        <v>704</v>
      </c>
      <c r="E47" s="380"/>
      <c r="F47" s="383">
        <v>732253.44097643089</v>
      </c>
      <c r="G47" s="383">
        <v>0</v>
      </c>
      <c r="H47" s="383">
        <v>26499</v>
      </c>
      <c r="I47" s="383">
        <v>0</v>
      </c>
      <c r="J47" s="383">
        <v>69340</v>
      </c>
      <c r="K47" s="383">
        <v>26881</v>
      </c>
      <c r="L47" s="383">
        <v>0</v>
      </c>
      <c r="M47" s="383">
        <v>8690</v>
      </c>
      <c r="N47" s="383">
        <v>1900</v>
      </c>
      <c r="O47" s="383">
        <v>4200</v>
      </c>
      <c r="P47" s="383">
        <v>7000</v>
      </c>
      <c r="Q47" s="383">
        <v>0</v>
      </c>
      <c r="R47" s="383">
        <v>0</v>
      </c>
      <c r="S47" s="383">
        <v>0</v>
      </c>
      <c r="T47" s="383">
        <v>0</v>
      </c>
      <c r="U47" s="383">
        <v>0</v>
      </c>
      <c r="V47" s="383">
        <v>0</v>
      </c>
      <c r="W47" s="383">
        <v>0</v>
      </c>
      <c r="X47" s="383">
        <v>0</v>
      </c>
      <c r="Y47" s="383">
        <f t="shared" si="0"/>
        <v>876763.44097643089</v>
      </c>
      <c r="Z47" s="383">
        <v>360589.20473999996</v>
      </c>
      <c r="AA47" s="383">
        <v>500</v>
      </c>
      <c r="AB47" s="383">
        <v>188599.09985711303</v>
      </c>
      <c r="AC47" s="383">
        <v>27966.101055751664</v>
      </c>
      <c r="AD47" s="383">
        <v>42654.663915290716</v>
      </c>
      <c r="AE47" s="383">
        <v>0</v>
      </c>
      <c r="AF47" s="383">
        <v>0</v>
      </c>
      <c r="AG47" s="383">
        <v>2350</v>
      </c>
      <c r="AH47" s="383">
        <v>2500</v>
      </c>
      <c r="AI47" s="383">
        <v>2075</v>
      </c>
      <c r="AJ47" s="383">
        <v>287</v>
      </c>
      <c r="AK47" s="383">
        <v>8000</v>
      </c>
      <c r="AL47" s="383">
        <v>1500</v>
      </c>
      <c r="AM47" s="383">
        <v>2500</v>
      </c>
      <c r="AN47" s="383">
        <v>9700</v>
      </c>
      <c r="AO47" s="383">
        <v>18500</v>
      </c>
      <c r="AP47" s="383">
        <v>12818</v>
      </c>
      <c r="AQ47" s="383">
        <v>3500</v>
      </c>
      <c r="AR47" s="383">
        <v>13600</v>
      </c>
      <c r="AS47" s="383">
        <v>18758</v>
      </c>
      <c r="AT47" s="383">
        <v>0</v>
      </c>
      <c r="AU47" s="383">
        <v>8528</v>
      </c>
      <c r="AV47" s="383">
        <v>2900</v>
      </c>
      <c r="AW47" s="383">
        <v>900</v>
      </c>
      <c r="AX47" s="383">
        <v>42461</v>
      </c>
      <c r="AY47" s="383">
        <v>21000</v>
      </c>
      <c r="AZ47" s="383">
        <v>21960</v>
      </c>
      <c r="BA47" s="383">
        <v>9250</v>
      </c>
      <c r="BB47" s="383">
        <v>0</v>
      </c>
      <c r="BC47" s="383">
        <v>0</v>
      </c>
      <c r="BD47" s="383">
        <v>0</v>
      </c>
      <c r="BE47" s="383">
        <f t="shared" si="1"/>
        <v>823396.06956815545</v>
      </c>
      <c r="BF47" s="383">
        <f t="shared" si="2"/>
        <v>53367.371408275445</v>
      </c>
      <c r="BG47" s="383">
        <v>-182941.69999999972</v>
      </c>
      <c r="BH47" s="383">
        <f t="shared" si="3"/>
        <v>-129574.32859172428</v>
      </c>
      <c r="BI47" s="383">
        <v>0</v>
      </c>
      <c r="BJ47" s="383">
        <v>0</v>
      </c>
      <c r="BK47" s="383">
        <f t="shared" si="4"/>
        <v>0</v>
      </c>
      <c r="BL47" s="383">
        <v>0</v>
      </c>
      <c r="BM47" s="383">
        <v>0</v>
      </c>
      <c r="BN47" s="383">
        <f t="shared" si="5"/>
        <v>0</v>
      </c>
      <c r="BO47" s="383">
        <f t="shared" si="6"/>
        <v>0</v>
      </c>
      <c r="BP47" s="383">
        <v>0</v>
      </c>
      <c r="BQ47" s="383">
        <f t="shared" si="7"/>
        <v>0</v>
      </c>
      <c r="BR47" s="383">
        <v>0</v>
      </c>
      <c r="BS47" s="383">
        <v>-129574.32859172428</v>
      </c>
      <c r="BT47" s="383">
        <v>0</v>
      </c>
      <c r="BU47" s="383">
        <f t="shared" si="8"/>
        <v>-129574.32859172428</v>
      </c>
      <c r="BV47" s="383">
        <v>5136</v>
      </c>
      <c r="BW47" s="383">
        <v>0</v>
      </c>
      <c r="BX47" s="383">
        <v>0</v>
      </c>
      <c r="BY47" s="383">
        <f t="shared" si="9"/>
        <v>5136</v>
      </c>
      <c r="BZ47" s="383">
        <v>0</v>
      </c>
      <c r="CA47" s="383">
        <v>5136</v>
      </c>
      <c r="CB47" s="383">
        <v>0</v>
      </c>
      <c r="CC47" s="383">
        <v>5261.1</v>
      </c>
      <c r="CD47" s="383">
        <f t="shared" si="10"/>
        <v>10397.1</v>
      </c>
      <c r="CE47" s="383">
        <f t="shared" si="11"/>
        <v>-5261.1</v>
      </c>
      <c r="CF47" s="383">
        <v>5261.1000000000022</v>
      </c>
      <c r="CG47" s="383">
        <f t="shared" si="12"/>
        <v>0</v>
      </c>
      <c r="CH47" s="383">
        <f>VLOOKUP($B47,'Data - CFR 202526'!$B$4:$CJ$127,85,0)</f>
        <v>5261.1000000000022</v>
      </c>
      <c r="CI47" s="383">
        <f>VLOOKUP($B47,'Data - CFR 202526'!$B$4:$CJ$127,86,0)</f>
        <v>0</v>
      </c>
      <c r="CJ47" s="383">
        <f>VLOOKUP($B47,'Data - CFR 202526'!$B$4:$CJ$127,87,0)</f>
        <v>5261.1000000000022</v>
      </c>
    </row>
    <row r="48" spans="1:88" s="220" customFormat="1" ht="13.8">
      <c r="A48" s="252" t="s">
        <v>1525</v>
      </c>
      <c r="B48" s="288">
        <v>2328</v>
      </c>
      <c r="C48" s="288" t="s">
        <v>750</v>
      </c>
      <c r="D48" s="248" t="s">
        <v>704</v>
      </c>
      <c r="E48" s="380"/>
      <c r="F48" s="383">
        <v>1374672.9108274619</v>
      </c>
      <c r="G48" s="383">
        <v>0</v>
      </c>
      <c r="H48" s="383">
        <v>45000</v>
      </c>
      <c r="I48" s="383">
        <v>0</v>
      </c>
      <c r="J48" s="383">
        <v>58490</v>
      </c>
      <c r="K48" s="383">
        <v>72165</v>
      </c>
      <c r="L48" s="383">
        <v>0</v>
      </c>
      <c r="M48" s="383">
        <v>33000</v>
      </c>
      <c r="N48" s="383">
        <v>21405.32</v>
      </c>
      <c r="O48" s="383">
        <v>31550</v>
      </c>
      <c r="P48" s="383">
        <v>2200</v>
      </c>
      <c r="Q48" s="383">
        <v>0</v>
      </c>
      <c r="R48" s="383">
        <v>0</v>
      </c>
      <c r="S48" s="383">
        <v>282804</v>
      </c>
      <c r="T48" s="383">
        <v>0</v>
      </c>
      <c r="U48" s="383">
        <v>0</v>
      </c>
      <c r="V48" s="383">
        <v>0</v>
      </c>
      <c r="W48" s="383">
        <v>0</v>
      </c>
      <c r="X48" s="383">
        <v>0</v>
      </c>
      <c r="Y48" s="383">
        <f t="shared" si="0"/>
        <v>1921287.2308274619</v>
      </c>
      <c r="Z48" s="383">
        <v>968571.04703819589</v>
      </c>
      <c r="AA48" s="383">
        <v>6300</v>
      </c>
      <c r="AB48" s="383">
        <v>365460.23416795285</v>
      </c>
      <c r="AC48" s="383">
        <v>40019.301380000004</v>
      </c>
      <c r="AD48" s="383">
        <v>108789.66469086414</v>
      </c>
      <c r="AE48" s="383">
        <v>0</v>
      </c>
      <c r="AF48" s="383">
        <v>23097.588709484313</v>
      </c>
      <c r="AG48" s="383">
        <v>8950</v>
      </c>
      <c r="AH48" s="383">
        <v>5000</v>
      </c>
      <c r="AI48" s="383">
        <v>4745</v>
      </c>
      <c r="AJ48" s="383">
        <v>0</v>
      </c>
      <c r="AK48" s="383">
        <v>12000</v>
      </c>
      <c r="AL48" s="383">
        <v>3698</v>
      </c>
      <c r="AM48" s="383">
        <v>58430</v>
      </c>
      <c r="AN48" s="383">
        <v>2700</v>
      </c>
      <c r="AO48" s="383">
        <v>48000</v>
      </c>
      <c r="AP48" s="383">
        <v>52335.199999999997</v>
      </c>
      <c r="AQ48" s="383">
        <v>14526</v>
      </c>
      <c r="AR48" s="383">
        <v>119813.32</v>
      </c>
      <c r="AS48" s="383">
        <v>20291</v>
      </c>
      <c r="AT48" s="383">
        <v>0</v>
      </c>
      <c r="AU48" s="383">
        <v>9731</v>
      </c>
      <c r="AV48" s="383">
        <v>8094</v>
      </c>
      <c r="AW48" s="383">
        <v>1304.6799999999998</v>
      </c>
      <c r="AX48" s="383">
        <v>114782</v>
      </c>
      <c r="AY48" s="383">
        <v>2000</v>
      </c>
      <c r="AZ48" s="383">
        <v>5500</v>
      </c>
      <c r="BA48" s="383">
        <v>21400</v>
      </c>
      <c r="BB48" s="383">
        <v>0</v>
      </c>
      <c r="BC48" s="383">
        <v>0</v>
      </c>
      <c r="BD48" s="383">
        <v>0</v>
      </c>
      <c r="BE48" s="383">
        <f t="shared" si="1"/>
        <v>2025538.0359864971</v>
      </c>
      <c r="BF48" s="383">
        <f t="shared" si="2"/>
        <v>-104250.80515903514</v>
      </c>
      <c r="BG48" s="383">
        <v>143846.05000000022</v>
      </c>
      <c r="BH48" s="383">
        <f t="shared" si="3"/>
        <v>39595.244840965082</v>
      </c>
      <c r="BI48" s="383">
        <v>0</v>
      </c>
      <c r="BJ48" s="383">
        <v>0</v>
      </c>
      <c r="BK48" s="383">
        <f t="shared" si="4"/>
        <v>0</v>
      </c>
      <c r="BL48" s="383">
        <v>0</v>
      </c>
      <c r="BM48" s="383">
        <v>0</v>
      </c>
      <c r="BN48" s="383">
        <f t="shared" si="5"/>
        <v>0</v>
      </c>
      <c r="BO48" s="383">
        <f t="shared" si="6"/>
        <v>0</v>
      </c>
      <c r="BP48" s="383">
        <v>0</v>
      </c>
      <c r="BQ48" s="383">
        <f t="shared" si="7"/>
        <v>0</v>
      </c>
      <c r="BR48" s="383">
        <v>0</v>
      </c>
      <c r="BS48" s="383">
        <v>39595.244840965082</v>
      </c>
      <c r="BT48" s="383">
        <v>0</v>
      </c>
      <c r="BU48" s="383">
        <f t="shared" si="8"/>
        <v>39595.244840965082</v>
      </c>
      <c r="BV48" s="383">
        <v>7263</v>
      </c>
      <c r="BW48" s="383">
        <v>0</v>
      </c>
      <c r="BX48" s="383">
        <v>0</v>
      </c>
      <c r="BY48" s="383">
        <f t="shared" si="9"/>
        <v>7263</v>
      </c>
      <c r="BZ48" s="383">
        <v>0</v>
      </c>
      <c r="CA48" s="383">
        <v>22085.21</v>
      </c>
      <c r="CB48" s="383">
        <v>0</v>
      </c>
      <c r="CC48" s="383">
        <v>0</v>
      </c>
      <c r="CD48" s="383">
        <f t="shared" si="10"/>
        <v>22085.21</v>
      </c>
      <c r="CE48" s="383">
        <f t="shared" si="11"/>
        <v>-14822.21</v>
      </c>
      <c r="CF48" s="383">
        <v>14822.21</v>
      </c>
      <c r="CG48" s="383">
        <f t="shared" si="12"/>
        <v>0</v>
      </c>
      <c r="CH48" s="383">
        <f>VLOOKUP($B48,'Data - CFR 202526'!$B$4:$CJ$127,85,0)</f>
        <v>14822.21</v>
      </c>
      <c r="CI48" s="383">
        <f>VLOOKUP($B48,'Data - CFR 202526'!$B$4:$CJ$127,86,0)</f>
        <v>0</v>
      </c>
      <c r="CJ48" s="383">
        <f>VLOOKUP($B48,'Data - CFR 202526'!$B$4:$CJ$127,87,0)</f>
        <v>14822.21</v>
      </c>
    </row>
    <row r="49" spans="1:88" s="220" customFormat="1" ht="13.8">
      <c r="A49" s="252" t="s">
        <v>1525</v>
      </c>
      <c r="B49" s="288">
        <v>7025</v>
      </c>
      <c r="C49" s="288" t="s">
        <v>751</v>
      </c>
      <c r="D49" s="248" t="s">
        <v>726</v>
      </c>
      <c r="E49" s="380"/>
      <c r="F49" s="383">
        <v>2035294</v>
      </c>
      <c r="G49" s="383">
        <v>390000</v>
      </c>
      <c r="H49" s="383">
        <v>2858243</v>
      </c>
      <c r="I49" s="383">
        <v>0</v>
      </c>
      <c r="J49" s="383">
        <v>129600</v>
      </c>
      <c r="K49" s="383">
        <v>21024</v>
      </c>
      <c r="L49" s="383">
        <v>0</v>
      </c>
      <c r="M49" s="383">
        <v>55000</v>
      </c>
      <c r="N49" s="383">
        <v>3000</v>
      </c>
      <c r="O49" s="383">
        <v>19050</v>
      </c>
      <c r="P49" s="383">
        <v>0</v>
      </c>
      <c r="Q49" s="383">
        <v>0</v>
      </c>
      <c r="R49" s="383">
        <v>0</v>
      </c>
      <c r="S49" s="383">
        <v>500</v>
      </c>
      <c r="T49" s="383">
        <v>0</v>
      </c>
      <c r="U49" s="383">
        <v>0</v>
      </c>
      <c r="V49" s="383">
        <v>0</v>
      </c>
      <c r="W49" s="383">
        <v>0</v>
      </c>
      <c r="X49" s="383">
        <v>0</v>
      </c>
      <c r="Y49" s="383">
        <f t="shared" si="0"/>
        <v>5511711</v>
      </c>
      <c r="Z49" s="383">
        <v>1960526.681154795</v>
      </c>
      <c r="AA49" s="383">
        <v>2000</v>
      </c>
      <c r="AB49" s="383">
        <v>2757607.3845055737</v>
      </c>
      <c r="AC49" s="383">
        <v>84074.386870000002</v>
      </c>
      <c r="AD49" s="383">
        <v>181165.42248329453</v>
      </c>
      <c r="AE49" s="383">
        <v>0</v>
      </c>
      <c r="AF49" s="383">
        <v>123895.89256722969</v>
      </c>
      <c r="AG49" s="383">
        <v>25350</v>
      </c>
      <c r="AH49" s="383">
        <v>16000</v>
      </c>
      <c r="AI49" s="383">
        <v>0</v>
      </c>
      <c r="AJ49" s="383">
        <v>0</v>
      </c>
      <c r="AK49" s="383">
        <v>80000</v>
      </c>
      <c r="AL49" s="383">
        <v>6000</v>
      </c>
      <c r="AM49" s="383">
        <v>116629</v>
      </c>
      <c r="AN49" s="383">
        <v>7000</v>
      </c>
      <c r="AO49" s="383">
        <v>100000</v>
      </c>
      <c r="AP49" s="383">
        <v>0</v>
      </c>
      <c r="AQ49" s="383">
        <v>49173</v>
      </c>
      <c r="AR49" s="383">
        <v>53183</v>
      </c>
      <c r="AS49" s="383">
        <v>80143</v>
      </c>
      <c r="AT49" s="383">
        <v>6000</v>
      </c>
      <c r="AU49" s="383">
        <v>39000</v>
      </c>
      <c r="AV49" s="383">
        <v>14000</v>
      </c>
      <c r="AW49" s="383">
        <v>0</v>
      </c>
      <c r="AX49" s="383">
        <v>118412</v>
      </c>
      <c r="AY49" s="383">
        <v>65746</v>
      </c>
      <c r="AZ49" s="383">
        <v>41000</v>
      </c>
      <c r="BA49" s="383">
        <v>44259</v>
      </c>
      <c r="BB49" s="383">
        <v>0</v>
      </c>
      <c r="BC49" s="383">
        <v>4972</v>
      </c>
      <c r="BD49" s="383">
        <v>9316</v>
      </c>
      <c r="BE49" s="383">
        <f t="shared" si="1"/>
        <v>5985452.767580892</v>
      </c>
      <c r="BF49" s="383">
        <f t="shared" si="2"/>
        <v>-473741.76758089196</v>
      </c>
      <c r="BG49" s="383">
        <v>-639762.62000000011</v>
      </c>
      <c r="BH49" s="383">
        <f t="shared" si="3"/>
        <v>-1113504.3875808921</v>
      </c>
      <c r="BI49" s="383">
        <v>0</v>
      </c>
      <c r="BJ49" s="383">
        <v>0</v>
      </c>
      <c r="BK49" s="383">
        <f t="shared" si="4"/>
        <v>0</v>
      </c>
      <c r="BL49" s="383">
        <v>0</v>
      </c>
      <c r="BM49" s="383">
        <v>0</v>
      </c>
      <c r="BN49" s="383">
        <f t="shared" si="5"/>
        <v>0</v>
      </c>
      <c r="BO49" s="383">
        <f t="shared" si="6"/>
        <v>0</v>
      </c>
      <c r="BP49" s="383">
        <v>0</v>
      </c>
      <c r="BQ49" s="383">
        <f t="shared" si="7"/>
        <v>0</v>
      </c>
      <c r="BR49" s="383">
        <v>0</v>
      </c>
      <c r="BS49" s="383">
        <v>-1113504.3875808921</v>
      </c>
      <c r="BT49" s="383">
        <v>0</v>
      </c>
      <c r="BU49" s="383">
        <f t="shared" si="8"/>
        <v>-1113504.3875808921</v>
      </c>
      <c r="BV49" s="383">
        <v>13214</v>
      </c>
      <c r="BW49" s="383">
        <v>0</v>
      </c>
      <c r="BX49" s="383">
        <v>0</v>
      </c>
      <c r="BY49" s="383">
        <f t="shared" si="9"/>
        <v>13214</v>
      </c>
      <c r="BZ49" s="383">
        <v>0</v>
      </c>
      <c r="CA49" s="383">
        <v>13214</v>
      </c>
      <c r="CB49" s="383">
        <v>0</v>
      </c>
      <c r="CC49" s="383">
        <v>0</v>
      </c>
      <c r="CD49" s="383">
        <f t="shared" si="10"/>
        <v>13214</v>
      </c>
      <c r="CE49" s="383">
        <f t="shared" si="11"/>
        <v>0</v>
      </c>
      <c r="CF49" s="383">
        <v>-5.4569682106375694E-12</v>
      </c>
      <c r="CG49" s="383">
        <f t="shared" si="12"/>
        <v>-5.4569682106375694E-12</v>
      </c>
      <c r="CH49" s="383">
        <f>VLOOKUP($B49,'Data - CFR 202526'!$B$4:$CJ$127,85,0)</f>
        <v>-1.8189894035458565E-12</v>
      </c>
      <c r="CI49" s="383">
        <f>VLOOKUP($B49,'Data - CFR 202526'!$B$4:$CJ$127,86,0)</f>
        <v>0</v>
      </c>
      <c r="CJ49" s="383">
        <f>VLOOKUP($B49,'Data - CFR 202526'!$B$4:$CJ$127,87,0)</f>
        <v>-1.8189894035458565E-12</v>
      </c>
    </row>
    <row r="50" spans="1:88" s="220" customFormat="1" ht="13.8">
      <c r="A50" s="252" t="s">
        <v>1525</v>
      </c>
      <c r="B50" s="288">
        <v>2016</v>
      </c>
      <c r="C50" s="288" t="s">
        <v>752</v>
      </c>
      <c r="D50" s="248" t="s">
        <v>704</v>
      </c>
      <c r="E50" s="380"/>
      <c r="F50" s="383">
        <v>842094.51021456998</v>
      </c>
      <c r="G50" s="383">
        <v>0</v>
      </c>
      <c r="H50" s="383">
        <v>36570</v>
      </c>
      <c r="I50" s="383">
        <v>0</v>
      </c>
      <c r="J50" s="383">
        <v>41740</v>
      </c>
      <c r="K50" s="383">
        <v>35074</v>
      </c>
      <c r="L50" s="383">
        <v>0</v>
      </c>
      <c r="M50" s="383">
        <v>3000</v>
      </c>
      <c r="N50" s="383">
        <v>47330</v>
      </c>
      <c r="O50" s="383">
        <v>0</v>
      </c>
      <c r="P50" s="383">
        <v>0</v>
      </c>
      <c r="Q50" s="383">
        <v>0</v>
      </c>
      <c r="R50" s="383">
        <v>0</v>
      </c>
      <c r="S50" s="383">
        <v>4500</v>
      </c>
      <c r="T50" s="383">
        <v>0</v>
      </c>
      <c r="U50" s="383">
        <v>0</v>
      </c>
      <c r="V50" s="383">
        <v>0</v>
      </c>
      <c r="W50" s="383">
        <v>0</v>
      </c>
      <c r="X50" s="383">
        <v>0</v>
      </c>
      <c r="Y50" s="383">
        <f t="shared" si="0"/>
        <v>1010308.51021457</v>
      </c>
      <c r="Z50" s="383">
        <v>528992.16011260217</v>
      </c>
      <c r="AA50" s="383">
        <v>11000</v>
      </c>
      <c r="AB50" s="383">
        <v>180780.0473459491</v>
      </c>
      <c r="AC50" s="383">
        <v>0</v>
      </c>
      <c r="AD50" s="383">
        <v>33461.677361538459</v>
      </c>
      <c r="AE50" s="383">
        <v>0</v>
      </c>
      <c r="AF50" s="383">
        <v>27156.033118105392</v>
      </c>
      <c r="AG50" s="383">
        <v>4050</v>
      </c>
      <c r="AH50" s="383">
        <v>2000</v>
      </c>
      <c r="AI50" s="383">
        <v>3350</v>
      </c>
      <c r="AJ50" s="383">
        <v>771</v>
      </c>
      <c r="AK50" s="383">
        <v>23109</v>
      </c>
      <c r="AL50" s="383">
        <v>1800</v>
      </c>
      <c r="AM50" s="383">
        <v>13100</v>
      </c>
      <c r="AN50" s="383">
        <v>3700</v>
      </c>
      <c r="AO50" s="383">
        <v>17840</v>
      </c>
      <c r="AP50" s="383">
        <v>16464</v>
      </c>
      <c r="AQ50" s="383">
        <v>3416</v>
      </c>
      <c r="AR50" s="383">
        <v>30933</v>
      </c>
      <c r="AS50" s="383">
        <v>24745</v>
      </c>
      <c r="AT50" s="383">
        <v>0</v>
      </c>
      <c r="AU50" s="383">
        <v>5100</v>
      </c>
      <c r="AV50" s="383">
        <v>4170</v>
      </c>
      <c r="AW50" s="383">
        <v>1000</v>
      </c>
      <c r="AX50" s="383">
        <v>45541</v>
      </c>
      <c r="AY50" s="383">
        <v>0</v>
      </c>
      <c r="AZ50" s="383">
        <v>12940</v>
      </c>
      <c r="BA50" s="383">
        <v>9813.2800000000007</v>
      </c>
      <c r="BB50" s="383">
        <v>0</v>
      </c>
      <c r="BC50" s="383">
        <v>1402</v>
      </c>
      <c r="BD50" s="383">
        <v>3336</v>
      </c>
      <c r="BE50" s="383">
        <f t="shared" si="1"/>
        <v>1009970.1979381951</v>
      </c>
      <c r="BF50" s="383">
        <f t="shared" si="2"/>
        <v>338.31227637489792</v>
      </c>
      <c r="BG50" s="383">
        <v>805.46000000028289</v>
      </c>
      <c r="BH50" s="383">
        <f t="shared" si="3"/>
        <v>1143.7722763751808</v>
      </c>
      <c r="BI50" s="383">
        <v>0</v>
      </c>
      <c r="BJ50" s="383">
        <v>0</v>
      </c>
      <c r="BK50" s="383">
        <f t="shared" si="4"/>
        <v>0</v>
      </c>
      <c r="BL50" s="383">
        <v>0</v>
      </c>
      <c r="BM50" s="383">
        <v>0</v>
      </c>
      <c r="BN50" s="383">
        <f t="shared" si="5"/>
        <v>0</v>
      </c>
      <c r="BO50" s="383">
        <f t="shared" si="6"/>
        <v>0</v>
      </c>
      <c r="BP50" s="383">
        <v>0</v>
      </c>
      <c r="BQ50" s="383">
        <f t="shared" si="7"/>
        <v>0</v>
      </c>
      <c r="BR50" s="383">
        <v>0</v>
      </c>
      <c r="BS50" s="383">
        <v>1143.7722763751808</v>
      </c>
      <c r="BT50" s="383">
        <v>0</v>
      </c>
      <c r="BU50" s="383">
        <f t="shared" si="8"/>
        <v>1143.7722763751808</v>
      </c>
      <c r="BV50" s="383">
        <v>5463</v>
      </c>
      <c r="BW50" s="383">
        <v>0</v>
      </c>
      <c r="BX50" s="383">
        <v>0</v>
      </c>
      <c r="BY50" s="383">
        <f t="shared" si="9"/>
        <v>5463</v>
      </c>
      <c r="BZ50" s="383">
        <v>0</v>
      </c>
      <c r="CA50" s="383">
        <v>6519.11</v>
      </c>
      <c r="CB50" s="383">
        <v>0</v>
      </c>
      <c r="CC50" s="383">
        <v>0</v>
      </c>
      <c r="CD50" s="383">
        <f t="shared" si="10"/>
        <v>6519.11</v>
      </c>
      <c r="CE50" s="383">
        <f t="shared" si="11"/>
        <v>-1056.1099999999997</v>
      </c>
      <c r="CF50" s="383">
        <v>1056.1100000000042</v>
      </c>
      <c r="CG50" s="383">
        <f t="shared" si="12"/>
        <v>4.5474735088646412E-12</v>
      </c>
      <c r="CH50" s="383">
        <f>VLOOKUP($B50,'Data - CFR 202526'!$B$4:$CJ$127,85,0)</f>
        <v>1056.1100000000006</v>
      </c>
      <c r="CI50" s="383">
        <f>VLOOKUP($B50,'Data - CFR 202526'!$B$4:$CJ$127,86,0)</f>
        <v>0</v>
      </c>
      <c r="CJ50" s="383">
        <f>VLOOKUP($B50,'Data - CFR 202526'!$B$4:$CJ$127,87,0)</f>
        <v>1056.1100000000006</v>
      </c>
    </row>
    <row r="51" spans="1:88" s="220" customFormat="1" ht="13.8">
      <c r="A51" s="252" t="s">
        <v>1525</v>
      </c>
      <c r="B51" s="288">
        <v>3310</v>
      </c>
      <c r="C51" s="288" t="s">
        <v>753</v>
      </c>
      <c r="D51" s="248" t="s">
        <v>704</v>
      </c>
      <c r="E51" s="380"/>
      <c r="F51" s="383">
        <v>1060615.1173716001</v>
      </c>
      <c r="G51" s="383">
        <v>0</v>
      </c>
      <c r="H51" s="383">
        <v>55415.61</v>
      </c>
      <c r="I51" s="383">
        <v>0</v>
      </c>
      <c r="J51" s="383">
        <v>26240</v>
      </c>
      <c r="K51" s="383">
        <v>54719</v>
      </c>
      <c r="L51" s="383">
        <v>0</v>
      </c>
      <c r="M51" s="383">
        <v>9740</v>
      </c>
      <c r="N51" s="383">
        <v>67983</v>
      </c>
      <c r="O51" s="383">
        <v>1850</v>
      </c>
      <c r="P51" s="383">
        <v>1800</v>
      </c>
      <c r="Q51" s="383">
        <v>0</v>
      </c>
      <c r="R51" s="383">
        <v>2500</v>
      </c>
      <c r="S51" s="383">
        <v>0</v>
      </c>
      <c r="T51" s="383">
        <v>0</v>
      </c>
      <c r="U51" s="383">
        <v>0</v>
      </c>
      <c r="V51" s="383">
        <v>0</v>
      </c>
      <c r="W51" s="383">
        <v>0</v>
      </c>
      <c r="X51" s="383">
        <v>0</v>
      </c>
      <c r="Y51" s="383">
        <f t="shared" si="0"/>
        <v>1280862.7273716002</v>
      </c>
      <c r="Z51" s="383">
        <v>677449.53582015249</v>
      </c>
      <c r="AA51" s="383">
        <v>10000</v>
      </c>
      <c r="AB51" s="383">
        <v>277172.42258464044</v>
      </c>
      <c r="AC51" s="383">
        <v>35440.234587457438</v>
      </c>
      <c r="AD51" s="383">
        <v>67040.736679426816</v>
      </c>
      <c r="AE51" s="383">
        <v>0</v>
      </c>
      <c r="AF51" s="383">
        <v>10921.767795158463</v>
      </c>
      <c r="AG51" s="383">
        <v>800</v>
      </c>
      <c r="AH51" s="383">
        <v>5000</v>
      </c>
      <c r="AI51" s="383">
        <v>5200</v>
      </c>
      <c r="AJ51" s="383">
        <v>0</v>
      </c>
      <c r="AK51" s="383">
        <v>13000</v>
      </c>
      <c r="AL51" s="383">
        <v>2825.75</v>
      </c>
      <c r="AM51" s="383">
        <v>3500</v>
      </c>
      <c r="AN51" s="383">
        <v>9300</v>
      </c>
      <c r="AO51" s="383">
        <v>29600</v>
      </c>
      <c r="AP51" s="383">
        <v>5292</v>
      </c>
      <c r="AQ51" s="383">
        <v>9961.36</v>
      </c>
      <c r="AR51" s="383">
        <v>12683.96</v>
      </c>
      <c r="AS51" s="383">
        <v>31191</v>
      </c>
      <c r="AT51" s="383">
        <v>0</v>
      </c>
      <c r="AU51" s="383">
        <v>12497</v>
      </c>
      <c r="AV51" s="383">
        <v>5786.48</v>
      </c>
      <c r="AW51" s="383">
        <v>15700</v>
      </c>
      <c r="AX51" s="383">
        <v>54176.2</v>
      </c>
      <c r="AY51" s="383">
        <v>3000</v>
      </c>
      <c r="AZ51" s="383">
        <v>10774</v>
      </c>
      <c r="BA51" s="383">
        <v>19221.509999999998</v>
      </c>
      <c r="BB51" s="383">
        <v>0</v>
      </c>
      <c r="BC51" s="383">
        <v>0</v>
      </c>
      <c r="BD51" s="383">
        <v>600</v>
      </c>
      <c r="BE51" s="383">
        <f t="shared" si="1"/>
        <v>1328133.9574668359</v>
      </c>
      <c r="BF51" s="383">
        <f t="shared" si="2"/>
        <v>-47271.230095235631</v>
      </c>
      <c r="BG51" s="383">
        <v>-59915.829999999609</v>
      </c>
      <c r="BH51" s="383">
        <f t="shared" si="3"/>
        <v>-107187.06009523524</v>
      </c>
      <c r="BI51" s="383">
        <v>91324.21</v>
      </c>
      <c r="BJ51" s="383">
        <v>35230</v>
      </c>
      <c r="BK51" s="383">
        <f t="shared" si="4"/>
        <v>126554.21</v>
      </c>
      <c r="BL51" s="383">
        <v>120878.97655494598</v>
      </c>
      <c r="BM51" s="383">
        <v>12377.5</v>
      </c>
      <c r="BN51" s="383">
        <f t="shared" si="5"/>
        <v>133256.47655494598</v>
      </c>
      <c r="BO51" s="383">
        <f t="shared" si="6"/>
        <v>-6702.266554945978</v>
      </c>
      <c r="BP51" s="383">
        <v>-27888.559999999998</v>
      </c>
      <c r="BQ51" s="383">
        <f t="shared" si="7"/>
        <v>-34590.826554945976</v>
      </c>
      <c r="BR51" s="383">
        <v>0</v>
      </c>
      <c r="BS51" s="383">
        <v>-107187.06009523524</v>
      </c>
      <c r="BT51" s="383">
        <v>-34590.826554945976</v>
      </c>
      <c r="BU51" s="383">
        <f t="shared" si="8"/>
        <v>-141777.8866501812</v>
      </c>
      <c r="BV51" s="383">
        <v>0</v>
      </c>
      <c r="BW51" s="383">
        <v>0</v>
      </c>
      <c r="BX51" s="383">
        <v>0</v>
      </c>
      <c r="BY51" s="383">
        <f t="shared" si="9"/>
        <v>0</v>
      </c>
      <c r="BZ51" s="383">
        <v>0</v>
      </c>
      <c r="CA51" s="383">
        <v>0</v>
      </c>
      <c r="CB51" s="383">
        <v>0</v>
      </c>
      <c r="CC51" s="383">
        <v>0</v>
      </c>
      <c r="CD51" s="383">
        <f t="shared" si="10"/>
        <v>0</v>
      </c>
      <c r="CE51" s="383">
        <f t="shared" si="11"/>
        <v>0</v>
      </c>
      <c r="CF51" s="383">
        <v>0</v>
      </c>
      <c r="CG51" s="383">
        <f t="shared" si="12"/>
        <v>0</v>
      </c>
      <c r="CH51" s="383">
        <f>VLOOKUP($B51,'Data - CFR 202526'!$B$4:$CJ$127,85,0)</f>
        <v>0</v>
      </c>
      <c r="CI51" s="383">
        <f>VLOOKUP($B51,'Data - CFR 202526'!$B$4:$CJ$127,86,0)</f>
        <v>0</v>
      </c>
      <c r="CJ51" s="383">
        <f>VLOOKUP($B51,'Data - CFR 202526'!$B$4:$CJ$127,87,0)</f>
        <v>0</v>
      </c>
    </row>
    <row r="52" spans="1:88" s="220" customFormat="1" ht="13.8">
      <c r="A52" s="252" t="s">
        <v>1525</v>
      </c>
      <c r="B52" s="288">
        <v>3068</v>
      </c>
      <c r="C52" s="288" t="s">
        <v>754</v>
      </c>
      <c r="D52" s="248" t="s">
        <v>704</v>
      </c>
      <c r="E52" s="380"/>
      <c r="F52" s="383">
        <v>589550.85356201709</v>
      </c>
      <c r="G52" s="383">
        <v>0</v>
      </c>
      <c r="H52" s="383">
        <v>17242</v>
      </c>
      <c r="I52" s="383">
        <v>0</v>
      </c>
      <c r="J52" s="383">
        <v>17050</v>
      </c>
      <c r="K52" s="383">
        <v>27201</v>
      </c>
      <c r="L52" s="383">
        <v>0</v>
      </c>
      <c r="M52" s="383">
        <v>3000</v>
      </c>
      <c r="N52" s="383">
        <v>15338</v>
      </c>
      <c r="O52" s="383">
        <v>7163</v>
      </c>
      <c r="P52" s="383">
        <v>0</v>
      </c>
      <c r="Q52" s="383">
        <v>0</v>
      </c>
      <c r="R52" s="383">
        <v>0</v>
      </c>
      <c r="S52" s="383">
        <v>1</v>
      </c>
      <c r="T52" s="383">
        <v>0</v>
      </c>
      <c r="U52" s="383">
        <v>0</v>
      </c>
      <c r="V52" s="383">
        <v>0</v>
      </c>
      <c r="W52" s="383">
        <v>0</v>
      </c>
      <c r="X52" s="383">
        <v>0</v>
      </c>
      <c r="Y52" s="383">
        <f t="shared" si="0"/>
        <v>676545.85356201709</v>
      </c>
      <c r="Z52" s="383">
        <v>363535.38155759999</v>
      </c>
      <c r="AA52" s="383">
        <v>1500</v>
      </c>
      <c r="AB52" s="383">
        <v>140564.82443683295</v>
      </c>
      <c r="AC52" s="383">
        <v>33401.740051709305</v>
      </c>
      <c r="AD52" s="383">
        <v>31992.417405348231</v>
      </c>
      <c r="AE52" s="383">
        <v>26172.532017143451</v>
      </c>
      <c r="AF52" s="383">
        <v>23099.675747668633</v>
      </c>
      <c r="AG52" s="383">
        <v>4388</v>
      </c>
      <c r="AH52" s="383">
        <v>2650</v>
      </c>
      <c r="AI52" s="383">
        <v>1924</v>
      </c>
      <c r="AJ52" s="383">
        <v>572</v>
      </c>
      <c r="AK52" s="383">
        <v>7750</v>
      </c>
      <c r="AL52" s="383">
        <v>2850</v>
      </c>
      <c r="AM52" s="383">
        <v>1410</v>
      </c>
      <c r="AN52" s="383">
        <v>3000</v>
      </c>
      <c r="AO52" s="383">
        <v>11100</v>
      </c>
      <c r="AP52" s="383">
        <v>19960</v>
      </c>
      <c r="AQ52" s="383">
        <v>2650</v>
      </c>
      <c r="AR52" s="383">
        <v>9500</v>
      </c>
      <c r="AS52" s="383">
        <v>31800</v>
      </c>
      <c r="AT52" s="383">
        <v>0</v>
      </c>
      <c r="AU52" s="383">
        <v>2785</v>
      </c>
      <c r="AV52" s="383">
        <v>2589</v>
      </c>
      <c r="AW52" s="383">
        <v>100</v>
      </c>
      <c r="AX52" s="383">
        <v>8100</v>
      </c>
      <c r="AY52" s="383">
        <v>0</v>
      </c>
      <c r="AZ52" s="383">
        <v>0</v>
      </c>
      <c r="BA52" s="383">
        <v>13209</v>
      </c>
      <c r="BB52" s="383">
        <v>0</v>
      </c>
      <c r="BC52" s="383">
        <v>3840</v>
      </c>
      <c r="BD52" s="383">
        <v>6698</v>
      </c>
      <c r="BE52" s="383">
        <f t="shared" si="1"/>
        <v>757141.57121630257</v>
      </c>
      <c r="BF52" s="383">
        <f t="shared" si="2"/>
        <v>-80595.717654285487</v>
      </c>
      <c r="BG52" s="383">
        <v>-85123.329999999769</v>
      </c>
      <c r="BH52" s="383">
        <f t="shared" si="3"/>
        <v>-165719.04765428527</v>
      </c>
      <c r="BI52" s="383">
        <v>0</v>
      </c>
      <c r="BJ52" s="383">
        <v>0</v>
      </c>
      <c r="BK52" s="383">
        <f t="shared" si="4"/>
        <v>0</v>
      </c>
      <c r="BL52" s="383">
        <v>0</v>
      </c>
      <c r="BM52" s="383">
        <v>0</v>
      </c>
      <c r="BN52" s="383">
        <f t="shared" si="5"/>
        <v>0</v>
      </c>
      <c r="BO52" s="383">
        <f t="shared" si="6"/>
        <v>0</v>
      </c>
      <c r="BP52" s="383">
        <v>0</v>
      </c>
      <c r="BQ52" s="383">
        <f t="shared" si="7"/>
        <v>0</v>
      </c>
      <c r="BR52" s="383">
        <v>0</v>
      </c>
      <c r="BS52" s="383">
        <v>-165719.04765428527</v>
      </c>
      <c r="BT52" s="383">
        <v>0</v>
      </c>
      <c r="BU52" s="383">
        <f t="shared" si="8"/>
        <v>-165719.04765428527</v>
      </c>
      <c r="BV52" s="383">
        <v>4990</v>
      </c>
      <c r="BW52" s="383">
        <v>0</v>
      </c>
      <c r="BX52" s="383">
        <v>0</v>
      </c>
      <c r="BY52" s="383">
        <f t="shared" si="9"/>
        <v>4990</v>
      </c>
      <c r="BZ52" s="383">
        <v>0</v>
      </c>
      <c r="CA52" s="383">
        <v>10377.030000000001</v>
      </c>
      <c r="CB52" s="383">
        <v>0</v>
      </c>
      <c r="CC52" s="383">
        <v>0</v>
      </c>
      <c r="CD52" s="383">
        <f t="shared" si="10"/>
        <v>10377.030000000001</v>
      </c>
      <c r="CE52" s="383">
        <f t="shared" si="11"/>
        <v>-5387.0300000000007</v>
      </c>
      <c r="CF52" s="383">
        <v>5387.03</v>
      </c>
      <c r="CG52" s="383">
        <f t="shared" si="12"/>
        <v>0</v>
      </c>
      <c r="CH52" s="383">
        <f>VLOOKUP($B52,'Data - CFR 202526'!$B$4:$CJ$127,85,0)</f>
        <v>5387.0300000000007</v>
      </c>
      <c r="CI52" s="383">
        <f>VLOOKUP($B52,'Data - CFR 202526'!$B$4:$CJ$127,86,0)</f>
        <v>0</v>
      </c>
      <c r="CJ52" s="383">
        <f>VLOOKUP($B52,'Data - CFR 202526'!$B$4:$CJ$127,87,0)</f>
        <v>5387.0300000000007</v>
      </c>
    </row>
    <row r="53" spans="1:88" s="220" customFormat="1" ht="13.8">
      <c r="A53" s="252" t="s">
        <v>1525</v>
      </c>
      <c r="B53" s="288">
        <v>2315</v>
      </c>
      <c r="C53" s="288" t="s">
        <v>755</v>
      </c>
      <c r="D53" s="248" t="s">
        <v>704</v>
      </c>
      <c r="E53" s="380"/>
      <c r="F53" s="383">
        <v>3146290.0619265847</v>
      </c>
      <c r="G53" s="383">
        <v>0</v>
      </c>
      <c r="H53" s="383">
        <v>120000</v>
      </c>
      <c r="I53" s="383">
        <v>0</v>
      </c>
      <c r="J53" s="383">
        <v>170500</v>
      </c>
      <c r="K53" s="383">
        <v>20000</v>
      </c>
      <c r="L53" s="383">
        <v>0</v>
      </c>
      <c r="M53" s="383">
        <v>30000</v>
      </c>
      <c r="N53" s="383">
        <v>133000</v>
      </c>
      <c r="O53" s="383">
        <v>0</v>
      </c>
      <c r="P53" s="383">
        <v>0</v>
      </c>
      <c r="Q53" s="383">
        <v>0</v>
      </c>
      <c r="R53" s="383">
        <v>0</v>
      </c>
      <c r="S53" s="383">
        <v>0</v>
      </c>
      <c r="T53" s="383">
        <v>0</v>
      </c>
      <c r="U53" s="383">
        <v>0</v>
      </c>
      <c r="V53" s="383">
        <v>0</v>
      </c>
      <c r="W53" s="383">
        <v>0</v>
      </c>
      <c r="X53" s="383">
        <v>0</v>
      </c>
      <c r="Y53" s="383">
        <f t="shared" si="0"/>
        <v>3619790.0619265847</v>
      </c>
      <c r="Z53" s="383">
        <v>1960462.2847453333</v>
      </c>
      <c r="AA53" s="383">
        <v>0</v>
      </c>
      <c r="AB53" s="383">
        <v>708696.57485690643</v>
      </c>
      <c r="AC53" s="383">
        <v>69490.224456978744</v>
      </c>
      <c r="AD53" s="383">
        <v>138495.95732575352</v>
      </c>
      <c r="AE53" s="383">
        <v>0</v>
      </c>
      <c r="AF53" s="383">
        <v>155966.17191126291</v>
      </c>
      <c r="AG53" s="383">
        <v>12000</v>
      </c>
      <c r="AH53" s="383">
        <v>25000</v>
      </c>
      <c r="AI53" s="383">
        <v>14144</v>
      </c>
      <c r="AJ53" s="383">
        <v>300</v>
      </c>
      <c r="AK53" s="383">
        <v>45500</v>
      </c>
      <c r="AL53" s="383">
        <v>7000</v>
      </c>
      <c r="AM53" s="383">
        <v>42000</v>
      </c>
      <c r="AN53" s="383">
        <v>10000</v>
      </c>
      <c r="AO53" s="383">
        <v>80000</v>
      </c>
      <c r="AP53" s="383">
        <v>131535</v>
      </c>
      <c r="AQ53" s="383">
        <v>16900</v>
      </c>
      <c r="AR53" s="383">
        <v>110845</v>
      </c>
      <c r="AS53" s="383">
        <v>75100</v>
      </c>
      <c r="AT53" s="383">
        <v>0</v>
      </c>
      <c r="AU53" s="383">
        <v>27300</v>
      </c>
      <c r="AV53" s="383">
        <v>17000</v>
      </c>
      <c r="AW53" s="383">
        <v>31650</v>
      </c>
      <c r="AX53" s="383">
        <v>37000</v>
      </c>
      <c r="AY53" s="383">
        <v>46090</v>
      </c>
      <c r="AZ53" s="383">
        <v>32182</v>
      </c>
      <c r="BA53" s="383">
        <v>20038</v>
      </c>
      <c r="BB53" s="383">
        <v>0</v>
      </c>
      <c r="BC53" s="383">
        <v>0</v>
      </c>
      <c r="BD53" s="383">
        <v>0</v>
      </c>
      <c r="BE53" s="383">
        <f t="shared" si="1"/>
        <v>3814695.2132962355</v>
      </c>
      <c r="BF53" s="383">
        <f t="shared" si="2"/>
        <v>-194905.15136965085</v>
      </c>
      <c r="BG53" s="383">
        <v>224599.95000000016</v>
      </c>
      <c r="BH53" s="383">
        <f t="shared" si="3"/>
        <v>29694.798630349309</v>
      </c>
      <c r="BI53" s="383">
        <v>125000</v>
      </c>
      <c r="BJ53" s="383">
        <v>0</v>
      </c>
      <c r="BK53" s="383">
        <f t="shared" si="4"/>
        <v>125000</v>
      </c>
      <c r="BL53" s="383">
        <v>114142.53415376401</v>
      </c>
      <c r="BM53" s="383">
        <v>0</v>
      </c>
      <c r="BN53" s="383">
        <f t="shared" si="5"/>
        <v>114142.53415376401</v>
      </c>
      <c r="BO53" s="383">
        <f t="shared" si="6"/>
        <v>10857.465846235995</v>
      </c>
      <c r="BP53" s="383">
        <v>0</v>
      </c>
      <c r="BQ53" s="383">
        <f t="shared" si="7"/>
        <v>10857.465846235995</v>
      </c>
      <c r="BR53" s="383">
        <v>0</v>
      </c>
      <c r="BS53" s="383">
        <v>29694.798630349309</v>
      </c>
      <c r="BT53" s="383">
        <v>10857.465846235995</v>
      </c>
      <c r="BU53" s="383">
        <f t="shared" si="8"/>
        <v>40552.264476585304</v>
      </c>
      <c r="BV53" s="383">
        <v>10552</v>
      </c>
      <c r="BW53" s="383">
        <v>0</v>
      </c>
      <c r="BX53" s="383">
        <v>0</v>
      </c>
      <c r="BY53" s="383">
        <f t="shared" si="9"/>
        <v>10552</v>
      </c>
      <c r="BZ53" s="383">
        <v>0</v>
      </c>
      <c r="CA53" s="383">
        <v>10552</v>
      </c>
      <c r="CB53" s="383">
        <v>0</v>
      </c>
      <c r="CC53" s="383">
        <v>0</v>
      </c>
      <c r="CD53" s="383">
        <f t="shared" si="10"/>
        <v>10552</v>
      </c>
      <c r="CE53" s="383">
        <f t="shared" si="11"/>
        <v>0</v>
      </c>
      <c r="CF53" s="383">
        <v>16210.770000000006</v>
      </c>
      <c r="CG53" s="383">
        <f t="shared" si="12"/>
        <v>16210.770000000006</v>
      </c>
      <c r="CH53" s="383">
        <f>VLOOKUP($B53,'Data - CFR 202526'!$B$4:$CJ$127,85,0)</f>
        <v>16210.770000000006</v>
      </c>
      <c r="CI53" s="383">
        <f>VLOOKUP($B53,'Data - CFR 202526'!$B$4:$CJ$127,86,0)</f>
        <v>0</v>
      </c>
      <c r="CJ53" s="383">
        <f>VLOOKUP($B53,'Data - CFR 202526'!$B$4:$CJ$127,87,0)</f>
        <v>16210.770000000006</v>
      </c>
    </row>
    <row r="54" spans="1:88" s="220" customFormat="1" ht="13.8">
      <c r="A54" s="252" t="s">
        <v>1525</v>
      </c>
      <c r="B54" s="288">
        <v>2018</v>
      </c>
      <c r="C54" s="288" t="s">
        <v>756</v>
      </c>
      <c r="D54" s="248" t="s">
        <v>704</v>
      </c>
      <c r="E54" s="380"/>
      <c r="F54" s="383">
        <v>0</v>
      </c>
      <c r="G54" s="383">
        <v>0</v>
      </c>
      <c r="H54" s="383">
        <v>0</v>
      </c>
      <c r="I54" s="383">
        <v>0</v>
      </c>
      <c r="J54" s="383">
        <v>0</v>
      </c>
      <c r="K54" s="383">
        <v>0</v>
      </c>
      <c r="L54" s="383">
        <v>0</v>
      </c>
      <c r="M54" s="383">
        <v>0</v>
      </c>
      <c r="N54" s="383">
        <v>0</v>
      </c>
      <c r="O54" s="383">
        <v>0</v>
      </c>
      <c r="P54" s="383">
        <v>0</v>
      </c>
      <c r="Q54" s="383">
        <v>0</v>
      </c>
      <c r="R54" s="383">
        <v>0</v>
      </c>
      <c r="S54" s="383">
        <v>0</v>
      </c>
      <c r="T54" s="383">
        <v>0</v>
      </c>
      <c r="U54" s="383">
        <v>0</v>
      </c>
      <c r="V54" s="383">
        <v>0</v>
      </c>
      <c r="W54" s="383">
        <v>0</v>
      </c>
      <c r="X54" s="383">
        <v>0</v>
      </c>
      <c r="Y54" s="383">
        <f t="shared" si="0"/>
        <v>0</v>
      </c>
      <c r="Z54" s="383">
        <v>0</v>
      </c>
      <c r="AA54" s="383">
        <v>0</v>
      </c>
      <c r="AB54" s="383">
        <v>0</v>
      </c>
      <c r="AC54" s="383">
        <v>0</v>
      </c>
      <c r="AD54" s="383">
        <v>0</v>
      </c>
      <c r="AE54" s="383">
        <v>0</v>
      </c>
      <c r="AF54" s="383">
        <v>0</v>
      </c>
      <c r="AG54" s="383">
        <v>0</v>
      </c>
      <c r="AH54" s="383">
        <v>0</v>
      </c>
      <c r="AI54" s="383">
        <v>0</v>
      </c>
      <c r="AJ54" s="383">
        <v>0</v>
      </c>
      <c r="AK54" s="383">
        <v>0</v>
      </c>
      <c r="AL54" s="383">
        <v>0</v>
      </c>
      <c r="AM54" s="383">
        <v>0</v>
      </c>
      <c r="AN54" s="383">
        <v>0</v>
      </c>
      <c r="AO54" s="383">
        <v>0</v>
      </c>
      <c r="AP54" s="383">
        <v>0</v>
      </c>
      <c r="AQ54" s="383">
        <v>0</v>
      </c>
      <c r="AR54" s="383">
        <v>0</v>
      </c>
      <c r="AS54" s="383">
        <v>0</v>
      </c>
      <c r="AT54" s="383">
        <v>0</v>
      </c>
      <c r="AU54" s="383">
        <v>0</v>
      </c>
      <c r="AV54" s="383">
        <v>0</v>
      </c>
      <c r="AW54" s="383">
        <v>0</v>
      </c>
      <c r="AX54" s="383">
        <v>0</v>
      </c>
      <c r="AY54" s="383">
        <v>0</v>
      </c>
      <c r="AZ54" s="383">
        <v>0</v>
      </c>
      <c r="BA54" s="383">
        <v>0</v>
      </c>
      <c r="BB54" s="383">
        <v>0</v>
      </c>
      <c r="BC54" s="383">
        <v>0</v>
      </c>
      <c r="BD54" s="383">
        <v>0</v>
      </c>
      <c r="BE54" s="383">
        <f t="shared" si="1"/>
        <v>0</v>
      </c>
      <c r="BF54" s="383">
        <f t="shared" si="2"/>
        <v>0</v>
      </c>
      <c r="BG54" s="383">
        <v>0</v>
      </c>
      <c r="BH54" s="383">
        <f t="shared" si="3"/>
        <v>0</v>
      </c>
      <c r="BI54" s="383">
        <v>0</v>
      </c>
      <c r="BJ54" s="383">
        <v>0</v>
      </c>
      <c r="BK54" s="383">
        <f t="shared" si="4"/>
        <v>0</v>
      </c>
      <c r="BL54" s="383">
        <v>0</v>
      </c>
      <c r="BM54" s="383">
        <v>0</v>
      </c>
      <c r="BN54" s="383">
        <f t="shared" si="5"/>
        <v>0</v>
      </c>
      <c r="BO54" s="383">
        <f t="shared" si="6"/>
        <v>0</v>
      </c>
      <c r="BP54" s="383">
        <v>0</v>
      </c>
      <c r="BQ54" s="383">
        <f t="shared" si="7"/>
        <v>0</v>
      </c>
      <c r="BR54" s="383">
        <v>0</v>
      </c>
      <c r="BS54" s="383">
        <v>0</v>
      </c>
      <c r="BT54" s="383">
        <v>0</v>
      </c>
      <c r="BU54" s="383">
        <f t="shared" si="8"/>
        <v>0</v>
      </c>
      <c r="BV54" s="383">
        <v>0</v>
      </c>
      <c r="BW54" s="383">
        <v>0</v>
      </c>
      <c r="BX54" s="383">
        <v>0</v>
      </c>
      <c r="BY54" s="383">
        <f t="shared" si="9"/>
        <v>0</v>
      </c>
      <c r="BZ54" s="383">
        <v>0</v>
      </c>
      <c r="CA54" s="383">
        <v>0</v>
      </c>
      <c r="CB54" s="383">
        <v>0</v>
      </c>
      <c r="CC54" s="383">
        <v>0</v>
      </c>
      <c r="CD54" s="383">
        <f t="shared" si="10"/>
        <v>0</v>
      </c>
      <c r="CE54" s="383">
        <f t="shared" si="11"/>
        <v>0</v>
      </c>
      <c r="CF54" s="383">
        <v>0</v>
      </c>
      <c r="CG54" s="383">
        <f t="shared" si="12"/>
        <v>0</v>
      </c>
      <c r="CH54" s="383" t="e">
        <f>VLOOKUP($B54,'Data - CFR 202526'!$B$4:$CJ$127,85,0)</f>
        <v>#N/A</v>
      </c>
      <c r="CI54" s="383" t="e">
        <f>VLOOKUP($B54,'Data - CFR 202526'!$B$4:$CJ$127,86,0)</f>
        <v>#N/A</v>
      </c>
      <c r="CJ54" s="383" t="e">
        <f>VLOOKUP($B54,'Data - CFR 202526'!$B$4:$CJ$127,87,0)</f>
        <v>#N/A</v>
      </c>
    </row>
    <row r="55" spans="1:88" s="220" customFormat="1" ht="13.8">
      <c r="A55" s="252" t="s">
        <v>1525</v>
      </c>
      <c r="B55" s="288">
        <v>3035</v>
      </c>
      <c r="C55" s="288" t="s">
        <v>757</v>
      </c>
      <c r="D55" s="248" t="s">
        <v>704</v>
      </c>
      <c r="E55" s="380"/>
      <c r="F55" s="383">
        <v>800172.59548304009</v>
      </c>
      <c r="G55" s="383">
        <v>0</v>
      </c>
      <c r="H55" s="383">
        <v>4171</v>
      </c>
      <c r="I55" s="383">
        <v>0</v>
      </c>
      <c r="J55" s="383">
        <v>20870</v>
      </c>
      <c r="K55" s="383">
        <v>33677</v>
      </c>
      <c r="L55" s="383">
        <v>0</v>
      </c>
      <c r="M55" s="383">
        <v>4375</v>
      </c>
      <c r="N55" s="383">
        <v>15071</v>
      </c>
      <c r="O55" s="383">
        <v>0</v>
      </c>
      <c r="P55" s="383">
        <v>0</v>
      </c>
      <c r="Q55" s="383">
        <v>0</v>
      </c>
      <c r="R55" s="383">
        <v>1900</v>
      </c>
      <c r="S55" s="383">
        <v>2900</v>
      </c>
      <c r="T55" s="383">
        <v>0</v>
      </c>
      <c r="U55" s="383">
        <v>0</v>
      </c>
      <c r="V55" s="383">
        <v>0</v>
      </c>
      <c r="W55" s="383">
        <v>0</v>
      </c>
      <c r="X55" s="383">
        <v>0</v>
      </c>
      <c r="Y55" s="383">
        <f t="shared" si="0"/>
        <v>883136.59548304009</v>
      </c>
      <c r="Z55" s="383">
        <v>420147.24678266671</v>
      </c>
      <c r="AA55" s="383">
        <v>0</v>
      </c>
      <c r="AB55" s="383">
        <v>160261.96360521539</v>
      </c>
      <c r="AC55" s="383">
        <v>7693.2879623852505</v>
      </c>
      <c r="AD55" s="383">
        <v>62782.100235718797</v>
      </c>
      <c r="AE55" s="383">
        <v>0</v>
      </c>
      <c r="AF55" s="383">
        <v>33596.996634634961</v>
      </c>
      <c r="AG55" s="383">
        <v>3350</v>
      </c>
      <c r="AH55" s="383">
        <v>9200</v>
      </c>
      <c r="AI55" s="383">
        <v>2320</v>
      </c>
      <c r="AJ55" s="383">
        <v>0</v>
      </c>
      <c r="AK55" s="383">
        <v>10000</v>
      </c>
      <c r="AL55" s="383">
        <v>2910</v>
      </c>
      <c r="AM55" s="383">
        <v>20703</v>
      </c>
      <c r="AN55" s="383">
        <v>10700</v>
      </c>
      <c r="AO55" s="383">
        <v>20010</v>
      </c>
      <c r="AP55" s="383">
        <v>18453.5</v>
      </c>
      <c r="AQ55" s="383">
        <v>6944.12</v>
      </c>
      <c r="AR55" s="383">
        <v>23479.5</v>
      </c>
      <c r="AS55" s="383">
        <v>30939</v>
      </c>
      <c r="AT55" s="383">
        <v>0</v>
      </c>
      <c r="AU55" s="383">
        <v>7560</v>
      </c>
      <c r="AV55" s="383">
        <v>4631</v>
      </c>
      <c r="AW55" s="383">
        <v>0</v>
      </c>
      <c r="AX55" s="383">
        <v>31996</v>
      </c>
      <c r="AY55" s="383">
        <v>8340</v>
      </c>
      <c r="AZ55" s="383">
        <v>8150</v>
      </c>
      <c r="BA55" s="383">
        <v>14819</v>
      </c>
      <c r="BB55" s="383">
        <v>0</v>
      </c>
      <c r="BC55" s="383">
        <v>0</v>
      </c>
      <c r="BD55" s="383">
        <v>1871</v>
      </c>
      <c r="BE55" s="383">
        <f t="shared" si="1"/>
        <v>920857.71522062097</v>
      </c>
      <c r="BF55" s="383">
        <f t="shared" si="2"/>
        <v>-37721.119737580884</v>
      </c>
      <c r="BG55" s="383">
        <v>65981.220000000088</v>
      </c>
      <c r="BH55" s="383">
        <f t="shared" si="3"/>
        <v>28260.100262419204</v>
      </c>
      <c r="BI55" s="383">
        <v>0</v>
      </c>
      <c r="BJ55" s="383">
        <v>0</v>
      </c>
      <c r="BK55" s="383">
        <f t="shared" si="4"/>
        <v>0</v>
      </c>
      <c r="BL55" s="383">
        <v>0</v>
      </c>
      <c r="BM55" s="383">
        <v>0</v>
      </c>
      <c r="BN55" s="383">
        <f t="shared" si="5"/>
        <v>0</v>
      </c>
      <c r="BO55" s="383">
        <f t="shared" si="6"/>
        <v>0</v>
      </c>
      <c r="BP55" s="383">
        <v>0</v>
      </c>
      <c r="BQ55" s="383">
        <f t="shared" si="7"/>
        <v>0</v>
      </c>
      <c r="BR55" s="383">
        <v>0</v>
      </c>
      <c r="BS55" s="383">
        <v>28260.100262419204</v>
      </c>
      <c r="BT55" s="383">
        <v>0</v>
      </c>
      <c r="BU55" s="383">
        <f t="shared" si="8"/>
        <v>28260.100262419204</v>
      </c>
      <c r="BV55" s="383">
        <v>5500</v>
      </c>
      <c r="BW55" s="383">
        <v>0</v>
      </c>
      <c r="BX55" s="383">
        <v>0</v>
      </c>
      <c r="BY55" s="383">
        <f t="shared" si="9"/>
        <v>5500</v>
      </c>
      <c r="BZ55" s="383">
        <v>0</v>
      </c>
      <c r="CA55" s="383">
        <v>6832.09</v>
      </c>
      <c r="CB55" s="383">
        <v>0</v>
      </c>
      <c r="CC55" s="383">
        <v>2500</v>
      </c>
      <c r="CD55" s="383">
        <f t="shared" si="10"/>
        <v>9332.09</v>
      </c>
      <c r="CE55" s="383">
        <f t="shared" si="11"/>
        <v>-3832.09</v>
      </c>
      <c r="CF55" s="383">
        <v>3832.09</v>
      </c>
      <c r="CG55" s="383">
        <f t="shared" si="12"/>
        <v>0</v>
      </c>
      <c r="CH55" s="383">
        <f>VLOOKUP($B55,'Data - CFR 202526'!$B$4:$CJ$127,85,0)</f>
        <v>3832.09</v>
      </c>
      <c r="CI55" s="383">
        <f>VLOOKUP($B55,'Data - CFR 202526'!$B$4:$CJ$127,86,0)</f>
        <v>0</v>
      </c>
      <c r="CJ55" s="383">
        <f>VLOOKUP($B55,'Data - CFR 202526'!$B$4:$CJ$127,87,0)</f>
        <v>3832.09</v>
      </c>
    </row>
    <row r="56" spans="1:88" s="220" customFormat="1" ht="13.8">
      <c r="A56" s="252" t="s">
        <v>1525</v>
      </c>
      <c r="B56" s="288">
        <v>2205</v>
      </c>
      <c r="C56" s="288" t="s">
        <v>758</v>
      </c>
      <c r="D56" s="248" t="s">
        <v>704</v>
      </c>
      <c r="E56" s="380"/>
      <c r="F56" s="383">
        <v>435215.54</v>
      </c>
      <c r="G56" s="383">
        <v>0</v>
      </c>
      <c r="H56" s="383">
        <v>31584.6</v>
      </c>
      <c r="I56" s="383">
        <v>0</v>
      </c>
      <c r="J56" s="383">
        <v>15500</v>
      </c>
      <c r="K56" s="383">
        <v>19952</v>
      </c>
      <c r="L56" s="383">
        <v>0</v>
      </c>
      <c r="M56" s="383">
        <v>0</v>
      </c>
      <c r="N56" s="383">
        <v>8200</v>
      </c>
      <c r="O56" s="383">
        <v>8600</v>
      </c>
      <c r="P56" s="383">
        <v>0</v>
      </c>
      <c r="Q56" s="383">
        <v>0</v>
      </c>
      <c r="R56" s="383">
        <v>4895</v>
      </c>
      <c r="S56" s="383">
        <v>6645.8</v>
      </c>
      <c r="T56" s="383">
        <v>0</v>
      </c>
      <c r="U56" s="383">
        <v>0</v>
      </c>
      <c r="V56" s="383">
        <v>0</v>
      </c>
      <c r="W56" s="383">
        <v>0</v>
      </c>
      <c r="X56" s="383">
        <v>0</v>
      </c>
      <c r="Y56" s="383">
        <f t="shared" si="0"/>
        <v>530592.93999999994</v>
      </c>
      <c r="Z56" s="383">
        <v>240351.30511066699</v>
      </c>
      <c r="AA56" s="383">
        <v>0</v>
      </c>
      <c r="AB56" s="383">
        <v>138407.82999999999</v>
      </c>
      <c r="AC56" s="383">
        <v>0</v>
      </c>
      <c r="AD56" s="383">
        <v>45764.33</v>
      </c>
      <c r="AE56" s="383">
        <v>0</v>
      </c>
      <c r="AF56" s="383">
        <v>4007.19</v>
      </c>
      <c r="AG56" s="383">
        <v>3026.12</v>
      </c>
      <c r="AH56" s="383">
        <v>2900</v>
      </c>
      <c r="AI56" s="383">
        <v>1394</v>
      </c>
      <c r="AJ56" s="383">
        <v>0</v>
      </c>
      <c r="AK56" s="383">
        <v>8896</v>
      </c>
      <c r="AL56" s="383">
        <v>8835</v>
      </c>
      <c r="AM56" s="383">
        <v>20739</v>
      </c>
      <c r="AN56" s="383">
        <v>5798</v>
      </c>
      <c r="AO56" s="383">
        <v>13100</v>
      </c>
      <c r="AP56" s="383">
        <v>19779.5</v>
      </c>
      <c r="AQ56" s="383">
        <v>6311.56</v>
      </c>
      <c r="AR56" s="383">
        <v>26316.799999999999</v>
      </c>
      <c r="AS56" s="383">
        <v>20093.22</v>
      </c>
      <c r="AT56" s="383">
        <v>0</v>
      </c>
      <c r="AU56" s="383">
        <v>4502.7</v>
      </c>
      <c r="AV56" s="383">
        <v>1890.54</v>
      </c>
      <c r="AW56" s="383">
        <v>1665</v>
      </c>
      <c r="AX56" s="383">
        <v>15397</v>
      </c>
      <c r="AY56" s="383">
        <v>1453.6</v>
      </c>
      <c r="AZ56" s="383">
        <v>3350</v>
      </c>
      <c r="BA56" s="383">
        <v>31590.54</v>
      </c>
      <c r="BB56" s="383">
        <v>0</v>
      </c>
      <c r="BC56" s="383">
        <v>0</v>
      </c>
      <c r="BD56" s="383">
        <v>0</v>
      </c>
      <c r="BE56" s="383">
        <f t="shared" si="1"/>
        <v>625569.23511066695</v>
      </c>
      <c r="BF56" s="383">
        <f t="shared" si="2"/>
        <v>-94976.295110667008</v>
      </c>
      <c r="BG56" s="383">
        <v>-13879.2699999996</v>
      </c>
      <c r="BH56" s="383">
        <f t="shared" si="3"/>
        <v>-108855.5651106666</v>
      </c>
      <c r="BI56" s="383">
        <v>0</v>
      </c>
      <c r="BJ56" s="383">
        <v>0</v>
      </c>
      <c r="BK56" s="383">
        <f t="shared" si="4"/>
        <v>0</v>
      </c>
      <c r="BL56" s="383">
        <v>0</v>
      </c>
      <c r="BM56" s="383">
        <v>0</v>
      </c>
      <c r="BN56" s="383">
        <f t="shared" si="5"/>
        <v>0</v>
      </c>
      <c r="BO56" s="383">
        <f t="shared" si="6"/>
        <v>0</v>
      </c>
      <c r="BP56" s="383">
        <v>0</v>
      </c>
      <c r="BQ56" s="383">
        <f t="shared" si="7"/>
        <v>0</v>
      </c>
      <c r="BR56" s="383">
        <v>0</v>
      </c>
      <c r="BS56" s="383">
        <v>-108855.565110667</v>
      </c>
      <c r="BT56" s="383">
        <v>0</v>
      </c>
      <c r="BU56" s="383">
        <f t="shared" si="8"/>
        <v>-108855.5651106666</v>
      </c>
      <c r="BV56" s="383">
        <v>4844</v>
      </c>
      <c r="BW56" s="383">
        <v>0</v>
      </c>
      <c r="BX56" s="383">
        <v>0</v>
      </c>
      <c r="BY56" s="383">
        <f t="shared" si="9"/>
        <v>4844</v>
      </c>
      <c r="BZ56" s="383">
        <v>0</v>
      </c>
      <c r="CA56" s="383">
        <v>18781.46</v>
      </c>
      <c r="CB56" s="383">
        <v>0</v>
      </c>
      <c r="CC56" s="383">
        <v>0</v>
      </c>
      <c r="CD56" s="383">
        <f t="shared" si="10"/>
        <v>18781.46</v>
      </c>
      <c r="CE56" s="383">
        <f t="shared" si="11"/>
        <v>-13937.46</v>
      </c>
      <c r="CF56" s="383">
        <v>13937.47</v>
      </c>
      <c r="CG56" s="383">
        <f t="shared" si="12"/>
        <v>1.0000000000218279E-2</v>
      </c>
      <c r="CH56" s="383">
        <f>VLOOKUP($B56,'Data - CFR 202526'!$B$4:$CJ$127,85,0)</f>
        <v>13937.460000000003</v>
      </c>
      <c r="CI56" s="383">
        <f>VLOOKUP($B56,'Data - CFR 202526'!$B$4:$CJ$127,86,0)</f>
        <v>1.0000000000218279E-2</v>
      </c>
      <c r="CJ56" s="383">
        <f>VLOOKUP($B56,'Data - CFR 202526'!$B$4:$CJ$127,87,0)</f>
        <v>13937.470000000003</v>
      </c>
    </row>
    <row r="57" spans="1:88" s="220" customFormat="1" ht="13.8">
      <c r="A57" s="252" t="s">
        <v>1525</v>
      </c>
      <c r="B57" s="288">
        <v>2211</v>
      </c>
      <c r="C57" s="288" t="s">
        <v>759</v>
      </c>
      <c r="D57" s="248" t="s">
        <v>704</v>
      </c>
      <c r="E57" s="380"/>
      <c r="F57" s="383">
        <v>1366915.0867798221</v>
      </c>
      <c r="G57" s="383">
        <v>0</v>
      </c>
      <c r="H57" s="383">
        <v>35106</v>
      </c>
      <c r="I57" s="383">
        <v>0</v>
      </c>
      <c r="J57" s="383">
        <v>57200</v>
      </c>
      <c r="K57" s="383">
        <v>54342</v>
      </c>
      <c r="L57" s="383">
        <v>0</v>
      </c>
      <c r="M57" s="383">
        <v>25000</v>
      </c>
      <c r="N57" s="383">
        <v>800</v>
      </c>
      <c r="O57" s="383">
        <v>0</v>
      </c>
      <c r="P57" s="383">
        <v>2850</v>
      </c>
      <c r="Q57" s="383">
        <v>0</v>
      </c>
      <c r="R57" s="383">
        <v>0</v>
      </c>
      <c r="S57" s="383">
        <v>0</v>
      </c>
      <c r="T57" s="383">
        <v>0</v>
      </c>
      <c r="U57" s="383">
        <v>0</v>
      </c>
      <c r="V57" s="383">
        <v>0</v>
      </c>
      <c r="W57" s="383">
        <v>0</v>
      </c>
      <c r="X57" s="383">
        <v>0</v>
      </c>
      <c r="Y57" s="383">
        <f t="shared" si="0"/>
        <v>1542213.0867798221</v>
      </c>
      <c r="Z57" s="383">
        <v>853387.9141885076</v>
      </c>
      <c r="AA57" s="383">
        <v>0</v>
      </c>
      <c r="AB57" s="383">
        <v>290593.31844967406</v>
      </c>
      <c r="AC57" s="383">
        <v>36959.879219999995</v>
      </c>
      <c r="AD57" s="383">
        <v>60970.304666770418</v>
      </c>
      <c r="AE57" s="383">
        <v>0</v>
      </c>
      <c r="AF57" s="383">
        <v>0</v>
      </c>
      <c r="AG57" s="383">
        <v>5500</v>
      </c>
      <c r="AH57" s="383">
        <v>5000</v>
      </c>
      <c r="AI57" s="383">
        <v>6943</v>
      </c>
      <c r="AJ57" s="383">
        <v>0</v>
      </c>
      <c r="AK57" s="383">
        <v>10000</v>
      </c>
      <c r="AL57" s="383">
        <v>1400</v>
      </c>
      <c r="AM57" s="383">
        <v>32181</v>
      </c>
      <c r="AN57" s="383">
        <v>8000</v>
      </c>
      <c r="AO57" s="383">
        <v>27000</v>
      </c>
      <c r="AP57" s="383">
        <v>35525</v>
      </c>
      <c r="AQ57" s="383">
        <v>5500</v>
      </c>
      <c r="AR57" s="383">
        <v>42385</v>
      </c>
      <c r="AS57" s="383">
        <v>49202</v>
      </c>
      <c r="AT57" s="383">
        <v>0</v>
      </c>
      <c r="AU57" s="383">
        <v>9305</v>
      </c>
      <c r="AV57" s="383">
        <v>7451</v>
      </c>
      <c r="AW57" s="383">
        <v>0</v>
      </c>
      <c r="AX57" s="383">
        <v>68107</v>
      </c>
      <c r="AY57" s="383">
        <v>16825</v>
      </c>
      <c r="AZ57" s="383">
        <v>13500</v>
      </c>
      <c r="BA57" s="383">
        <v>15410</v>
      </c>
      <c r="BB57" s="383">
        <v>0</v>
      </c>
      <c r="BC57" s="383">
        <v>0</v>
      </c>
      <c r="BD57" s="383">
        <v>0</v>
      </c>
      <c r="BE57" s="383">
        <f t="shared" si="1"/>
        <v>1601145.416524952</v>
      </c>
      <c r="BF57" s="383">
        <f t="shared" si="2"/>
        <v>-58932.329745129915</v>
      </c>
      <c r="BG57" s="383">
        <v>63956.66</v>
      </c>
      <c r="BH57" s="383">
        <f t="shared" si="3"/>
        <v>5024.3302548700885</v>
      </c>
      <c r="BI57" s="383">
        <v>81100</v>
      </c>
      <c r="BJ57" s="383">
        <v>17500</v>
      </c>
      <c r="BK57" s="383">
        <f t="shared" si="4"/>
        <v>98600</v>
      </c>
      <c r="BL57" s="383">
        <v>72820.83611970488</v>
      </c>
      <c r="BM57" s="383">
        <v>16012</v>
      </c>
      <c r="BN57" s="383">
        <f t="shared" si="5"/>
        <v>88832.83611970488</v>
      </c>
      <c r="BO57" s="383">
        <f t="shared" si="6"/>
        <v>9767.1638802951202</v>
      </c>
      <c r="BP57" s="383">
        <v>-9671.5</v>
      </c>
      <c r="BQ57" s="383">
        <f t="shared" si="7"/>
        <v>95.66388029512018</v>
      </c>
      <c r="BR57" s="383">
        <v>0</v>
      </c>
      <c r="BS57" s="383">
        <v>5024.3302548700885</v>
      </c>
      <c r="BT57" s="383">
        <v>95.66388029512018</v>
      </c>
      <c r="BU57" s="383">
        <f t="shared" si="8"/>
        <v>5119.9941351652087</v>
      </c>
      <c r="BV57" s="383">
        <v>6959</v>
      </c>
      <c r="BW57" s="383">
        <v>0</v>
      </c>
      <c r="BX57" s="383">
        <v>0</v>
      </c>
      <c r="BY57" s="383">
        <f t="shared" si="9"/>
        <v>6959</v>
      </c>
      <c r="BZ57" s="383">
        <v>0</v>
      </c>
      <c r="CA57" s="383">
        <v>0</v>
      </c>
      <c r="CB57" s="383">
        <v>0</v>
      </c>
      <c r="CC57" s="383">
        <v>6959</v>
      </c>
      <c r="CD57" s="383">
        <f t="shared" si="10"/>
        <v>6959</v>
      </c>
      <c r="CE57" s="383">
        <f t="shared" si="11"/>
        <v>0</v>
      </c>
      <c r="CF57" s="383">
        <v>1.8189894035458565E-12</v>
      </c>
      <c r="CG57" s="383">
        <f t="shared" si="12"/>
        <v>1.8189894035458565E-12</v>
      </c>
      <c r="CH57" s="383">
        <f>VLOOKUP($B57,'Data - CFR 202526'!$B$4:$CJ$127,85,0)</f>
        <v>1.8189894035458565E-12</v>
      </c>
      <c r="CI57" s="383">
        <f>VLOOKUP($B57,'Data - CFR 202526'!$B$4:$CJ$127,86,0)</f>
        <v>0</v>
      </c>
      <c r="CJ57" s="383">
        <f>VLOOKUP($B57,'Data - CFR 202526'!$B$4:$CJ$127,87,0)</f>
        <v>1.8189894035458565E-12</v>
      </c>
    </row>
    <row r="58" spans="1:88" s="220" customFormat="1" ht="13.8">
      <c r="A58" s="252" t="s">
        <v>1525</v>
      </c>
      <c r="B58" s="288">
        <v>1003</v>
      </c>
      <c r="C58" s="288" t="s">
        <v>760</v>
      </c>
      <c r="D58" s="248" t="s">
        <v>720</v>
      </c>
      <c r="E58" s="380"/>
      <c r="F58" s="383">
        <v>476000</v>
      </c>
      <c r="G58" s="383">
        <v>0</v>
      </c>
      <c r="H58" s="383">
        <v>6312</v>
      </c>
      <c r="I58" s="383">
        <v>0</v>
      </c>
      <c r="J58" s="383">
        <v>0</v>
      </c>
      <c r="K58" s="383">
        <v>0</v>
      </c>
      <c r="L58" s="383">
        <v>0</v>
      </c>
      <c r="M58" s="383">
        <v>0</v>
      </c>
      <c r="N58" s="383">
        <v>1200</v>
      </c>
      <c r="O58" s="383">
        <v>11200</v>
      </c>
      <c r="P58" s="383">
        <v>0</v>
      </c>
      <c r="Q58" s="383">
        <v>0</v>
      </c>
      <c r="R58" s="383">
        <v>0</v>
      </c>
      <c r="S58" s="383">
        <v>0</v>
      </c>
      <c r="T58" s="383">
        <v>0</v>
      </c>
      <c r="U58" s="383">
        <v>0</v>
      </c>
      <c r="V58" s="383">
        <v>0</v>
      </c>
      <c r="W58" s="383">
        <v>0</v>
      </c>
      <c r="X58" s="383">
        <v>0</v>
      </c>
      <c r="Y58" s="383">
        <f t="shared" si="0"/>
        <v>494712</v>
      </c>
      <c r="Z58" s="383">
        <v>265993.78999999998</v>
      </c>
      <c r="AA58" s="383">
        <v>0</v>
      </c>
      <c r="AB58" s="383">
        <v>173914.07</v>
      </c>
      <c r="AC58" s="383">
        <v>10175.120000000001</v>
      </c>
      <c r="AD58" s="383">
        <v>25731.08</v>
      </c>
      <c r="AE58" s="383">
        <v>8919.77</v>
      </c>
      <c r="AF58" s="383">
        <v>14263.1</v>
      </c>
      <c r="AG58" s="383">
        <v>2880</v>
      </c>
      <c r="AH58" s="383">
        <v>2500</v>
      </c>
      <c r="AI58" s="383">
        <v>0</v>
      </c>
      <c r="AJ58" s="383">
        <v>0</v>
      </c>
      <c r="AK58" s="383">
        <v>6615</v>
      </c>
      <c r="AL58" s="383">
        <v>2583</v>
      </c>
      <c r="AM58" s="383">
        <v>9350</v>
      </c>
      <c r="AN58" s="383">
        <v>950</v>
      </c>
      <c r="AO58" s="383">
        <v>6400</v>
      </c>
      <c r="AP58" s="383">
        <v>4641</v>
      </c>
      <c r="AQ58" s="383">
        <v>4500</v>
      </c>
      <c r="AR58" s="383">
        <v>2500</v>
      </c>
      <c r="AS58" s="383">
        <v>8273.0299999999988</v>
      </c>
      <c r="AT58" s="383">
        <v>0</v>
      </c>
      <c r="AU58" s="383">
        <v>1020</v>
      </c>
      <c r="AV58" s="383">
        <v>1043.3499999999999</v>
      </c>
      <c r="AW58" s="383">
        <v>0</v>
      </c>
      <c r="AX58" s="383">
        <v>8800</v>
      </c>
      <c r="AY58" s="383">
        <v>0</v>
      </c>
      <c r="AZ58" s="383">
        <v>0</v>
      </c>
      <c r="BA58" s="383">
        <v>4348</v>
      </c>
      <c r="BB58" s="383">
        <v>0</v>
      </c>
      <c r="BC58" s="383">
        <v>0</v>
      </c>
      <c r="BD58" s="383">
        <v>0</v>
      </c>
      <c r="BE58" s="383">
        <f t="shared" si="1"/>
        <v>565400.30999999994</v>
      </c>
      <c r="BF58" s="383">
        <f t="shared" si="2"/>
        <v>-70688.309999999939</v>
      </c>
      <c r="BG58" s="383">
        <v>-85222.130000000034</v>
      </c>
      <c r="BH58" s="383">
        <f t="shared" si="3"/>
        <v>-155910.43999999997</v>
      </c>
      <c r="BI58" s="383">
        <v>350000</v>
      </c>
      <c r="BJ58" s="383">
        <v>461800</v>
      </c>
      <c r="BK58" s="383">
        <f t="shared" si="4"/>
        <v>811800</v>
      </c>
      <c r="BL58" s="383">
        <v>677255.84</v>
      </c>
      <c r="BM58" s="383">
        <v>146142.49</v>
      </c>
      <c r="BN58" s="383">
        <f t="shared" si="5"/>
        <v>823398.33</v>
      </c>
      <c r="BO58" s="383">
        <f t="shared" si="6"/>
        <v>-11598.329999999958</v>
      </c>
      <c r="BP58" s="383">
        <v>490462.85000000009</v>
      </c>
      <c r="BQ58" s="383">
        <f t="shared" si="7"/>
        <v>478864.52000000014</v>
      </c>
      <c r="BR58" s="383">
        <v>0</v>
      </c>
      <c r="BS58" s="383">
        <v>-155910.43999999997</v>
      </c>
      <c r="BT58" s="383">
        <v>478864.52000000014</v>
      </c>
      <c r="BU58" s="383">
        <f t="shared" si="8"/>
        <v>322954.08000000019</v>
      </c>
      <c r="BV58" s="383">
        <v>4752</v>
      </c>
      <c r="BW58" s="383">
        <v>0</v>
      </c>
      <c r="BX58" s="383">
        <v>0</v>
      </c>
      <c r="BY58" s="383">
        <f t="shared" si="9"/>
        <v>4752</v>
      </c>
      <c r="BZ58" s="383">
        <v>0</v>
      </c>
      <c r="CA58" s="383">
        <v>23668.06</v>
      </c>
      <c r="CB58" s="383">
        <v>0</v>
      </c>
      <c r="CC58" s="383">
        <v>0</v>
      </c>
      <c r="CD58" s="383">
        <f t="shared" si="10"/>
        <v>23668.06</v>
      </c>
      <c r="CE58" s="383">
        <f t="shared" si="11"/>
        <v>-18916.060000000001</v>
      </c>
      <c r="CF58" s="383">
        <v>18916.059999999998</v>
      </c>
      <c r="CG58" s="383">
        <f t="shared" si="12"/>
        <v>0</v>
      </c>
      <c r="CH58" s="383">
        <f>VLOOKUP($B58,'Data - CFR 202526'!$B$4:$CJ$127,85,0)</f>
        <v>18916.059999999998</v>
      </c>
      <c r="CI58" s="383">
        <f>VLOOKUP($B58,'Data - CFR 202526'!$B$4:$CJ$127,86,0)</f>
        <v>0</v>
      </c>
      <c r="CJ58" s="383">
        <f>VLOOKUP($B58,'Data - CFR 202526'!$B$4:$CJ$127,87,0)</f>
        <v>18916.059999999998</v>
      </c>
    </row>
    <row r="59" spans="1:88" s="220" customFormat="1" ht="13.8">
      <c r="A59" s="252" t="s">
        <v>1525</v>
      </c>
      <c r="B59" s="288">
        <v>3071</v>
      </c>
      <c r="C59" s="288" t="s">
        <v>761</v>
      </c>
      <c r="D59" s="248" t="s">
        <v>704</v>
      </c>
      <c r="E59" s="380"/>
      <c r="F59" s="383">
        <v>1038727.70057171</v>
      </c>
      <c r="G59" s="383">
        <v>0</v>
      </c>
      <c r="H59" s="383">
        <v>53363</v>
      </c>
      <c r="I59" s="383">
        <v>0</v>
      </c>
      <c r="J59" s="383">
        <v>41440</v>
      </c>
      <c r="K59" s="383">
        <v>51215</v>
      </c>
      <c r="L59" s="383">
        <v>0</v>
      </c>
      <c r="M59" s="383">
        <v>6500</v>
      </c>
      <c r="N59" s="383">
        <v>60300</v>
      </c>
      <c r="O59" s="383">
        <v>0</v>
      </c>
      <c r="P59" s="383">
        <v>0</v>
      </c>
      <c r="Q59" s="383">
        <v>0</v>
      </c>
      <c r="R59" s="383">
        <v>0</v>
      </c>
      <c r="S59" s="383">
        <v>0</v>
      </c>
      <c r="T59" s="383">
        <v>0</v>
      </c>
      <c r="U59" s="383">
        <v>0</v>
      </c>
      <c r="V59" s="383">
        <v>0</v>
      </c>
      <c r="W59" s="383">
        <v>0</v>
      </c>
      <c r="X59" s="383">
        <v>0</v>
      </c>
      <c r="Y59" s="383">
        <f t="shared" si="0"/>
        <v>1251545.70057171</v>
      </c>
      <c r="Z59" s="383">
        <v>682941.49037349597</v>
      </c>
      <c r="AA59" s="383">
        <v>3250</v>
      </c>
      <c r="AB59" s="383">
        <v>223548.51600079658</v>
      </c>
      <c r="AC59" s="383">
        <v>33928.839234931394</v>
      </c>
      <c r="AD59" s="383">
        <v>33960.710180058057</v>
      </c>
      <c r="AE59" s="383">
        <v>0</v>
      </c>
      <c r="AF59" s="383">
        <v>45334.036868811781</v>
      </c>
      <c r="AG59" s="383">
        <v>4700</v>
      </c>
      <c r="AH59" s="383">
        <v>1000</v>
      </c>
      <c r="AI59" s="383">
        <v>3820</v>
      </c>
      <c r="AJ59" s="383">
        <v>0</v>
      </c>
      <c r="AK59" s="383">
        <v>20000</v>
      </c>
      <c r="AL59" s="383">
        <v>2000</v>
      </c>
      <c r="AM59" s="383">
        <v>1900</v>
      </c>
      <c r="AN59" s="383">
        <v>4000</v>
      </c>
      <c r="AO59" s="383">
        <v>19500</v>
      </c>
      <c r="AP59" s="383">
        <v>0</v>
      </c>
      <c r="AQ59" s="383">
        <v>6780</v>
      </c>
      <c r="AR59" s="383">
        <v>22700</v>
      </c>
      <c r="AS59" s="383">
        <v>39300</v>
      </c>
      <c r="AT59" s="383">
        <v>0</v>
      </c>
      <c r="AU59" s="383">
        <v>10816</v>
      </c>
      <c r="AV59" s="383">
        <v>6337</v>
      </c>
      <c r="AW59" s="383">
        <v>3000</v>
      </c>
      <c r="AX59" s="383">
        <v>45055</v>
      </c>
      <c r="AY59" s="383">
        <v>0</v>
      </c>
      <c r="AZ59" s="383">
        <v>5200</v>
      </c>
      <c r="BA59" s="383">
        <v>11447.5</v>
      </c>
      <c r="BB59" s="383">
        <v>0</v>
      </c>
      <c r="BC59" s="383">
        <v>0</v>
      </c>
      <c r="BD59" s="383">
        <v>0</v>
      </c>
      <c r="BE59" s="383">
        <f t="shared" si="1"/>
        <v>1230519.0926580937</v>
      </c>
      <c r="BF59" s="383">
        <f t="shared" si="2"/>
        <v>21026.607913616346</v>
      </c>
      <c r="BG59" s="383">
        <v>-71644.360000000132</v>
      </c>
      <c r="BH59" s="383">
        <f t="shared" si="3"/>
        <v>-50617.752086383785</v>
      </c>
      <c r="BI59" s="383">
        <v>0</v>
      </c>
      <c r="BJ59" s="383">
        <v>0</v>
      </c>
      <c r="BK59" s="383">
        <f t="shared" si="4"/>
        <v>0</v>
      </c>
      <c r="BL59" s="383">
        <v>0</v>
      </c>
      <c r="BM59" s="383">
        <v>0</v>
      </c>
      <c r="BN59" s="383">
        <f t="shared" si="5"/>
        <v>0</v>
      </c>
      <c r="BO59" s="383">
        <f t="shared" si="6"/>
        <v>0</v>
      </c>
      <c r="BP59" s="383">
        <v>0</v>
      </c>
      <c r="BQ59" s="383">
        <f t="shared" si="7"/>
        <v>0</v>
      </c>
      <c r="BR59" s="383">
        <v>0</v>
      </c>
      <c r="BS59" s="383">
        <v>-50617.752086383785</v>
      </c>
      <c r="BT59" s="383">
        <v>0</v>
      </c>
      <c r="BU59" s="383">
        <f t="shared" si="8"/>
        <v>-50617.752086383785</v>
      </c>
      <c r="BV59" s="383">
        <v>6250</v>
      </c>
      <c r="BW59" s="383">
        <v>0</v>
      </c>
      <c r="BX59" s="383">
        <v>0</v>
      </c>
      <c r="BY59" s="383">
        <f t="shared" si="9"/>
        <v>6250</v>
      </c>
      <c r="BZ59" s="383">
        <v>0</v>
      </c>
      <c r="CA59" s="383">
        <v>9563.49</v>
      </c>
      <c r="CB59" s="383">
        <v>0</v>
      </c>
      <c r="CC59" s="383">
        <v>0</v>
      </c>
      <c r="CD59" s="383">
        <f t="shared" si="10"/>
        <v>9563.49</v>
      </c>
      <c r="CE59" s="383">
        <f t="shared" si="11"/>
        <v>-3313.49</v>
      </c>
      <c r="CF59" s="383">
        <v>3313.49</v>
      </c>
      <c r="CG59" s="383">
        <f t="shared" si="12"/>
        <v>0</v>
      </c>
      <c r="CH59" s="383">
        <f>VLOOKUP($B59,'Data - CFR 202526'!$B$4:$CJ$127,85,0)</f>
        <v>-6.9633188104489818E-13</v>
      </c>
      <c r="CI59" s="383">
        <f>VLOOKUP($B59,'Data - CFR 202526'!$B$4:$CJ$127,86,0)</f>
        <v>3313.4900000000007</v>
      </c>
      <c r="CJ59" s="383">
        <f>VLOOKUP($B59,'Data - CFR 202526'!$B$4:$CJ$127,87,0)</f>
        <v>3313.49</v>
      </c>
    </row>
    <row r="60" spans="1:88" s="220" customFormat="1" ht="13.8">
      <c r="A60" s="252" t="s">
        <v>1525</v>
      </c>
      <c r="B60" s="288">
        <v>1002</v>
      </c>
      <c r="C60" s="288" t="s">
        <v>762</v>
      </c>
      <c r="D60" s="248" t="s">
        <v>720</v>
      </c>
      <c r="E60" s="380"/>
      <c r="F60" s="383">
        <v>480236</v>
      </c>
      <c r="G60" s="383">
        <v>0</v>
      </c>
      <c r="H60" s="383">
        <v>3000</v>
      </c>
      <c r="I60" s="383">
        <v>0</v>
      </c>
      <c r="J60" s="383">
        <v>0</v>
      </c>
      <c r="K60" s="383">
        <v>0</v>
      </c>
      <c r="L60" s="383">
        <v>0</v>
      </c>
      <c r="M60" s="383">
        <v>0</v>
      </c>
      <c r="N60" s="383">
        <v>1500</v>
      </c>
      <c r="O60" s="383">
        <v>0</v>
      </c>
      <c r="P60" s="383">
        <v>0</v>
      </c>
      <c r="Q60" s="383">
        <v>0</v>
      </c>
      <c r="R60" s="383">
        <v>219375</v>
      </c>
      <c r="S60" s="383">
        <v>3705</v>
      </c>
      <c r="T60" s="383">
        <v>0</v>
      </c>
      <c r="U60" s="383">
        <v>0</v>
      </c>
      <c r="V60" s="383">
        <v>0</v>
      </c>
      <c r="W60" s="383">
        <v>0</v>
      </c>
      <c r="X60" s="383">
        <v>0</v>
      </c>
      <c r="Y60" s="383">
        <f t="shared" si="0"/>
        <v>707816</v>
      </c>
      <c r="Z60" s="383">
        <v>241958.86004052896</v>
      </c>
      <c r="AA60" s="383">
        <v>0</v>
      </c>
      <c r="AB60" s="383">
        <v>251991.35308058126</v>
      </c>
      <c r="AC60" s="383">
        <v>13037.953256003331</v>
      </c>
      <c r="AD60" s="383">
        <v>61215.171141899686</v>
      </c>
      <c r="AE60" s="383">
        <v>18278.355900509825</v>
      </c>
      <c r="AF60" s="383">
        <v>58751.893340635077</v>
      </c>
      <c r="AG60" s="383">
        <v>3000</v>
      </c>
      <c r="AH60" s="383">
        <v>6000</v>
      </c>
      <c r="AI60" s="383">
        <v>0</v>
      </c>
      <c r="AJ60" s="383">
        <v>0</v>
      </c>
      <c r="AK60" s="383">
        <v>10000</v>
      </c>
      <c r="AL60" s="383">
        <v>1632</v>
      </c>
      <c r="AM60" s="383">
        <v>20700</v>
      </c>
      <c r="AN60" s="383">
        <v>1860</v>
      </c>
      <c r="AO60" s="383">
        <v>10800</v>
      </c>
      <c r="AP60" s="383">
        <v>9392</v>
      </c>
      <c r="AQ60" s="383">
        <v>3540</v>
      </c>
      <c r="AR60" s="383">
        <v>3000</v>
      </c>
      <c r="AS60" s="383">
        <v>15669</v>
      </c>
      <c r="AT60" s="383">
        <v>0</v>
      </c>
      <c r="AU60" s="383">
        <v>4450</v>
      </c>
      <c r="AV60" s="383">
        <v>2040</v>
      </c>
      <c r="AW60" s="383">
        <v>0</v>
      </c>
      <c r="AX60" s="383">
        <v>0</v>
      </c>
      <c r="AY60" s="383">
        <v>0</v>
      </c>
      <c r="AZ60" s="383">
        <v>5547</v>
      </c>
      <c r="BA60" s="383">
        <v>8268</v>
      </c>
      <c r="BB60" s="383">
        <v>0</v>
      </c>
      <c r="BC60" s="383">
        <v>0</v>
      </c>
      <c r="BD60" s="383">
        <v>3500</v>
      </c>
      <c r="BE60" s="383">
        <f t="shared" si="1"/>
        <v>754631.58676015818</v>
      </c>
      <c r="BF60" s="383">
        <f t="shared" si="2"/>
        <v>-46815.586760158185</v>
      </c>
      <c r="BG60" s="383">
        <v>160702.94000000012</v>
      </c>
      <c r="BH60" s="383">
        <f t="shared" si="3"/>
        <v>113887.35323984193</v>
      </c>
      <c r="BI60" s="383">
        <v>103794</v>
      </c>
      <c r="BJ60" s="383">
        <v>258727</v>
      </c>
      <c r="BK60" s="383">
        <f t="shared" si="4"/>
        <v>362521</v>
      </c>
      <c r="BL60" s="383">
        <v>308068.36941236572</v>
      </c>
      <c r="BM60" s="383">
        <v>76427</v>
      </c>
      <c r="BN60" s="383">
        <f t="shared" si="5"/>
        <v>384495.36941236572</v>
      </c>
      <c r="BO60" s="383">
        <f t="shared" si="6"/>
        <v>-21974.369412365719</v>
      </c>
      <c r="BP60" s="383">
        <v>-34438.96999999995</v>
      </c>
      <c r="BQ60" s="383">
        <f t="shared" si="7"/>
        <v>-56413.339412365669</v>
      </c>
      <c r="BR60" s="383">
        <v>0</v>
      </c>
      <c r="BS60" s="383">
        <v>113887.35323984193</v>
      </c>
      <c r="BT60" s="383">
        <v>-56413.339412365669</v>
      </c>
      <c r="BU60" s="383">
        <f t="shared" si="8"/>
        <v>57474.013827476265</v>
      </c>
      <c r="BV60" s="383">
        <v>4674</v>
      </c>
      <c r="BW60" s="383">
        <v>0</v>
      </c>
      <c r="BX60" s="383">
        <v>0</v>
      </c>
      <c r="BY60" s="383">
        <f t="shared" si="9"/>
        <v>4674</v>
      </c>
      <c r="BZ60" s="383">
        <v>0</v>
      </c>
      <c r="CA60" s="383">
        <v>61587.53</v>
      </c>
      <c r="CB60" s="383">
        <v>0</v>
      </c>
      <c r="CC60" s="383">
        <v>0</v>
      </c>
      <c r="CD60" s="383">
        <f t="shared" si="10"/>
        <v>61587.53</v>
      </c>
      <c r="CE60" s="383">
        <f t="shared" si="11"/>
        <v>-56913.53</v>
      </c>
      <c r="CF60" s="383">
        <v>56913.530000000006</v>
      </c>
      <c r="CG60" s="383">
        <f t="shared" si="12"/>
        <v>0</v>
      </c>
      <c r="CH60" s="383">
        <f>VLOOKUP($B60,'Data - CFR 202526'!$B$4:$CJ$127,85,0)</f>
        <v>11980.36</v>
      </c>
      <c r="CI60" s="383">
        <f>VLOOKUP($B60,'Data - CFR 202526'!$B$4:$CJ$127,86,0)</f>
        <v>44933.170000000006</v>
      </c>
      <c r="CJ60" s="383">
        <f>VLOOKUP($B60,'Data - CFR 202526'!$B$4:$CJ$127,87,0)</f>
        <v>56913.530000000006</v>
      </c>
    </row>
    <row r="61" spans="1:88" s="220" customFormat="1" ht="13.8">
      <c r="A61" s="252" t="s">
        <v>1525</v>
      </c>
      <c r="B61" s="288">
        <v>2212</v>
      </c>
      <c r="C61" s="288" t="s">
        <v>763</v>
      </c>
      <c r="D61" s="248" t="s">
        <v>704</v>
      </c>
      <c r="E61" s="380"/>
      <c r="F61" s="383">
        <v>996188.11610055121</v>
      </c>
      <c r="G61" s="383">
        <v>0</v>
      </c>
      <c r="H61" s="383">
        <v>75306</v>
      </c>
      <c r="I61" s="383">
        <v>0</v>
      </c>
      <c r="J61" s="383">
        <v>20540</v>
      </c>
      <c r="K61" s="383">
        <v>58529</v>
      </c>
      <c r="L61" s="383">
        <v>0</v>
      </c>
      <c r="M61" s="383">
        <v>9700</v>
      </c>
      <c r="N61" s="383">
        <v>17150</v>
      </c>
      <c r="O61" s="383">
        <v>33190</v>
      </c>
      <c r="P61" s="383">
        <v>0</v>
      </c>
      <c r="Q61" s="383">
        <v>0</v>
      </c>
      <c r="R61" s="383">
        <v>0</v>
      </c>
      <c r="S61" s="383">
        <v>0</v>
      </c>
      <c r="T61" s="383">
        <v>0</v>
      </c>
      <c r="U61" s="383">
        <v>0</v>
      </c>
      <c r="V61" s="383">
        <v>0</v>
      </c>
      <c r="W61" s="383">
        <v>0</v>
      </c>
      <c r="X61" s="383">
        <v>0</v>
      </c>
      <c r="Y61" s="383">
        <f t="shared" si="0"/>
        <v>1210603.1161005511</v>
      </c>
      <c r="Z61" s="383">
        <v>613687.01579066669</v>
      </c>
      <c r="AA61" s="383">
        <v>0</v>
      </c>
      <c r="AB61" s="383">
        <v>268752.57659866509</v>
      </c>
      <c r="AC61" s="383">
        <v>48127.17090832509</v>
      </c>
      <c r="AD61" s="383">
        <v>72755.338783445943</v>
      </c>
      <c r="AE61" s="383">
        <v>48170.037674345251</v>
      </c>
      <c r="AF61" s="383">
        <v>34982.419355358172</v>
      </c>
      <c r="AG61" s="383">
        <v>3682</v>
      </c>
      <c r="AH61" s="383">
        <v>900</v>
      </c>
      <c r="AI61" s="383">
        <v>4500</v>
      </c>
      <c r="AJ61" s="383">
        <v>0</v>
      </c>
      <c r="AK61" s="383">
        <v>8000</v>
      </c>
      <c r="AL61" s="383">
        <v>2900</v>
      </c>
      <c r="AM61" s="383">
        <v>3500</v>
      </c>
      <c r="AN61" s="383">
        <v>3000</v>
      </c>
      <c r="AO61" s="383">
        <v>18500</v>
      </c>
      <c r="AP61" s="383">
        <v>38572</v>
      </c>
      <c r="AQ61" s="383">
        <v>6211.64</v>
      </c>
      <c r="AR61" s="383">
        <v>10000</v>
      </c>
      <c r="AS61" s="383">
        <v>21500</v>
      </c>
      <c r="AT61" s="383">
        <v>0</v>
      </c>
      <c r="AU61" s="383">
        <v>4330</v>
      </c>
      <c r="AV61" s="383">
        <v>5700</v>
      </c>
      <c r="AW61" s="383">
        <v>0</v>
      </c>
      <c r="AX61" s="383">
        <v>28250</v>
      </c>
      <c r="AY61" s="383">
        <v>1000</v>
      </c>
      <c r="AZ61" s="383">
        <v>450</v>
      </c>
      <c r="BA61" s="383">
        <v>15658</v>
      </c>
      <c r="BB61" s="383">
        <v>0</v>
      </c>
      <c r="BC61" s="383">
        <v>0</v>
      </c>
      <c r="BD61" s="383">
        <v>0</v>
      </c>
      <c r="BE61" s="383">
        <f t="shared" si="1"/>
        <v>1263128.1991108062</v>
      </c>
      <c r="BF61" s="383">
        <f t="shared" si="2"/>
        <v>-52525.083010255126</v>
      </c>
      <c r="BG61" s="383">
        <v>-37055.070000000036</v>
      </c>
      <c r="BH61" s="383">
        <f t="shared" si="3"/>
        <v>-89580.153010255162</v>
      </c>
      <c r="BI61" s="383">
        <v>0</v>
      </c>
      <c r="BJ61" s="383">
        <v>0</v>
      </c>
      <c r="BK61" s="383">
        <f t="shared" si="4"/>
        <v>0</v>
      </c>
      <c r="BL61" s="383">
        <v>0</v>
      </c>
      <c r="BM61" s="383">
        <v>0</v>
      </c>
      <c r="BN61" s="383">
        <f t="shared" si="5"/>
        <v>0</v>
      </c>
      <c r="BO61" s="383">
        <f t="shared" si="6"/>
        <v>0</v>
      </c>
      <c r="BP61" s="383">
        <v>0</v>
      </c>
      <c r="BQ61" s="383">
        <f t="shared" si="7"/>
        <v>0</v>
      </c>
      <c r="BR61" s="383">
        <v>0</v>
      </c>
      <c r="BS61" s="383">
        <v>-89580.153010255162</v>
      </c>
      <c r="BT61" s="383">
        <v>0</v>
      </c>
      <c r="BU61" s="383">
        <f t="shared" si="8"/>
        <v>-89580.153010255162</v>
      </c>
      <c r="BV61" s="383">
        <v>6042</v>
      </c>
      <c r="BW61" s="383">
        <v>0</v>
      </c>
      <c r="BX61" s="383">
        <v>0</v>
      </c>
      <c r="BY61" s="383">
        <f t="shared" si="9"/>
        <v>6042</v>
      </c>
      <c r="BZ61" s="383">
        <v>0</v>
      </c>
      <c r="CA61" s="383">
        <v>3042</v>
      </c>
      <c r="CB61" s="383">
        <v>0</v>
      </c>
      <c r="CC61" s="383">
        <v>3000</v>
      </c>
      <c r="CD61" s="383">
        <f t="shared" si="10"/>
        <v>6042</v>
      </c>
      <c r="CE61" s="383">
        <f t="shared" si="11"/>
        <v>0</v>
      </c>
      <c r="CF61" s="383">
        <v>0</v>
      </c>
      <c r="CG61" s="383">
        <f t="shared" si="12"/>
        <v>0</v>
      </c>
      <c r="CH61" s="383">
        <f>VLOOKUP($B61,'Data - CFR 202526'!$B$4:$CJ$127,85,0)</f>
        <v>0</v>
      </c>
      <c r="CI61" s="383">
        <f>VLOOKUP($B61,'Data - CFR 202526'!$B$4:$CJ$127,86,0)</f>
        <v>0</v>
      </c>
      <c r="CJ61" s="383">
        <f>VLOOKUP($B61,'Data - CFR 202526'!$B$4:$CJ$127,87,0)</f>
        <v>0</v>
      </c>
    </row>
    <row r="62" spans="1:88" s="220" customFormat="1" ht="13.8">
      <c r="A62" s="252" t="s">
        <v>1525</v>
      </c>
      <c r="B62" s="288">
        <v>1007</v>
      </c>
      <c r="C62" s="288" t="s">
        <v>764</v>
      </c>
      <c r="D62" s="248" t="s">
        <v>720</v>
      </c>
      <c r="E62" s="380"/>
      <c r="F62" s="383">
        <v>642939</v>
      </c>
      <c r="G62" s="383">
        <v>0</v>
      </c>
      <c r="H62" s="383">
        <v>1950</v>
      </c>
      <c r="I62" s="383">
        <v>0</v>
      </c>
      <c r="J62" s="383">
        <v>0</v>
      </c>
      <c r="K62" s="383">
        <v>0</v>
      </c>
      <c r="L62" s="383">
        <v>46500</v>
      </c>
      <c r="M62" s="383">
        <v>0</v>
      </c>
      <c r="N62" s="383">
        <v>150</v>
      </c>
      <c r="O62" s="383">
        <v>0</v>
      </c>
      <c r="P62" s="383">
        <v>0</v>
      </c>
      <c r="Q62" s="383">
        <v>0</v>
      </c>
      <c r="R62" s="383">
        <v>3500</v>
      </c>
      <c r="S62" s="383">
        <v>9545</v>
      </c>
      <c r="T62" s="383">
        <v>0</v>
      </c>
      <c r="U62" s="383">
        <v>0</v>
      </c>
      <c r="V62" s="383">
        <v>0</v>
      </c>
      <c r="W62" s="383">
        <v>0</v>
      </c>
      <c r="X62" s="383">
        <v>0</v>
      </c>
      <c r="Y62" s="383">
        <f t="shared" si="0"/>
        <v>704584</v>
      </c>
      <c r="Z62" s="383">
        <v>199106.447904</v>
      </c>
      <c r="AA62" s="383">
        <v>0</v>
      </c>
      <c r="AB62" s="383">
        <v>301453.79537718015</v>
      </c>
      <c r="AC62" s="383">
        <v>11175</v>
      </c>
      <c r="AD62" s="383">
        <v>56070.484707429452</v>
      </c>
      <c r="AE62" s="383">
        <v>0</v>
      </c>
      <c r="AF62" s="383">
        <v>0</v>
      </c>
      <c r="AG62" s="383">
        <v>2700</v>
      </c>
      <c r="AH62" s="383">
        <v>1000</v>
      </c>
      <c r="AI62" s="383">
        <v>2346.25</v>
      </c>
      <c r="AJ62" s="383">
        <v>0</v>
      </c>
      <c r="AK62" s="383">
        <v>8000</v>
      </c>
      <c r="AL62" s="383">
        <v>651</v>
      </c>
      <c r="AM62" s="383">
        <v>23760</v>
      </c>
      <c r="AN62" s="383">
        <v>2200</v>
      </c>
      <c r="AO62" s="383">
        <v>14000</v>
      </c>
      <c r="AP62" s="383">
        <v>15968</v>
      </c>
      <c r="AQ62" s="383">
        <v>12827</v>
      </c>
      <c r="AR62" s="383">
        <v>8500</v>
      </c>
      <c r="AS62" s="383">
        <v>8957</v>
      </c>
      <c r="AT62" s="383">
        <v>0</v>
      </c>
      <c r="AU62" s="383">
        <v>6042</v>
      </c>
      <c r="AV62" s="383">
        <v>2200</v>
      </c>
      <c r="AW62" s="383">
        <v>0</v>
      </c>
      <c r="AX62" s="383">
        <v>5000</v>
      </c>
      <c r="AY62" s="383">
        <v>8601</v>
      </c>
      <c r="AZ62" s="383">
        <v>0</v>
      </c>
      <c r="BA62" s="383">
        <v>12064</v>
      </c>
      <c r="BB62" s="383">
        <v>0</v>
      </c>
      <c r="BC62" s="383">
        <v>0</v>
      </c>
      <c r="BD62" s="383">
        <v>0</v>
      </c>
      <c r="BE62" s="383">
        <f t="shared" si="1"/>
        <v>702621.97798860958</v>
      </c>
      <c r="BF62" s="383">
        <f t="shared" si="2"/>
        <v>1962.0220113904215</v>
      </c>
      <c r="BG62" s="383">
        <v>-286992.66999999958</v>
      </c>
      <c r="BH62" s="383">
        <f t="shared" si="3"/>
        <v>-285030.64798860915</v>
      </c>
      <c r="BI62" s="383">
        <v>129000</v>
      </c>
      <c r="BJ62" s="383">
        <v>48150</v>
      </c>
      <c r="BK62" s="383">
        <f t="shared" si="4"/>
        <v>177150</v>
      </c>
      <c r="BL62" s="383">
        <v>128430.18928620602</v>
      </c>
      <c r="BM62" s="383">
        <v>48600</v>
      </c>
      <c r="BN62" s="383">
        <f t="shared" si="5"/>
        <v>177030.18928620603</v>
      </c>
      <c r="BO62" s="383">
        <f t="shared" si="6"/>
        <v>119.81071379396599</v>
      </c>
      <c r="BP62" s="383">
        <v>18250.310000000016</v>
      </c>
      <c r="BQ62" s="383">
        <f t="shared" si="7"/>
        <v>18370.120713793982</v>
      </c>
      <c r="BR62" s="383">
        <v>0</v>
      </c>
      <c r="BS62" s="383">
        <v>-285030.64798860915</v>
      </c>
      <c r="BT62" s="383">
        <v>18370.120713793982</v>
      </c>
      <c r="BU62" s="383">
        <f t="shared" si="8"/>
        <v>-266660.52727481519</v>
      </c>
      <c r="BV62" s="383">
        <v>4729</v>
      </c>
      <c r="BW62" s="383">
        <v>0</v>
      </c>
      <c r="BX62" s="383">
        <v>0</v>
      </c>
      <c r="BY62" s="383">
        <f t="shared" si="9"/>
        <v>4729</v>
      </c>
      <c r="BZ62" s="383">
        <v>0</v>
      </c>
      <c r="CA62" s="383">
        <v>17138.41</v>
      </c>
      <c r="CB62" s="383">
        <v>0</v>
      </c>
      <c r="CC62" s="383">
        <v>0</v>
      </c>
      <c r="CD62" s="383">
        <f t="shared" si="10"/>
        <v>17138.41</v>
      </c>
      <c r="CE62" s="383">
        <f t="shared" si="11"/>
        <v>-12409.41</v>
      </c>
      <c r="CF62" s="383">
        <v>12409.409999999945</v>
      </c>
      <c r="CG62" s="383">
        <f t="shared" si="12"/>
        <v>-5.4569682106375694E-11</v>
      </c>
      <c r="CH62" s="383">
        <f>VLOOKUP($B62,'Data - CFR 202526'!$B$4:$CJ$127,85,0)</f>
        <v>0</v>
      </c>
      <c r="CI62" s="383">
        <f>VLOOKUP($B62,'Data - CFR 202526'!$B$4:$CJ$127,86,0)</f>
        <v>12409.410000000003</v>
      </c>
      <c r="CJ62" s="383">
        <f>VLOOKUP($B62,'Data - CFR 202526'!$B$4:$CJ$127,87,0)</f>
        <v>12409.410000000003</v>
      </c>
    </row>
    <row r="63" spans="1:88" ht="13.8">
      <c r="A63" s="252" t="s">
        <v>1525</v>
      </c>
      <c r="B63" s="288">
        <v>3945</v>
      </c>
      <c r="C63" s="288" t="s">
        <v>765</v>
      </c>
      <c r="D63" s="248" t="s">
        <v>704</v>
      </c>
      <c r="E63" s="384"/>
      <c r="F63" s="383">
        <v>2644318.4369115718</v>
      </c>
      <c r="G63" s="383">
        <v>0</v>
      </c>
      <c r="H63" s="383">
        <v>191623</v>
      </c>
      <c r="I63" s="383">
        <v>0</v>
      </c>
      <c r="J63" s="383">
        <v>211470</v>
      </c>
      <c r="K63" s="383">
        <v>91323</v>
      </c>
      <c r="L63" s="383">
        <v>0</v>
      </c>
      <c r="M63" s="383">
        <v>0</v>
      </c>
      <c r="N63" s="383">
        <v>42000</v>
      </c>
      <c r="O63" s="383">
        <v>31000</v>
      </c>
      <c r="P63" s="383">
        <v>2250</v>
      </c>
      <c r="Q63" s="383">
        <v>0</v>
      </c>
      <c r="R63" s="383">
        <v>0</v>
      </c>
      <c r="S63" s="383">
        <v>0</v>
      </c>
      <c r="T63" s="383">
        <v>0</v>
      </c>
      <c r="U63" s="383">
        <v>0</v>
      </c>
      <c r="V63" s="383">
        <v>0</v>
      </c>
      <c r="W63" s="383">
        <v>0</v>
      </c>
      <c r="X63" s="383">
        <v>0</v>
      </c>
      <c r="Y63" s="383">
        <f t="shared" si="0"/>
        <v>3213984.4369115718</v>
      </c>
      <c r="Z63" s="383">
        <v>1282976.6806256108</v>
      </c>
      <c r="AA63" s="383">
        <v>0</v>
      </c>
      <c r="AB63" s="383">
        <v>731012.42815133592</v>
      </c>
      <c r="AC63" s="383">
        <v>47271.624529842877</v>
      </c>
      <c r="AD63" s="383">
        <v>146430.49859955622</v>
      </c>
      <c r="AE63" s="383">
        <v>0</v>
      </c>
      <c r="AF63" s="383">
        <v>141736.4500430511</v>
      </c>
      <c r="AG63" s="383">
        <v>16000</v>
      </c>
      <c r="AH63" s="383">
        <v>10000</v>
      </c>
      <c r="AI63" s="383">
        <v>7900</v>
      </c>
      <c r="AJ63" s="383">
        <v>0</v>
      </c>
      <c r="AK63" s="383">
        <v>90000</v>
      </c>
      <c r="AL63" s="383">
        <v>7000</v>
      </c>
      <c r="AM63" s="383">
        <v>60000</v>
      </c>
      <c r="AN63" s="383">
        <v>20000</v>
      </c>
      <c r="AO63" s="383">
        <v>80000</v>
      </c>
      <c r="AP63" s="383">
        <v>41160</v>
      </c>
      <c r="AQ63" s="383">
        <v>57700</v>
      </c>
      <c r="AR63" s="383">
        <v>96592</v>
      </c>
      <c r="AS63" s="383">
        <v>99940</v>
      </c>
      <c r="AT63" s="383">
        <v>0</v>
      </c>
      <c r="AU63" s="383">
        <v>62536</v>
      </c>
      <c r="AV63" s="383">
        <v>13482</v>
      </c>
      <c r="AW63" s="383">
        <v>12747</v>
      </c>
      <c r="AX63" s="383">
        <v>177100</v>
      </c>
      <c r="AY63" s="383">
        <v>40000</v>
      </c>
      <c r="AZ63" s="383">
        <v>65000</v>
      </c>
      <c r="BA63" s="383">
        <v>33500</v>
      </c>
      <c r="BB63" s="383">
        <v>0</v>
      </c>
      <c r="BC63" s="383">
        <v>0</v>
      </c>
      <c r="BD63" s="383">
        <v>0</v>
      </c>
      <c r="BE63" s="383">
        <f t="shared" si="1"/>
        <v>3340084.6819493966</v>
      </c>
      <c r="BF63" s="383">
        <f t="shared" si="2"/>
        <v>-126100.24503782485</v>
      </c>
      <c r="BG63" s="383">
        <v>294052.00999999989</v>
      </c>
      <c r="BH63" s="383">
        <f t="shared" si="3"/>
        <v>167951.76496217505</v>
      </c>
      <c r="BI63" s="383">
        <v>0</v>
      </c>
      <c r="BJ63" s="383">
        <v>0</v>
      </c>
      <c r="BK63" s="383">
        <f t="shared" si="4"/>
        <v>0</v>
      </c>
      <c r="BL63" s="383">
        <v>0</v>
      </c>
      <c r="BM63" s="383">
        <v>0</v>
      </c>
      <c r="BN63" s="383">
        <f t="shared" si="5"/>
        <v>0</v>
      </c>
      <c r="BO63" s="383">
        <f t="shared" si="6"/>
        <v>0</v>
      </c>
      <c r="BP63" s="383">
        <v>0</v>
      </c>
      <c r="BQ63" s="383">
        <f t="shared" si="7"/>
        <v>0</v>
      </c>
      <c r="BR63" s="383">
        <v>0</v>
      </c>
      <c r="BS63" s="383">
        <v>167951.76496217505</v>
      </c>
      <c r="BT63" s="383">
        <v>0</v>
      </c>
      <c r="BU63" s="383">
        <f t="shared" si="8"/>
        <v>167951.76496217505</v>
      </c>
      <c r="BV63" s="383">
        <v>8999</v>
      </c>
      <c r="BW63" s="383">
        <v>0</v>
      </c>
      <c r="BX63" s="383">
        <v>0</v>
      </c>
      <c r="BY63" s="383">
        <f t="shared" si="9"/>
        <v>8999</v>
      </c>
      <c r="BZ63" s="383">
        <v>0</v>
      </c>
      <c r="CA63" s="383">
        <v>10225.92</v>
      </c>
      <c r="CB63" s="383">
        <v>0</v>
      </c>
      <c r="CC63" s="383">
        <v>0</v>
      </c>
      <c r="CD63" s="383">
        <f t="shared" si="10"/>
        <v>10225.92</v>
      </c>
      <c r="CE63" s="383">
        <f t="shared" si="11"/>
        <v>-1226.92</v>
      </c>
      <c r="CF63" s="383">
        <v>1226.9200000000019</v>
      </c>
      <c r="CG63" s="383">
        <f t="shared" si="12"/>
        <v>1.8189894035458565E-12</v>
      </c>
      <c r="CH63" s="383">
        <f>VLOOKUP($B63,'Data - CFR 202526'!$B$4:$CJ$127,85,0)</f>
        <v>1065.5200000000004</v>
      </c>
      <c r="CI63" s="383">
        <f>VLOOKUP($B63,'Data - CFR 202526'!$B$4:$CJ$127,86,0)</f>
        <v>161.40000000000146</v>
      </c>
      <c r="CJ63" s="383">
        <f>VLOOKUP($B63,'Data - CFR 202526'!$B$4:$CJ$127,87,0)</f>
        <v>1226.9200000000019</v>
      </c>
    </row>
    <row r="64" spans="1:88" ht="13.8">
      <c r="A64" s="252" t="s">
        <v>1525</v>
      </c>
      <c r="B64" s="288">
        <v>3022</v>
      </c>
      <c r="C64" s="288" t="s">
        <v>766</v>
      </c>
      <c r="D64" s="248" t="s">
        <v>704</v>
      </c>
      <c r="E64" s="384"/>
      <c r="F64" s="383">
        <v>1119046.9049871662</v>
      </c>
      <c r="G64" s="383">
        <v>0</v>
      </c>
      <c r="H64" s="383">
        <v>27872</v>
      </c>
      <c r="I64" s="383">
        <v>0</v>
      </c>
      <c r="J64" s="383">
        <v>37760</v>
      </c>
      <c r="K64" s="383">
        <v>46738</v>
      </c>
      <c r="L64" s="383">
        <v>0</v>
      </c>
      <c r="M64" s="383">
        <v>3800</v>
      </c>
      <c r="N64" s="383">
        <v>10700</v>
      </c>
      <c r="O64" s="383">
        <v>14200</v>
      </c>
      <c r="P64" s="383">
        <v>0</v>
      </c>
      <c r="Q64" s="383">
        <v>0</v>
      </c>
      <c r="R64" s="383">
        <v>0</v>
      </c>
      <c r="S64" s="383">
        <v>0</v>
      </c>
      <c r="T64" s="383">
        <v>0</v>
      </c>
      <c r="U64" s="383">
        <v>0</v>
      </c>
      <c r="V64" s="383">
        <v>0</v>
      </c>
      <c r="W64" s="383">
        <v>0</v>
      </c>
      <c r="X64" s="383">
        <v>0</v>
      </c>
      <c r="Y64" s="383">
        <f t="shared" si="0"/>
        <v>1260116.9049871662</v>
      </c>
      <c r="Z64" s="383">
        <v>704330.98791178491</v>
      </c>
      <c r="AA64" s="383">
        <v>3000</v>
      </c>
      <c r="AB64" s="383">
        <v>205178.14213822939</v>
      </c>
      <c r="AC64" s="383">
        <v>25479.043670854993</v>
      </c>
      <c r="AD64" s="383">
        <v>49563.9245721849</v>
      </c>
      <c r="AE64" s="383">
        <v>32827.743052160084</v>
      </c>
      <c r="AF64" s="383">
        <v>17336.473993775784</v>
      </c>
      <c r="AG64" s="383">
        <v>4600</v>
      </c>
      <c r="AH64" s="383">
        <v>5000</v>
      </c>
      <c r="AI64" s="383">
        <v>5350</v>
      </c>
      <c r="AJ64" s="383">
        <v>0</v>
      </c>
      <c r="AK64" s="383">
        <v>7000</v>
      </c>
      <c r="AL64" s="383">
        <v>2564</v>
      </c>
      <c r="AM64" s="383">
        <v>2500</v>
      </c>
      <c r="AN64" s="383">
        <v>3000</v>
      </c>
      <c r="AO64" s="383">
        <v>35000</v>
      </c>
      <c r="AP64" s="383">
        <v>26460</v>
      </c>
      <c r="AQ64" s="383">
        <v>3664</v>
      </c>
      <c r="AR64" s="383">
        <v>32575</v>
      </c>
      <c r="AS64" s="383">
        <v>23696</v>
      </c>
      <c r="AT64" s="383">
        <v>0</v>
      </c>
      <c r="AU64" s="383">
        <v>13875</v>
      </c>
      <c r="AV64" s="383">
        <v>5800</v>
      </c>
      <c r="AW64" s="383">
        <v>1000</v>
      </c>
      <c r="AX64" s="383">
        <v>27200</v>
      </c>
      <c r="AY64" s="383">
        <v>2000</v>
      </c>
      <c r="AZ64" s="383">
        <v>2500</v>
      </c>
      <c r="BA64" s="383">
        <v>14737</v>
      </c>
      <c r="BB64" s="383">
        <v>0</v>
      </c>
      <c r="BC64" s="383">
        <v>0</v>
      </c>
      <c r="BD64" s="383">
        <v>0</v>
      </c>
      <c r="BE64" s="383">
        <f t="shared" si="1"/>
        <v>1256237.3153389902</v>
      </c>
      <c r="BF64" s="383">
        <f t="shared" si="2"/>
        <v>3879.5896481759846</v>
      </c>
      <c r="BG64" s="383">
        <v>19876.710000000243</v>
      </c>
      <c r="BH64" s="383">
        <f t="shared" si="3"/>
        <v>23756.299648176227</v>
      </c>
      <c r="BI64" s="383">
        <v>0</v>
      </c>
      <c r="BJ64" s="383">
        <v>0</v>
      </c>
      <c r="BK64" s="383">
        <f t="shared" si="4"/>
        <v>0</v>
      </c>
      <c r="BL64" s="383">
        <v>0</v>
      </c>
      <c r="BM64" s="383">
        <v>0</v>
      </c>
      <c r="BN64" s="383">
        <f t="shared" si="5"/>
        <v>0</v>
      </c>
      <c r="BO64" s="383">
        <f t="shared" si="6"/>
        <v>0</v>
      </c>
      <c r="BP64" s="383">
        <v>0</v>
      </c>
      <c r="BQ64" s="383">
        <f t="shared" si="7"/>
        <v>0</v>
      </c>
      <c r="BR64" s="383">
        <v>0</v>
      </c>
      <c r="BS64" s="383">
        <v>23756.299648176227</v>
      </c>
      <c r="BT64" s="383">
        <v>0</v>
      </c>
      <c r="BU64" s="383">
        <f t="shared" si="8"/>
        <v>23756.299648176227</v>
      </c>
      <c r="BV64" s="383">
        <v>6363</v>
      </c>
      <c r="BW64" s="383">
        <v>0</v>
      </c>
      <c r="BX64" s="383">
        <v>0</v>
      </c>
      <c r="BY64" s="383">
        <f t="shared" si="9"/>
        <v>6363</v>
      </c>
      <c r="BZ64" s="383">
        <v>0</v>
      </c>
      <c r="CA64" s="383">
        <v>14967.06</v>
      </c>
      <c r="CB64" s="383">
        <v>0</v>
      </c>
      <c r="CC64" s="383">
        <v>0</v>
      </c>
      <c r="CD64" s="383">
        <f t="shared" si="10"/>
        <v>14967.06</v>
      </c>
      <c r="CE64" s="383">
        <f t="shared" si="11"/>
        <v>-8604.06</v>
      </c>
      <c r="CF64" s="383">
        <v>8604.0600000000013</v>
      </c>
      <c r="CG64" s="383">
        <f t="shared" si="12"/>
        <v>0</v>
      </c>
      <c r="CH64" s="383">
        <f>VLOOKUP($B64,'Data - CFR 202526'!$B$4:$CJ$127,85,0)</f>
        <v>8604.0600000000013</v>
      </c>
      <c r="CI64" s="383">
        <f>VLOOKUP($B64,'Data - CFR 202526'!$B$4:$CJ$127,86,0)</f>
        <v>0</v>
      </c>
      <c r="CJ64" s="383">
        <f>VLOOKUP($B64,'Data - CFR 202526'!$B$4:$CJ$127,87,0)</f>
        <v>8604.0600000000013</v>
      </c>
    </row>
    <row r="65" spans="1:88" ht="13.8">
      <c r="A65" s="252" t="s">
        <v>1525</v>
      </c>
      <c r="B65" s="288">
        <v>2442</v>
      </c>
      <c r="C65" s="288" t="s">
        <v>767</v>
      </c>
      <c r="D65" s="248" t="s">
        <v>704</v>
      </c>
      <c r="E65" s="384"/>
      <c r="F65" s="383">
        <v>832085.17072325409</v>
      </c>
      <c r="G65" s="383">
        <v>0</v>
      </c>
      <c r="H65" s="383">
        <v>14915</v>
      </c>
      <c r="I65" s="383">
        <v>0</v>
      </c>
      <c r="J65" s="383">
        <v>24390</v>
      </c>
      <c r="K65" s="383">
        <v>54838</v>
      </c>
      <c r="L65" s="383">
        <v>0</v>
      </c>
      <c r="M65" s="383">
        <v>0</v>
      </c>
      <c r="N65" s="383">
        <v>41600</v>
      </c>
      <c r="O65" s="383">
        <v>15000</v>
      </c>
      <c r="P65" s="383">
        <v>0</v>
      </c>
      <c r="Q65" s="383">
        <v>0</v>
      </c>
      <c r="R65" s="383">
        <v>300</v>
      </c>
      <c r="S65" s="383">
        <v>3000</v>
      </c>
      <c r="T65" s="383">
        <v>0</v>
      </c>
      <c r="U65" s="383">
        <v>0</v>
      </c>
      <c r="V65" s="383">
        <v>0</v>
      </c>
      <c r="W65" s="383">
        <v>0</v>
      </c>
      <c r="X65" s="383">
        <v>0</v>
      </c>
      <c r="Y65" s="383">
        <f t="shared" si="0"/>
        <v>986128.17072325409</v>
      </c>
      <c r="Z65" s="383">
        <v>485266.2276626667</v>
      </c>
      <c r="AA65" s="383">
        <v>2500</v>
      </c>
      <c r="AB65" s="383">
        <v>164300.95973712389</v>
      </c>
      <c r="AC65" s="383">
        <v>7693.1445042328478</v>
      </c>
      <c r="AD65" s="383">
        <v>46708.958444187228</v>
      </c>
      <c r="AE65" s="383">
        <v>0</v>
      </c>
      <c r="AF65" s="383">
        <v>35563.310409539474</v>
      </c>
      <c r="AG65" s="383">
        <v>3000</v>
      </c>
      <c r="AH65" s="383">
        <v>3300</v>
      </c>
      <c r="AI65" s="383">
        <v>3414</v>
      </c>
      <c r="AJ65" s="383">
        <v>0</v>
      </c>
      <c r="AK65" s="383">
        <v>7000</v>
      </c>
      <c r="AL65" s="383">
        <v>2564</v>
      </c>
      <c r="AM65" s="383">
        <v>19361</v>
      </c>
      <c r="AN65" s="383">
        <v>4000</v>
      </c>
      <c r="AO65" s="383">
        <v>13100</v>
      </c>
      <c r="AP65" s="383">
        <v>20663</v>
      </c>
      <c r="AQ65" s="383">
        <v>5450</v>
      </c>
      <c r="AR65" s="383">
        <v>46150</v>
      </c>
      <c r="AS65" s="383">
        <v>31141</v>
      </c>
      <c r="AT65" s="383">
        <v>0</v>
      </c>
      <c r="AU65" s="383">
        <v>9600</v>
      </c>
      <c r="AV65" s="383">
        <v>7534</v>
      </c>
      <c r="AW65" s="383">
        <v>3000</v>
      </c>
      <c r="AX65" s="383">
        <v>72788</v>
      </c>
      <c r="AY65" s="383">
        <v>0</v>
      </c>
      <c r="AZ65" s="383">
        <v>4000</v>
      </c>
      <c r="BA65" s="383">
        <v>12446</v>
      </c>
      <c r="BB65" s="383">
        <v>0</v>
      </c>
      <c r="BC65" s="383">
        <v>0</v>
      </c>
      <c r="BD65" s="383">
        <v>0</v>
      </c>
      <c r="BE65" s="383">
        <f t="shared" si="1"/>
        <v>1010543.6007577501</v>
      </c>
      <c r="BF65" s="383">
        <f t="shared" si="2"/>
        <v>-24415.430034496007</v>
      </c>
      <c r="BG65" s="383">
        <v>66049.420000000275</v>
      </c>
      <c r="BH65" s="383">
        <f t="shared" si="3"/>
        <v>41633.989965504268</v>
      </c>
      <c r="BI65" s="383">
        <v>0</v>
      </c>
      <c r="BJ65" s="383">
        <v>0</v>
      </c>
      <c r="BK65" s="383">
        <f t="shared" si="4"/>
        <v>0</v>
      </c>
      <c r="BL65" s="383">
        <v>0</v>
      </c>
      <c r="BM65" s="383">
        <v>0</v>
      </c>
      <c r="BN65" s="383">
        <f t="shared" si="5"/>
        <v>0</v>
      </c>
      <c r="BO65" s="383">
        <f t="shared" si="6"/>
        <v>0</v>
      </c>
      <c r="BP65" s="383">
        <v>0</v>
      </c>
      <c r="BQ65" s="383">
        <f t="shared" si="7"/>
        <v>0</v>
      </c>
      <c r="BR65" s="383">
        <v>0</v>
      </c>
      <c r="BS65" s="383">
        <v>41633.989965504268</v>
      </c>
      <c r="BT65" s="383">
        <v>0</v>
      </c>
      <c r="BU65" s="383">
        <f t="shared" si="8"/>
        <v>41633.989965504268</v>
      </c>
      <c r="BV65" s="383">
        <v>5474</v>
      </c>
      <c r="BW65" s="383">
        <v>0</v>
      </c>
      <c r="BX65" s="383">
        <v>0</v>
      </c>
      <c r="BY65" s="383">
        <f t="shared" si="9"/>
        <v>5474</v>
      </c>
      <c r="BZ65" s="383">
        <v>0</v>
      </c>
      <c r="CA65" s="383">
        <v>5474</v>
      </c>
      <c r="CB65" s="383">
        <v>0</v>
      </c>
      <c r="CC65" s="383">
        <v>0</v>
      </c>
      <c r="CD65" s="383">
        <f t="shared" si="10"/>
        <v>5474</v>
      </c>
      <c r="CE65" s="383">
        <f t="shared" si="11"/>
        <v>0</v>
      </c>
      <c r="CF65" s="383">
        <v>0</v>
      </c>
      <c r="CG65" s="383">
        <f t="shared" si="12"/>
        <v>0</v>
      </c>
      <c r="CH65" s="383">
        <f>VLOOKUP($B65,'Data - CFR 202526'!$B$4:$CJ$127,85,0)</f>
        <v>0</v>
      </c>
      <c r="CI65" s="383">
        <f>VLOOKUP($B65,'Data - CFR 202526'!$B$4:$CJ$127,86,0)</f>
        <v>0</v>
      </c>
      <c r="CJ65" s="383">
        <f>VLOOKUP($B65,'Data - CFR 202526'!$B$4:$CJ$127,87,0)</f>
        <v>0</v>
      </c>
    </row>
    <row r="66" spans="1:88" ht="13.8">
      <c r="A66" s="252" t="s">
        <v>1525</v>
      </c>
      <c r="B66" s="288">
        <v>2331</v>
      </c>
      <c r="C66" s="288" t="s">
        <v>768</v>
      </c>
      <c r="D66" s="248" t="s">
        <v>704</v>
      </c>
      <c r="E66" s="384"/>
      <c r="F66" s="383">
        <v>645994.95319175406</v>
      </c>
      <c r="G66" s="383">
        <v>0</v>
      </c>
      <c r="H66" s="383">
        <v>61306</v>
      </c>
      <c r="I66" s="383">
        <v>0</v>
      </c>
      <c r="J66" s="383">
        <v>63380</v>
      </c>
      <c r="K66" s="383">
        <v>15908</v>
      </c>
      <c r="L66" s="383">
        <v>0</v>
      </c>
      <c r="M66" s="383">
        <v>0</v>
      </c>
      <c r="N66" s="383">
        <v>1800</v>
      </c>
      <c r="O66" s="383">
        <v>3200</v>
      </c>
      <c r="P66" s="383">
        <v>0</v>
      </c>
      <c r="Q66" s="383">
        <v>0</v>
      </c>
      <c r="R66" s="383">
        <v>500</v>
      </c>
      <c r="S66" s="383">
        <v>4650</v>
      </c>
      <c r="T66" s="383">
        <v>0</v>
      </c>
      <c r="U66" s="383">
        <v>0</v>
      </c>
      <c r="V66" s="383">
        <v>0</v>
      </c>
      <c r="W66" s="383">
        <v>0</v>
      </c>
      <c r="X66" s="383">
        <v>0</v>
      </c>
      <c r="Y66" s="383">
        <f t="shared" si="0"/>
        <v>796738.95319175406</v>
      </c>
      <c r="Z66" s="383">
        <v>341968.74626399996</v>
      </c>
      <c r="AA66" s="383">
        <v>2000</v>
      </c>
      <c r="AB66" s="383">
        <v>258161.09433779871</v>
      </c>
      <c r="AC66" s="383">
        <v>21924.164423862265</v>
      </c>
      <c r="AD66" s="383">
        <v>42291.984229487127</v>
      </c>
      <c r="AE66" s="383">
        <v>18547.649145246985</v>
      </c>
      <c r="AF66" s="383">
        <v>2841.775367189417</v>
      </c>
      <c r="AG66" s="383">
        <v>3200</v>
      </c>
      <c r="AH66" s="383">
        <v>4000</v>
      </c>
      <c r="AI66" s="383">
        <v>2000</v>
      </c>
      <c r="AJ66" s="383">
        <v>1000</v>
      </c>
      <c r="AK66" s="383">
        <v>5000</v>
      </c>
      <c r="AL66" s="383">
        <v>2500</v>
      </c>
      <c r="AM66" s="383">
        <v>2300</v>
      </c>
      <c r="AN66" s="383">
        <v>1200</v>
      </c>
      <c r="AO66" s="383">
        <v>17000</v>
      </c>
      <c r="AP66" s="383">
        <v>12818</v>
      </c>
      <c r="AQ66" s="383">
        <v>8455</v>
      </c>
      <c r="AR66" s="383">
        <v>35385.08</v>
      </c>
      <c r="AS66" s="383">
        <v>20525</v>
      </c>
      <c r="AT66" s="383">
        <v>0</v>
      </c>
      <c r="AU66" s="383">
        <v>3850</v>
      </c>
      <c r="AV66" s="383">
        <v>2223.98</v>
      </c>
      <c r="AW66" s="383">
        <v>0</v>
      </c>
      <c r="AX66" s="383">
        <v>13325</v>
      </c>
      <c r="AY66" s="383">
        <v>0</v>
      </c>
      <c r="AZ66" s="383">
        <v>18805</v>
      </c>
      <c r="BA66" s="383">
        <v>16561</v>
      </c>
      <c r="BB66" s="383">
        <v>0</v>
      </c>
      <c r="BC66" s="383">
        <v>0</v>
      </c>
      <c r="BD66" s="383">
        <v>0</v>
      </c>
      <c r="BE66" s="383">
        <f t="shared" si="1"/>
        <v>857883.47376758431</v>
      </c>
      <c r="BF66" s="383">
        <f t="shared" si="2"/>
        <v>-61144.520575830247</v>
      </c>
      <c r="BG66" s="383">
        <v>74116.069999999629</v>
      </c>
      <c r="BH66" s="383">
        <f t="shared" si="3"/>
        <v>12971.549424169381</v>
      </c>
      <c r="BI66" s="383">
        <v>0</v>
      </c>
      <c r="BJ66" s="383">
        <v>0</v>
      </c>
      <c r="BK66" s="383">
        <f t="shared" si="4"/>
        <v>0</v>
      </c>
      <c r="BL66" s="383">
        <v>0</v>
      </c>
      <c r="BM66" s="383">
        <v>0</v>
      </c>
      <c r="BN66" s="383">
        <f t="shared" si="5"/>
        <v>0</v>
      </c>
      <c r="BO66" s="383">
        <f t="shared" si="6"/>
        <v>0</v>
      </c>
      <c r="BP66" s="383">
        <v>0</v>
      </c>
      <c r="BQ66" s="383">
        <f t="shared" si="7"/>
        <v>0</v>
      </c>
      <c r="BR66" s="383">
        <v>0</v>
      </c>
      <c r="BS66" s="383">
        <v>12971.549424169381</v>
      </c>
      <c r="BT66" s="383">
        <v>0</v>
      </c>
      <c r="BU66" s="383">
        <f t="shared" si="8"/>
        <v>12971.549424169381</v>
      </c>
      <c r="BV66" s="383">
        <v>4859</v>
      </c>
      <c r="BW66" s="383">
        <v>0</v>
      </c>
      <c r="BX66" s="383">
        <v>0</v>
      </c>
      <c r="BY66" s="383">
        <f t="shared" si="9"/>
        <v>4859</v>
      </c>
      <c r="BZ66" s="383">
        <v>0</v>
      </c>
      <c r="CA66" s="383">
        <v>10653.65</v>
      </c>
      <c r="CB66" s="383">
        <v>0</v>
      </c>
      <c r="CC66" s="383">
        <v>0</v>
      </c>
      <c r="CD66" s="383">
        <f t="shared" si="10"/>
        <v>10653.65</v>
      </c>
      <c r="CE66" s="383">
        <f t="shared" si="11"/>
        <v>-5794.65</v>
      </c>
      <c r="CF66" s="383">
        <v>5794.65</v>
      </c>
      <c r="CG66" s="383">
        <f t="shared" si="12"/>
        <v>0</v>
      </c>
      <c r="CH66" s="383">
        <f>VLOOKUP($B66,'Data - CFR 202526'!$B$4:$CJ$127,85,0)</f>
        <v>5794.65</v>
      </c>
      <c r="CI66" s="383">
        <f>VLOOKUP($B66,'Data - CFR 202526'!$B$4:$CJ$127,86,0)</f>
        <v>0</v>
      </c>
      <c r="CJ66" s="383">
        <f>VLOOKUP($B66,'Data - CFR 202526'!$B$4:$CJ$127,87,0)</f>
        <v>5794.65</v>
      </c>
    </row>
    <row r="67" spans="1:88" ht="13.8">
      <c r="A67" s="252" t="s">
        <v>1525</v>
      </c>
      <c r="B67" s="288">
        <v>1000</v>
      </c>
      <c r="C67" s="288" t="s">
        <v>1373</v>
      </c>
      <c r="D67" s="248" t="s">
        <v>720</v>
      </c>
      <c r="E67" s="384"/>
      <c r="F67" s="383">
        <v>0</v>
      </c>
      <c r="G67" s="383">
        <v>0</v>
      </c>
      <c r="H67" s="383">
        <v>0</v>
      </c>
      <c r="I67" s="383">
        <v>0</v>
      </c>
      <c r="J67" s="383">
        <v>0</v>
      </c>
      <c r="K67" s="383">
        <v>0</v>
      </c>
      <c r="L67" s="383">
        <v>0</v>
      </c>
      <c r="M67" s="383">
        <v>0</v>
      </c>
      <c r="N67" s="383">
        <v>0</v>
      </c>
      <c r="O67" s="383">
        <v>0</v>
      </c>
      <c r="P67" s="383">
        <v>0</v>
      </c>
      <c r="Q67" s="383">
        <v>0</v>
      </c>
      <c r="R67" s="383">
        <v>0</v>
      </c>
      <c r="S67" s="383">
        <v>0</v>
      </c>
      <c r="T67" s="383">
        <v>0</v>
      </c>
      <c r="U67" s="383">
        <v>0</v>
      </c>
      <c r="V67" s="383">
        <v>0</v>
      </c>
      <c r="W67" s="383">
        <v>0</v>
      </c>
      <c r="X67" s="383">
        <v>0</v>
      </c>
      <c r="Y67" s="383">
        <f t="shared" si="0"/>
        <v>0</v>
      </c>
      <c r="Z67" s="383">
        <v>0</v>
      </c>
      <c r="AA67" s="383">
        <v>0</v>
      </c>
      <c r="AB67" s="383">
        <v>0</v>
      </c>
      <c r="AC67" s="383">
        <v>0</v>
      </c>
      <c r="AD67" s="383">
        <v>0</v>
      </c>
      <c r="AE67" s="383">
        <v>0</v>
      </c>
      <c r="AF67" s="383">
        <v>0</v>
      </c>
      <c r="AG67" s="383">
        <v>0</v>
      </c>
      <c r="AH67" s="383">
        <v>0</v>
      </c>
      <c r="AI67" s="383">
        <v>0</v>
      </c>
      <c r="AJ67" s="383">
        <v>0</v>
      </c>
      <c r="AK67" s="383">
        <v>0</v>
      </c>
      <c r="AL67" s="383">
        <v>0</v>
      </c>
      <c r="AM67" s="383">
        <v>0</v>
      </c>
      <c r="AN67" s="383">
        <v>0</v>
      </c>
      <c r="AO67" s="383">
        <v>0</v>
      </c>
      <c r="AP67" s="383">
        <v>0</v>
      </c>
      <c r="AQ67" s="383">
        <v>0</v>
      </c>
      <c r="AR67" s="383">
        <v>0</v>
      </c>
      <c r="AS67" s="383">
        <v>0</v>
      </c>
      <c r="AT67" s="383">
        <v>0</v>
      </c>
      <c r="AU67" s="383">
        <v>0</v>
      </c>
      <c r="AV67" s="383">
        <v>0</v>
      </c>
      <c r="AW67" s="383">
        <v>0</v>
      </c>
      <c r="AX67" s="383">
        <v>0</v>
      </c>
      <c r="AY67" s="383">
        <v>0</v>
      </c>
      <c r="AZ67" s="383">
        <v>0</v>
      </c>
      <c r="BA67" s="383">
        <v>0</v>
      </c>
      <c r="BB67" s="383">
        <v>0</v>
      </c>
      <c r="BC67" s="383">
        <v>0</v>
      </c>
      <c r="BD67" s="383">
        <v>0</v>
      </c>
      <c r="BE67" s="383">
        <f t="shared" si="1"/>
        <v>0</v>
      </c>
      <c r="BF67" s="383">
        <f t="shared" si="2"/>
        <v>0</v>
      </c>
      <c r="BG67" s="383">
        <v>0</v>
      </c>
      <c r="BH67" s="383">
        <f t="shared" si="3"/>
        <v>0</v>
      </c>
      <c r="BI67" s="383">
        <v>0</v>
      </c>
      <c r="BJ67" s="383">
        <v>0</v>
      </c>
      <c r="BK67" s="383">
        <f t="shared" si="4"/>
        <v>0</v>
      </c>
      <c r="BL67" s="383">
        <v>0</v>
      </c>
      <c r="BM67" s="383">
        <v>0</v>
      </c>
      <c r="BN67" s="383">
        <f t="shared" si="5"/>
        <v>0</v>
      </c>
      <c r="BO67" s="383">
        <f t="shared" si="6"/>
        <v>0</v>
      </c>
      <c r="BP67" s="383">
        <v>0</v>
      </c>
      <c r="BQ67" s="383">
        <f t="shared" si="7"/>
        <v>0</v>
      </c>
      <c r="BR67" s="383">
        <v>0</v>
      </c>
      <c r="BS67" s="383">
        <v>0</v>
      </c>
      <c r="BT67" s="383">
        <v>0</v>
      </c>
      <c r="BU67" s="383">
        <f t="shared" si="8"/>
        <v>0</v>
      </c>
      <c r="BV67" s="383">
        <v>0</v>
      </c>
      <c r="BW67" s="383">
        <v>0</v>
      </c>
      <c r="BX67" s="383">
        <v>0</v>
      </c>
      <c r="BY67" s="383">
        <f t="shared" si="9"/>
        <v>0</v>
      </c>
      <c r="BZ67" s="383">
        <v>0</v>
      </c>
      <c r="CA67" s="383">
        <v>0</v>
      </c>
      <c r="CB67" s="383">
        <v>0</v>
      </c>
      <c r="CC67" s="383">
        <v>0</v>
      </c>
      <c r="CD67" s="383">
        <f t="shared" si="10"/>
        <v>0</v>
      </c>
      <c r="CE67" s="383">
        <f t="shared" si="11"/>
        <v>0</v>
      </c>
      <c r="CF67" s="383">
        <v>0</v>
      </c>
      <c r="CG67" s="383">
        <f t="shared" si="12"/>
        <v>0</v>
      </c>
      <c r="CH67" s="383">
        <f>VLOOKUP($B67,'Data - CFR 202526'!$B$4:$CJ$127,85,0)</f>
        <v>5835.67</v>
      </c>
      <c r="CI67" s="383">
        <f>VLOOKUP($B67,'Data - CFR 202526'!$B$4:$CJ$127,86,0)</f>
        <v>0</v>
      </c>
      <c r="CJ67" s="383">
        <f>VLOOKUP($B67,'Data - CFR 202526'!$B$4:$CJ$127,87,0)</f>
        <v>5835.67</v>
      </c>
    </row>
    <row r="68" spans="1:88" ht="13.8">
      <c r="A68" s="252" t="s">
        <v>1525</v>
      </c>
      <c r="B68" s="288">
        <v>2446</v>
      </c>
      <c r="C68" s="288" t="s">
        <v>1374</v>
      </c>
      <c r="D68" s="248" t="s">
        <v>704</v>
      </c>
      <c r="E68" s="384"/>
      <c r="F68" s="383">
        <v>2776732.4057253059</v>
      </c>
      <c r="G68" s="383">
        <v>0</v>
      </c>
      <c r="H68" s="383">
        <v>102230</v>
      </c>
      <c r="I68" s="383">
        <v>0</v>
      </c>
      <c r="J68" s="383">
        <v>229400</v>
      </c>
      <c r="K68" s="383">
        <v>74598</v>
      </c>
      <c r="L68" s="383">
        <v>0</v>
      </c>
      <c r="M68" s="383">
        <v>0</v>
      </c>
      <c r="N68" s="383">
        <v>105000</v>
      </c>
      <c r="O68" s="383">
        <v>31000</v>
      </c>
      <c r="P68" s="383">
        <v>0</v>
      </c>
      <c r="Q68" s="383">
        <v>0</v>
      </c>
      <c r="R68" s="383">
        <v>14500</v>
      </c>
      <c r="S68" s="383">
        <v>0</v>
      </c>
      <c r="T68" s="383">
        <v>0</v>
      </c>
      <c r="U68" s="383">
        <v>0</v>
      </c>
      <c r="V68" s="383">
        <v>0</v>
      </c>
      <c r="W68" s="383">
        <v>0</v>
      </c>
      <c r="X68" s="383">
        <v>0</v>
      </c>
      <c r="Y68" s="383">
        <f t="shared" ref="Y68:Y124" si="13">SUBTOTAL(9,F68:X68)</f>
        <v>3333460.4057253059</v>
      </c>
      <c r="Z68" s="383">
        <v>1870283.8977829565</v>
      </c>
      <c r="AA68" s="383">
        <v>0</v>
      </c>
      <c r="AB68" s="383">
        <v>676300.10627184017</v>
      </c>
      <c r="AC68" s="383">
        <v>39359.361839999998</v>
      </c>
      <c r="AD68" s="383">
        <v>199684.98400855088</v>
      </c>
      <c r="AE68" s="383">
        <v>92969.066723425436</v>
      </c>
      <c r="AF68" s="383">
        <v>99827.932189998595</v>
      </c>
      <c r="AG68" s="383">
        <v>14111</v>
      </c>
      <c r="AH68" s="383">
        <v>10000</v>
      </c>
      <c r="AI68" s="383">
        <v>11050</v>
      </c>
      <c r="AJ68" s="383">
        <v>3062.5</v>
      </c>
      <c r="AK68" s="383">
        <v>37500</v>
      </c>
      <c r="AL68" s="383">
        <v>4000</v>
      </c>
      <c r="AM68" s="383">
        <v>94660</v>
      </c>
      <c r="AN68" s="383">
        <v>8000</v>
      </c>
      <c r="AO68" s="383">
        <v>89000</v>
      </c>
      <c r="AP68" s="383">
        <v>58800</v>
      </c>
      <c r="AQ68" s="383">
        <v>21940</v>
      </c>
      <c r="AR68" s="383">
        <v>57800</v>
      </c>
      <c r="AS68" s="383">
        <v>99643</v>
      </c>
      <c r="AT68" s="383">
        <v>0</v>
      </c>
      <c r="AU68" s="383">
        <v>39140</v>
      </c>
      <c r="AV68" s="383">
        <v>12374</v>
      </c>
      <c r="AW68" s="383">
        <v>4500</v>
      </c>
      <c r="AX68" s="383">
        <v>82000</v>
      </c>
      <c r="AY68" s="383">
        <v>0</v>
      </c>
      <c r="AZ68" s="383">
        <v>3250</v>
      </c>
      <c r="BA68" s="383">
        <v>33595</v>
      </c>
      <c r="BB68" s="383">
        <v>0</v>
      </c>
      <c r="BC68" s="383">
        <v>0</v>
      </c>
      <c r="BD68" s="383">
        <v>153896</v>
      </c>
      <c r="BE68" s="383">
        <f t="shared" ref="BE68:BE124" si="14">SUBTOTAL(9,Z68:BD68)</f>
        <v>3816746.848816772</v>
      </c>
      <c r="BF68" s="383">
        <f t="shared" ref="BF68:BF124" si="15">Y68-BE68</f>
        <v>-483286.44309146609</v>
      </c>
      <c r="BG68" s="383">
        <v>862427.18999999959</v>
      </c>
      <c r="BH68" s="383">
        <f t="shared" ref="BH68:BH124" si="16">BG68+BF68</f>
        <v>379140.7469085335</v>
      </c>
      <c r="BI68" s="383">
        <v>0</v>
      </c>
      <c r="BJ68" s="383">
        <v>0</v>
      </c>
      <c r="BK68" s="383">
        <f t="shared" ref="BK68:BK124" si="17">SUBTOTAL(9,BI68:BJ68)</f>
        <v>0</v>
      </c>
      <c r="BL68" s="383">
        <v>0</v>
      </c>
      <c r="BM68" s="383">
        <v>0</v>
      </c>
      <c r="BN68" s="383">
        <f t="shared" ref="BN68:BN124" si="18">SUBTOTAL(9,BL68:BM68)</f>
        <v>0</v>
      </c>
      <c r="BO68" s="383">
        <f t="shared" ref="BO68:BO124" si="19">BK68-BN68</f>
        <v>0</v>
      </c>
      <c r="BP68" s="383">
        <v>0</v>
      </c>
      <c r="BQ68" s="383">
        <f t="shared" ref="BQ68:BQ124" si="20">BP68+BO68</f>
        <v>0</v>
      </c>
      <c r="BR68" s="383">
        <v>0</v>
      </c>
      <c r="BS68" s="383">
        <v>379140.7469085335</v>
      </c>
      <c r="BT68" s="383">
        <v>0</v>
      </c>
      <c r="BU68" s="383">
        <f t="shared" ref="BU68:BU124" si="21">BQ68+BH68</f>
        <v>379140.7469085335</v>
      </c>
      <c r="BV68" s="383">
        <v>12758</v>
      </c>
      <c r="BW68" s="383">
        <v>0</v>
      </c>
      <c r="BX68" s="383">
        <v>0</v>
      </c>
      <c r="BY68" s="383">
        <f t="shared" ref="BY68:BY124" si="22">SUBTOTAL(9,BV68:BX68)</f>
        <v>12758</v>
      </c>
      <c r="BZ68" s="383">
        <v>0</v>
      </c>
      <c r="CA68" s="383">
        <v>18593.669999999998</v>
      </c>
      <c r="CB68" s="383">
        <v>0</v>
      </c>
      <c r="CC68" s="383">
        <v>0</v>
      </c>
      <c r="CD68" s="383">
        <f t="shared" ref="CD68:CD124" si="23">SUBTOTAL(9,BZ68:CC68)</f>
        <v>18593.669999999998</v>
      </c>
      <c r="CE68" s="383">
        <f t="shared" ref="CE68:CE124" si="24">BY68-CD68</f>
        <v>-5835.6699999999983</v>
      </c>
      <c r="CF68" s="383">
        <v>5835.67</v>
      </c>
      <c r="CG68" s="383">
        <f t="shared" ref="CG68:CG124" si="25">CF68+CE68</f>
        <v>0</v>
      </c>
      <c r="CH68" s="383">
        <f>VLOOKUP($B68,'Data - CFR 202526'!$B$4:$CJ$127,85,0)</f>
        <v>5835.67</v>
      </c>
      <c r="CI68" s="383">
        <f>VLOOKUP($B68,'Data - CFR 202526'!$B$4:$CJ$127,86,0)</f>
        <v>1.1641521080463235E-12</v>
      </c>
      <c r="CJ68" s="383">
        <f>VLOOKUP($B68,'Data - CFR 202526'!$B$4:$CJ$127,87,0)</f>
        <v>5835.670000000001</v>
      </c>
    </row>
    <row r="69" spans="1:88" ht="13.8">
      <c r="A69" s="252" t="s">
        <v>1525</v>
      </c>
      <c r="B69" s="288">
        <v>2446</v>
      </c>
      <c r="C69" s="288" t="s">
        <v>769</v>
      </c>
      <c r="D69" s="248" t="s">
        <v>704</v>
      </c>
      <c r="E69" s="384"/>
      <c r="F69" s="383">
        <v>2776732.4057253059</v>
      </c>
      <c r="G69" s="383">
        <v>0</v>
      </c>
      <c r="H69" s="383">
        <v>102230</v>
      </c>
      <c r="I69" s="383">
        <v>0</v>
      </c>
      <c r="J69" s="383">
        <v>229400</v>
      </c>
      <c r="K69" s="383">
        <v>74598</v>
      </c>
      <c r="L69" s="383">
        <v>0</v>
      </c>
      <c r="M69" s="383">
        <v>0</v>
      </c>
      <c r="N69" s="383">
        <v>105000</v>
      </c>
      <c r="O69" s="383">
        <v>31000</v>
      </c>
      <c r="P69" s="383">
        <v>0</v>
      </c>
      <c r="Q69" s="383">
        <v>0</v>
      </c>
      <c r="R69" s="383">
        <v>14500</v>
      </c>
      <c r="S69" s="383">
        <v>0</v>
      </c>
      <c r="T69" s="383">
        <v>0</v>
      </c>
      <c r="U69" s="383">
        <v>0</v>
      </c>
      <c r="V69" s="383">
        <v>0</v>
      </c>
      <c r="W69" s="383">
        <v>0</v>
      </c>
      <c r="X69" s="383">
        <v>0</v>
      </c>
      <c r="Y69" s="383">
        <f t="shared" si="13"/>
        <v>3333460.4057253059</v>
      </c>
      <c r="Z69" s="383">
        <v>1870283.8977829565</v>
      </c>
      <c r="AA69" s="383">
        <v>0</v>
      </c>
      <c r="AB69" s="383">
        <v>676300.10627184017</v>
      </c>
      <c r="AC69" s="383">
        <v>39359.361839999998</v>
      </c>
      <c r="AD69" s="383">
        <v>199684.98400855088</v>
      </c>
      <c r="AE69" s="383">
        <v>92969.066723425436</v>
      </c>
      <c r="AF69" s="383">
        <v>99827.932189998595</v>
      </c>
      <c r="AG69" s="383">
        <v>14111</v>
      </c>
      <c r="AH69" s="383">
        <v>10000</v>
      </c>
      <c r="AI69" s="383">
        <v>11050</v>
      </c>
      <c r="AJ69" s="383">
        <v>3062.5</v>
      </c>
      <c r="AK69" s="383">
        <v>37500</v>
      </c>
      <c r="AL69" s="383">
        <v>4000</v>
      </c>
      <c r="AM69" s="383">
        <v>94660</v>
      </c>
      <c r="AN69" s="383">
        <v>8000</v>
      </c>
      <c r="AO69" s="383">
        <v>89000</v>
      </c>
      <c r="AP69" s="383">
        <v>58800</v>
      </c>
      <c r="AQ69" s="383">
        <v>21940</v>
      </c>
      <c r="AR69" s="383">
        <v>57800</v>
      </c>
      <c r="AS69" s="383">
        <v>99643</v>
      </c>
      <c r="AT69" s="383">
        <v>0</v>
      </c>
      <c r="AU69" s="383">
        <v>39140</v>
      </c>
      <c r="AV69" s="383">
        <v>12374</v>
      </c>
      <c r="AW69" s="383">
        <v>4500</v>
      </c>
      <c r="AX69" s="383">
        <v>82000</v>
      </c>
      <c r="AY69" s="383">
        <v>0</v>
      </c>
      <c r="AZ69" s="383">
        <v>3250</v>
      </c>
      <c r="BA69" s="383">
        <v>33595</v>
      </c>
      <c r="BB69" s="383">
        <v>0</v>
      </c>
      <c r="BC69" s="383">
        <v>0</v>
      </c>
      <c r="BD69" s="383">
        <v>153896</v>
      </c>
      <c r="BE69" s="383">
        <f t="shared" si="14"/>
        <v>3816746.848816772</v>
      </c>
      <c r="BF69" s="383">
        <f t="shared" si="15"/>
        <v>-483286.44309146609</v>
      </c>
      <c r="BG69" s="383">
        <v>862427.18999999959</v>
      </c>
      <c r="BH69" s="383">
        <f t="shared" si="16"/>
        <v>379140.7469085335</v>
      </c>
      <c r="BI69" s="383">
        <v>0</v>
      </c>
      <c r="BJ69" s="383">
        <v>0</v>
      </c>
      <c r="BK69" s="383">
        <f t="shared" si="17"/>
        <v>0</v>
      </c>
      <c r="BL69" s="383">
        <v>0</v>
      </c>
      <c r="BM69" s="383">
        <v>0</v>
      </c>
      <c r="BN69" s="383">
        <f t="shared" si="18"/>
        <v>0</v>
      </c>
      <c r="BO69" s="383">
        <f t="shared" si="19"/>
        <v>0</v>
      </c>
      <c r="BP69" s="383">
        <v>0</v>
      </c>
      <c r="BQ69" s="383">
        <f t="shared" si="20"/>
        <v>0</v>
      </c>
      <c r="BR69" s="383">
        <v>0</v>
      </c>
      <c r="BS69" s="383">
        <v>379140.7469085335</v>
      </c>
      <c r="BT69" s="383">
        <v>0</v>
      </c>
      <c r="BU69" s="383">
        <f t="shared" si="21"/>
        <v>379140.7469085335</v>
      </c>
      <c r="BV69" s="383">
        <v>12758</v>
      </c>
      <c r="BW69" s="383">
        <v>0</v>
      </c>
      <c r="BX69" s="383">
        <v>0</v>
      </c>
      <c r="BY69" s="383">
        <f t="shared" si="22"/>
        <v>12758</v>
      </c>
      <c r="BZ69" s="383">
        <v>0</v>
      </c>
      <c r="CA69" s="383">
        <v>18593.669999999998</v>
      </c>
      <c r="CB69" s="383">
        <v>0</v>
      </c>
      <c r="CC69" s="383">
        <v>0</v>
      </c>
      <c r="CD69" s="383">
        <f t="shared" si="23"/>
        <v>18593.669999999998</v>
      </c>
      <c r="CE69" s="383">
        <f t="shared" si="24"/>
        <v>-5835.6699999999983</v>
      </c>
      <c r="CF69" s="383">
        <v>5835.67</v>
      </c>
      <c r="CG69" s="383">
        <f t="shared" si="25"/>
        <v>0</v>
      </c>
      <c r="CH69" s="383">
        <f>VLOOKUP($B69,'Data - CFR 202526'!$B$4:$CJ$127,85,0)</f>
        <v>5835.67</v>
      </c>
      <c r="CI69" s="383">
        <f>VLOOKUP($B69,'Data - CFR 202526'!$B$4:$CJ$127,86,0)</f>
        <v>1.1641521080463235E-12</v>
      </c>
      <c r="CJ69" s="383">
        <f>VLOOKUP($B69,'Data - CFR 202526'!$B$4:$CJ$127,87,0)</f>
        <v>5835.670000000001</v>
      </c>
    </row>
    <row r="70" spans="1:88" ht="13.8">
      <c r="A70" s="252" t="s">
        <v>1525</v>
      </c>
      <c r="B70" s="290">
        <v>2066</v>
      </c>
      <c r="C70" s="290" t="s">
        <v>770</v>
      </c>
      <c r="D70" s="248" t="s">
        <v>704</v>
      </c>
      <c r="E70" s="384"/>
      <c r="F70" s="383">
        <v>1143101.23</v>
      </c>
      <c r="G70" s="383">
        <v>0</v>
      </c>
      <c r="H70" s="383">
        <v>13823.01</v>
      </c>
      <c r="I70" s="383">
        <v>0</v>
      </c>
      <c r="J70" s="383">
        <v>52140</v>
      </c>
      <c r="K70" s="383">
        <v>52979</v>
      </c>
      <c r="L70" s="383">
        <v>4000</v>
      </c>
      <c r="M70" s="383">
        <v>9500</v>
      </c>
      <c r="N70" s="383">
        <v>60000</v>
      </c>
      <c r="O70" s="383">
        <v>27000</v>
      </c>
      <c r="P70" s="383">
        <v>0</v>
      </c>
      <c r="Q70" s="383">
        <v>0</v>
      </c>
      <c r="R70" s="383">
        <v>5000</v>
      </c>
      <c r="S70" s="383">
        <v>0</v>
      </c>
      <c r="T70" s="383">
        <v>0</v>
      </c>
      <c r="U70" s="383">
        <v>0</v>
      </c>
      <c r="V70" s="383">
        <v>0</v>
      </c>
      <c r="W70" s="383">
        <v>0</v>
      </c>
      <c r="X70" s="383">
        <v>0</v>
      </c>
      <c r="Y70" s="383">
        <f t="shared" si="13"/>
        <v>1367543.24</v>
      </c>
      <c r="Z70" s="383">
        <v>754191.8</v>
      </c>
      <c r="AA70" s="383">
        <v>1000</v>
      </c>
      <c r="AB70" s="383">
        <v>194855.09</v>
      </c>
      <c r="AC70" s="383">
        <v>35299.5</v>
      </c>
      <c r="AD70" s="383">
        <v>51335.34</v>
      </c>
      <c r="AE70" s="383">
        <v>41566.199999999997</v>
      </c>
      <c r="AF70" s="383">
        <v>76645.55</v>
      </c>
      <c r="AG70" s="383">
        <v>5200</v>
      </c>
      <c r="AH70" s="383">
        <v>7000</v>
      </c>
      <c r="AI70" s="383">
        <v>5382</v>
      </c>
      <c r="AJ70" s="383">
        <v>1557</v>
      </c>
      <c r="AK70" s="383">
        <v>5000</v>
      </c>
      <c r="AL70" s="383">
        <v>3000</v>
      </c>
      <c r="AM70" s="383">
        <v>3000</v>
      </c>
      <c r="AN70" s="383">
        <v>5200</v>
      </c>
      <c r="AO70" s="383">
        <v>30000</v>
      </c>
      <c r="AP70" s="383">
        <v>35280</v>
      </c>
      <c r="AQ70" s="383">
        <v>6100</v>
      </c>
      <c r="AR70" s="383">
        <v>43270</v>
      </c>
      <c r="AS70" s="383">
        <v>27000</v>
      </c>
      <c r="AT70" s="383">
        <v>0</v>
      </c>
      <c r="AU70" s="383">
        <v>350</v>
      </c>
      <c r="AV70" s="383">
        <v>6726</v>
      </c>
      <c r="AW70" s="383">
        <v>3000</v>
      </c>
      <c r="AX70" s="383">
        <v>25000</v>
      </c>
      <c r="AY70" s="383">
        <v>0</v>
      </c>
      <c r="AZ70" s="383">
        <v>8500</v>
      </c>
      <c r="BA70" s="383">
        <v>9405.7099999999991</v>
      </c>
      <c r="BB70" s="383">
        <v>0</v>
      </c>
      <c r="BC70" s="383">
        <v>0</v>
      </c>
      <c r="BD70" s="383">
        <v>0</v>
      </c>
      <c r="BE70" s="383">
        <f t="shared" si="14"/>
        <v>1384864.19</v>
      </c>
      <c r="BF70" s="383">
        <f t="shared" si="15"/>
        <v>-17320.949999999953</v>
      </c>
      <c r="BG70" s="383">
        <v>-89990</v>
      </c>
      <c r="BH70" s="383">
        <f t="shared" si="16"/>
        <v>-107310.94999999995</v>
      </c>
      <c r="BI70" s="383">
        <v>125000</v>
      </c>
      <c r="BJ70" s="383">
        <v>5000</v>
      </c>
      <c r="BK70" s="383">
        <f t="shared" si="17"/>
        <v>130000</v>
      </c>
      <c r="BL70" s="383">
        <v>102450.53</v>
      </c>
      <c r="BM70" s="383">
        <v>9000</v>
      </c>
      <c r="BN70" s="383">
        <f t="shared" si="18"/>
        <v>111450.53</v>
      </c>
      <c r="BO70" s="383">
        <f t="shared" si="19"/>
        <v>18549.47</v>
      </c>
      <c r="BP70" s="383">
        <v>20168.47</v>
      </c>
      <c r="BQ70" s="383">
        <f t="shared" si="20"/>
        <v>38717.94</v>
      </c>
      <c r="BR70" s="383">
        <v>0</v>
      </c>
      <c r="BS70" s="383">
        <v>-107310.94999999995</v>
      </c>
      <c r="BT70" s="383">
        <v>38717.94</v>
      </c>
      <c r="BU70" s="383">
        <f t="shared" si="21"/>
        <v>-68593.009999999951</v>
      </c>
      <c r="BV70" s="383">
        <v>6351</v>
      </c>
      <c r="BW70" s="383">
        <v>0</v>
      </c>
      <c r="BX70" s="383">
        <v>0</v>
      </c>
      <c r="BY70" s="383">
        <f t="shared" si="22"/>
        <v>6351</v>
      </c>
      <c r="BZ70" s="383">
        <v>0</v>
      </c>
      <c r="CA70" s="383">
        <v>41346</v>
      </c>
      <c r="CB70" s="383">
        <v>0</v>
      </c>
      <c r="CC70" s="383">
        <v>0</v>
      </c>
      <c r="CD70" s="383">
        <f t="shared" si="23"/>
        <v>41346</v>
      </c>
      <c r="CE70" s="383">
        <f t="shared" si="24"/>
        <v>-34995</v>
      </c>
      <c r="CF70" s="383">
        <v>34994.62999999999</v>
      </c>
      <c r="CG70" s="383">
        <f t="shared" si="25"/>
        <v>-0.3700000000098953</v>
      </c>
      <c r="CH70" s="383">
        <f>VLOOKUP($B70,'Data - CFR 202526'!$B$4:$CJ$127,85,0)</f>
        <v>34994.62999999999</v>
      </c>
      <c r="CI70" s="383">
        <f>VLOOKUP($B70,'Data - CFR 202526'!$B$4:$CJ$127,86,0)</f>
        <v>0</v>
      </c>
      <c r="CJ70" s="383">
        <f>VLOOKUP($B70,'Data - CFR 202526'!$B$4:$CJ$127,87,0)</f>
        <v>34994.62999999999</v>
      </c>
    </row>
    <row r="71" spans="1:88" ht="13.8">
      <c r="A71" s="252" t="s">
        <v>1525</v>
      </c>
      <c r="B71" s="288">
        <v>2293</v>
      </c>
      <c r="C71" s="288" t="s">
        <v>771</v>
      </c>
      <c r="D71" s="248" t="s">
        <v>704</v>
      </c>
      <c r="E71" s="384"/>
      <c r="F71" s="383">
        <v>1587991.38</v>
      </c>
      <c r="G71" s="383">
        <v>0</v>
      </c>
      <c r="H71" s="383">
        <v>107417</v>
      </c>
      <c r="I71" s="383">
        <v>0</v>
      </c>
      <c r="J71" s="383">
        <v>80100</v>
      </c>
      <c r="K71" s="383">
        <v>52334</v>
      </c>
      <c r="L71" s="383">
        <v>0</v>
      </c>
      <c r="M71" s="383">
        <v>34000</v>
      </c>
      <c r="N71" s="383">
        <v>2800</v>
      </c>
      <c r="O71" s="383">
        <v>0</v>
      </c>
      <c r="P71" s="383">
        <v>0</v>
      </c>
      <c r="Q71" s="383">
        <v>0</v>
      </c>
      <c r="R71" s="383">
        <v>0</v>
      </c>
      <c r="S71" s="383">
        <v>6627</v>
      </c>
      <c r="T71" s="383">
        <v>0</v>
      </c>
      <c r="U71" s="383">
        <v>0</v>
      </c>
      <c r="V71" s="383">
        <v>0</v>
      </c>
      <c r="W71" s="383">
        <v>0</v>
      </c>
      <c r="X71" s="383">
        <v>0</v>
      </c>
      <c r="Y71" s="383">
        <f t="shared" si="13"/>
        <v>1871269.38</v>
      </c>
      <c r="Z71" s="383">
        <v>989007.61</v>
      </c>
      <c r="AA71" s="383">
        <v>1000</v>
      </c>
      <c r="AB71" s="383">
        <v>399006.22</v>
      </c>
      <c r="AC71" s="383">
        <v>56225.279999999999</v>
      </c>
      <c r="AD71" s="383">
        <v>116756.31</v>
      </c>
      <c r="AE71" s="383">
        <v>0</v>
      </c>
      <c r="AF71" s="383">
        <v>0</v>
      </c>
      <c r="AG71" s="383">
        <v>6580</v>
      </c>
      <c r="AH71" s="383">
        <v>5000</v>
      </c>
      <c r="AI71" s="383">
        <v>0</v>
      </c>
      <c r="AJ71" s="383">
        <v>0</v>
      </c>
      <c r="AK71" s="383">
        <v>8000</v>
      </c>
      <c r="AL71" s="383">
        <v>3360</v>
      </c>
      <c r="AM71" s="383">
        <v>2000</v>
      </c>
      <c r="AN71" s="383">
        <v>6200</v>
      </c>
      <c r="AO71" s="383">
        <v>51000</v>
      </c>
      <c r="AP71" s="383">
        <v>44835</v>
      </c>
      <c r="AQ71" s="383">
        <v>8202</v>
      </c>
      <c r="AR71" s="383">
        <v>27758</v>
      </c>
      <c r="AS71" s="383">
        <v>36859.51</v>
      </c>
      <c r="AT71" s="383">
        <v>0</v>
      </c>
      <c r="AU71" s="383">
        <v>8546.7999999999993</v>
      </c>
      <c r="AV71" s="383">
        <v>8811</v>
      </c>
      <c r="AW71" s="383">
        <v>0</v>
      </c>
      <c r="AX71" s="383">
        <v>67401</v>
      </c>
      <c r="AY71" s="383">
        <v>14000</v>
      </c>
      <c r="AZ71" s="383">
        <v>11210</v>
      </c>
      <c r="BA71" s="383">
        <v>14469</v>
      </c>
      <c r="BB71" s="383">
        <v>0</v>
      </c>
      <c r="BC71" s="383">
        <v>0</v>
      </c>
      <c r="BD71" s="383">
        <v>0</v>
      </c>
      <c r="BE71" s="383">
        <f t="shared" si="14"/>
        <v>1886227.7300000002</v>
      </c>
      <c r="BF71" s="383">
        <f t="shared" si="15"/>
        <v>-14958.350000000326</v>
      </c>
      <c r="BG71" s="383">
        <v>62113.460000000166</v>
      </c>
      <c r="BH71" s="383">
        <f t="shared" si="16"/>
        <v>47155.109999999841</v>
      </c>
      <c r="BI71" s="383">
        <v>0</v>
      </c>
      <c r="BJ71" s="383">
        <v>0</v>
      </c>
      <c r="BK71" s="383">
        <f t="shared" si="17"/>
        <v>0</v>
      </c>
      <c r="BL71" s="383">
        <v>0</v>
      </c>
      <c r="BM71" s="383">
        <v>0</v>
      </c>
      <c r="BN71" s="383">
        <f t="shared" si="18"/>
        <v>0</v>
      </c>
      <c r="BO71" s="383">
        <f t="shared" si="19"/>
        <v>0</v>
      </c>
      <c r="BP71" s="383">
        <v>0</v>
      </c>
      <c r="BQ71" s="383">
        <f t="shared" si="20"/>
        <v>0</v>
      </c>
      <c r="BR71" s="383">
        <v>0</v>
      </c>
      <c r="BS71" s="383">
        <v>47155.109999999841</v>
      </c>
      <c r="BT71" s="383">
        <v>0</v>
      </c>
      <c r="BU71" s="383">
        <f t="shared" si="21"/>
        <v>47155.109999999841</v>
      </c>
      <c r="BV71" s="383">
        <v>7296</v>
      </c>
      <c r="BW71" s="383">
        <v>0</v>
      </c>
      <c r="BX71" s="383">
        <v>0</v>
      </c>
      <c r="BY71" s="383">
        <f t="shared" si="22"/>
        <v>7296</v>
      </c>
      <c r="BZ71" s="383">
        <v>0</v>
      </c>
      <c r="CA71" s="383">
        <v>21859.53</v>
      </c>
      <c r="CB71" s="383">
        <v>0</v>
      </c>
      <c r="CC71" s="383">
        <v>6000</v>
      </c>
      <c r="CD71" s="383">
        <f t="shared" si="23"/>
        <v>27859.53</v>
      </c>
      <c r="CE71" s="383">
        <f t="shared" si="24"/>
        <v>-20563.53</v>
      </c>
      <c r="CF71" s="383">
        <v>20563.53</v>
      </c>
      <c r="CG71" s="383">
        <f t="shared" si="25"/>
        <v>0</v>
      </c>
      <c r="CH71" s="383">
        <f>VLOOKUP($B71,'Data - CFR 202526'!$B$4:$CJ$127,85,0)</f>
        <v>20563.53</v>
      </c>
      <c r="CI71" s="383">
        <f>VLOOKUP($B71,'Data - CFR 202526'!$B$4:$CJ$127,86,0)</f>
        <v>0</v>
      </c>
      <c r="CJ71" s="383">
        <f>VLOOKUP($B71,'Data - CFR 202526'!$B$4:$CJ$127,87,0)</f>
        <v>20563.53</v>
      </c>
    </row>
    <row r="72" spans="1:88" ht="13.8">
      <c r="A72" s="252" t="s">
        <v>1525</v>
      </c>
      <c r="B72" s="288">
        <v>2074</v>
      </c>
      <c r="C72" s="288" t="s">
        <v>772</v>
      </c>
      <c r="D72" s="248" t="s">
        <v>704</v>
      </c>
      <c r="E72" s="384"/>
      <c r="F72" s="383">
        <v>2230212.622586478</v>
      </c>
      <c r="G72" s="383">
        <v>0</v>
      </c>
      <c r="H72" s="383">
        <v>75538</v>
      </c>
      <c r="I72" s="383">
        <v>0</v>
      </c>
      <c r="J72" s="383">
        <v>167200</v>
      </c>
      <c r="K72" s="383">
        <v>57565</v>
      </c>
      <c r="L72" s="383">
        <v>0</v>
      </c>
      <c r="M72" s="383">
        <v>18000</v>
      </c>
      <c r="N72" s="383">
        <v>25000</v>
      </c>
      <c r="O72" s="383">
        <v>25000</v>
      </c>
      <c r="P72" s="383">
        <v>0</v>
      </c>
      <c r="Q72" s="383">
        <v>0</v>
      </c>
      <c r="R72" s="383">
        <v>13500</v>
      </c>
      <c r="S72" s="383">
        <v>0</v>
      </c>
      <c r="T72" s="383">
        <v>0</v>
      </c>
      <c r="U72" s="383">
        <v>0</v>
      </c>
      <c r="V72" s="383">
        <v>0</v>
      </c>
      <c r="W72" s="383">
        <v>0</v>
      </c>
      <c r="X72" s="383">
        <v>0</v>
      </c>
      <c r="Y72" s="383">
        <f t="shared" si="13"/>
        <v>2612015.622586478</v>
      </c>
      <c r="Z72" s="383">
        <v>1311688.3847979046</v>
      </c>
      <c r="AA72" s="383">
        <v>19650</v>
      </c>
      <c r="AB72" s="383">
        <v>472301.79155957291</v>
      </c>
      <c r="AC72" s="383">
        <v>102576.22983948459</v>
      </c>
      <c r="AD72" s="383">
        <v>149202.52930671154</v>
      </c>
      <c r="AE72" s="383">
        <v>0</v>
      </c>
      <c r="AF72" s="383">
        <v>58169.015243116242</v>
      </c>
      <c r="AG72" s="383">
        <v>9350</v>
      </c>
      <c r="AH72" s="383">
        <v>11000</v>
      </c>
      <c r="AI72" s="383">
        <v>10075</v>
      </c>
      <c r="AJ72" s="383">
        <v>500</v>
      </c>
      <c r="AK72" s="383">
        <v>18000</v>
      </c>
      <c r="AL72" s="383">
        <v>1500</v>
      </c>
      <c r="AM72" s="383">
        <v>9200</v>
      </c>
      <c r="AN72" s="383">
        <v>9000</v>
      </c>
      <c r="AO72" s="383">
        <v>42000</v>
      </c>
      <c r="AP72" s="383">
        <v>79380</v>
      </c>
      <c r="AQ72" s="383">
        <v>12070</v>
      </c>
      <c r="AR72" s="383">
        <v>57590</v>
      </c>
      <c r="AS72" s="383">
        <v>28784</v>
      </c>
      <c r="AT72" s="383">
        <v>0</v>
      </c>
      <c r="AU72" s="383">
        <v>22623</v>
      </c>
      <c r="AV72" s="383">
        <v>10954</v>
      </c>
      <c r="AW72" s="383">
        <v>1750</v>
      </c>
      <c r="AX72" s="383">
        <v>123580</v>
      </c>
      <c r="AY72" s="383">
        <v>5000</v>
      </c>
      <c r="AZ72" s="383">
        <v>44069</v>
      </c>
      <c r="BA72" s="383">
        <v>22478</v>
      </c>
      <c r="BB72" s="383">
        <v>0</v>
      </c>
      <c r="BC72" s="383">
        <v>0</v>
      </c>
      <c r="BD72" s="383">
        <v>0</v>
      </c>
      <c r="BE72" s="383">
        <f t="shared" si="14"/>
        <v>2632490.95074679</v>
      </c>
      <c r="BF72" s="383">
        <f t="shared" si="15"/>
        <v>-20475.328160312027</v>
      </c>
      <c r="BG72" s="383">
        <v>80897.240000001271</v>
      </c>
      <c r="BH72" s="383">
        <f t="shared" si="16"/>
        <v>60421.911839689245</v>
      </c>
      <c r="BI72" s="383">
        <v>107340</v>
      </c>
      <c r="BJ72" s="383">
        <v>5000</v>
      </c>
      <c r="BK72" s="383">
        <f t="shared" si="17"/>
        <v>112340</v>
      </c>
      <c r="BL72" s="383">
        <v>117176.0384944914</v>
      </c>
      <c r="BM72" s="383">
        <v>8218</v>
      </c>
      <c r="BN72" s="383">
        <f t="shared" si="18"/>
        <v>125394.0384944914</v>
      </c>
      <c r="BO72" s="383">
        <f t="shared" si="19"/>
        <v>-13054.038494491397</v>
      </c>
      <c r="BP72" s="383">
        <v>12651.119999999995</v>
      </c>
      <c r="BQ72" s="383">
        <f t="shared" si="20"/>
        <v>-402.91849449140136</v>
      </c>
      <c r="BR72" s="383">
        <v>0</v>
      </c>
      <c r="BS72" s="383">
        <v>60421.911839689245</v>
      </c>
      <c r="BT72" s="383">
        <v>-402.91849449140136</v>
      </c>
      <c r="BU72" s="383">
        <f t="shared" si="21"/>
        <v>60018.993345197843</v>
      </c>
      <c r="BV72" s="383">
        <v>8478</v>
      </c>
      <c r="BW72" s="383">
        <v>0</v>
      </c>
      <c r="BX72" s="383">
        <v>0</v>
      </c>
      <c r="BY72" s="383">
        <f t="shared" si="22"/>
        <v>8478</v>
      </c>
      <c r="BZ72" s="383">
        <v>0</v>
      </c>
      <c r="CA72" s="383">
        <v>22081.52</v>
      </c>
      <c r="CB72" s="383">
        <v>0</v>
      </c>
      <c r="CC72" s="383">
        <v>0</v>
      </c>
      <c r="CD72" s="383">
        <f t="shared" si="23"/>
        <v>22081.52</v>
      </c>
      <c r="CE72" s="383">
        <f t="shared" si="24"/>
        <v>-13603.52</v>
      </c>
      <c r="CF72" s="383">
        <v>13603.519999999999</v>
      </c>
      <c r="CG72" s="383">
        <f t="shared" si="25"/>
        <v>0</v>
      </c>
      <c r="CH72" s="383">
        <f>VLOOKUP($B72,'Data - CFR 202526'!$B$4:$CJ$127,85,0)</f>
        <v>13603.519999999999</v>
      </c>
      <c r="CI72" s="383">
        <f>VLOOKUP($B72,'Data - CFR 202526'!$B$4:$CJ$127,86,0)</f>
        <v>0</v>
      </c>
      <c r="CJ72" s="383">
        <f>VLOOKUP($B72,'Data - CFR 202526'!$B$4:$CJ$127,87,0)</f>
        <v>13603.519999999999</v>
      </c>
    </row>
    <row r="73" spans="1:88" ht="13.8">
      <c r="A73" s="252" t="s">
        <v>1525</v>
      </c>
      <c r="B73" s="288">
        <v>2075</v>
      </c>
      <c r="C73" s="288" t="s">
        <v>773</v>
      </c>
      <c r="D73" s="248" t="s">
        <v>704</v>
      </c>
      <c r="E73" s="384"/>
      <c r="F73" s="383">
        <v>1154821.6875912361</v>
      </c>
      <c r="G73" s="383">
        <v>0</v>
      </c>
      <c r="H73" s="383">
        <v>107208</v>
      </c>
      <c r="I73" s="383">
        <v>0</v>
      </c>
      <c r="J73" s="383">
        <v>89490</v>
      </c>
      <c r="K73" s="383">
        <v>43008</v>
      </c>
      <c r="L73" s="383">
        <v>0</v>
      </c>
      <c r="M73" s="383">
        <v>18000</v>
      </c>
      <c r="N73" s="383">
        <v>17000</v>
      </c>
      <c r="O73" s="383">
        <v>50</v>
      </c>
      <c r="P73" s="383">
        <v>0</v>
      </c>
      <c r="Q73" s="383">
        <v>0</v>
      </c>
      <c r="R73" s="383">
        <v>2500</v>
      </c>
      <c r="S73" s="383">
        <v>0</v>
      </c>
      <c r="T73" s="383">
        <v>0</v>
      </c>
      <c r="U73" s="383">
        <v>0</v>
      </c>
      <c r="V73" s="383">
        <v>0</v>
      </c>
      <c r="W73" s="383">
        <v>0</v>
      </c>
      <c r="X73" s="383">
        <v>0</v>
      </c>
      <c r="Y73" s="383">
        <f t="shared" si="13"/>
        <v>1432077.6875912361</v>
      </c>
      <c r="Z73" s="383">
        <v>692242.48207433335</v>
      </c>
      <c r="AA73" s="383">
        <v>0</v>
      </c>
      <c r="AB73" s="383">
        <v>350914.23573565867</v>
      </c>
      <c r="AC73" s="383">
        <v>60806.277747548978</v>
      </c>
      <c r="AD73" s="383">
        <v>87815.401980338938</v>
      </c>
      <c r="AE73" s="383">
        <v>0</v>
      </c>
      <c r="AF73" s="383">
        <v>71578.377612962591</v>
      </c>
      <c r="AG73" s="383">
        <v>39356.620000000003</v>
      </c>
      <c r="AH73" s="383">
        <v>4000</v>
      </c>
      <c r="AI73" s="383">
        <v>4966</v>
      </c>
      <c r="AJ73" s="383">
        <v>517</v>
      </c>
      <c r="AK73" s="383">
        <v>8000</v>
      </c>
      <c r="AL73" s="383">
        <v>1000</v>
      </c>
      <c r="AM73" s="383">
        <v>5135</v>
      </c>
      <c r="AN73" s="383">
        <v>6000</v>
      </c>
      <c r="AO73" s="383">
        <v>52000</v>
      </c>
      <c r="AP73" s="383">
        <v>0</v>
      </c>
      <c r="AQ73" s="383">
        <v>6900</v>
      </c>
      <c r="AR73" s="383">
        <v>52523.37</v>
      </c>
      <c r="AS73" s="383">
        <v>28765</v>
      </c>
      <c r="AT73" s="383">
        <v>0</v>
      </c>
      <c r="AU73" s="383">
        <v>8300</v>
      </c>
      <c r="AV73" s="383">
        <v>5650</v>
      </c>
      <c r="AW73" s="383">
        <v>3859.2</v>
      </c>
      <c r="AX73" s="383">
        <v>57828</v>
      </c>
      <c r="AY73" s="383">
        <v>3500</v>
      </c>
      <c r="AZ73" s="383">
        <v>4600</v>
      </c>
      <c r="BA73" s="383">
        <v>12910</v>
      </c>
      <c r="BB73" s="383">
        <v>0</v>
      </c>
      <c r="BC73" s="383">
        <v>0</v>
      </c>
      <c r="BD73" s="383">
        <v>0</v>
      </c>
      <c r="BE73" s="383">
        <f t="shared" si="14"/>
        <v>1569166.9651508427</v>
      </c>
      <c r="BF73" s="383">
        <f t="shared" si="15"/>
        <v>-137089.27755960659</v>
      </c>
      <c r="BG73" s="383">
        <v>71454.250000000669</v>
      </c>
      <c r="BH73" s="383">
        <f t="shared" si="16"/>
        <v>-65635.027559605922</v>
      </c>
      <c r="BI73" s="383">
        <v>70000</v>
      </c>
      <c r="BJ73" s="383">
        <v>6000</v>
      </c>
      <c r="BK73" s="383">
        <f t="shared" si="17"/>
        <v>76000</v>
      </c>
      <c r="BL73" s="383">
        <v>75833.60368953814</v>
      </c>
      <c r="BM73" s="383">
        <v>24150</v>
      </c>
      <c r="BN73" s="383">
        <f t="shared" si="18"/>
        <v>99983.60368953814</v>
      </c>
      <c r="BO73" s="383">
        <f t="shared" si="19"/>
        <v>-23983.60368953814</v>
      </c>
      <c r="BP73" s="383">
        <v>24665.819999999992</v>
      </c>
      <c r="BQ73" s="383">
        <f t="shared" si="20"/>
        <v>682.21631046185212</v>
      </c>
      <c r="BR73" s="383">
        <v>0</v>
      </c>
      <c r="BS73" s="383">
        <v>-65635.027559605922</v>
      </c>
      <c r="BT73" s="383">
        <v>682.21631046185212</v>
      </c>
      <c r="BU73" s="383">
        <f t="shared" si="21"/>
        <v>-64952.81124914407</v>
      </c>
      <c r="BV73" s="383">
        <v>6148.75</v>
      </c>
      <c r="BW73" s="383">
        <v>0</v>
      </c>
      <c r="BX73" s="383">
        <v>0</v>
      </c>
      <c r="BY73" s="383">
        <f t="shared" si="22"/>
        <v>6148.75</v>
      </c>
      <c r="BZ73" s="383">
        <v>0</v>
      </c>
      <c r="CA73" s="383">
        <v>6148.75</v>
      </c>
      <c r="CB73" s="383">
        <v>0</v>
      </c>
      <c r="CC73" s="383">
        <v>0</v>
      </c>
      <c r="CD73" s="383">
        <f t="shared" si="23"/>
        <v>6148.75</v>
      </c>
      <c r="CE73" s="383">
        <f t="shared" si="24"/>
        <v>0</v>
      </c>
      <c r="CF73" s="383">
        <v>11507.02</v>
      </c>
      <c r="CG73" s="383">
        <f t="shared" si="25"/>
        <v>11507.02</v>
      </c>
      <c r="CH73" s="383">
        <f>VLOOKUP($B73,'Data - CFR 202526'!$B$4:$CJ$127,85,0)</f>
        <v>11507.02</v>
      </c>
      <c r="CI73" s="383">
        <f>VLOOKUP($B73,'Data - CFR 202526'!$B$4:$CJ$127,86,0)</f>
        <v>0</v>
      </c>
      <c r="CJ73" s="383">
        <f>VLOOKUP($B73,'Data - CFR 202526'!$B$4:$CJ$127,87,0)</f>
        <v>11507.02</v>
      </c>
    </row>
    <row r="74" spans="1:88" ht="13.8">
      <c r="A74" s="252" t="s">
        <v>1525</v>
      </c>
      <c r="B74" s="288">
        <v>2121</v>
      </c>
      <c r="C74" s="288" t="s">
        <v>774</v>
      </c>
      <c r="D74" s="248" t="s">
        <v>704</v>
      </c>
      <c r="E74" s="384"/>
      <c r="F74" s="383">
        <v>2200600.1774719809</v>
      </c>
      <c r="G74" s="383">
        <v>0</v>
      </c>
      <c r="H74" s="383">
        <v>151999</v>
      </c>
      <c r="I74" s="383">
        <v>0</v>
      </c>
      <c r="J74" s="383">
        <v>96050</v>
      </c>
      <c r="K74" s="383">
        <v>79430</v>
      </c>
      <c r="L74" s="383">
        <v>0</v>
      </c>
      <c r="M74" s="383">
        <v>61000</v>
      </c>
      <c r="N74" s="383">
        <v>630</v>
      </c>
      <c r="O74" s="383">
        <v>45000</v>
      </c>
      <c r="P74" s="383">
        <v>2250</v>
      </c>
      <c r="Q74" s="383">
        <v>156</v>
      </c>
      <c r="R74" s="383">
        <v>0</v>
      </c>
      <c r="S74" s="383">
        <v>0</v>
      </c>
      <c r="T74" s="383">
        <v>0</v>
      </c>
      <c r="U74" s="383">
        <v>0</v>
      </c>
      <c r="V74" s="383">
        <v>0</v>
      </c>
      <c r="W74" s="383">
        <v>0</v>
      </c>
      <c r="X74" s="383">
        <v>0</v>
      </c>
      <c r="Y74" s="383">
        <f t="shared" si="13"/>
        <v>2637115.1774719809</v>
      </c>
      <c r="Z74" s="383">
        <v>1286608.5013548273</v>
      </c>
      <c r="AA74" s="383">
        <v>14000</v>
      </c>
      <c r="AB74" s="383">
        <v>512665.39528667752</v>
      </c>
      <c r="AC74" s="383">
        <v>67712.196121253888</v>
      </c>
      <c r="AD74" s="383">
        <v>182795.06671575096</v>
      </c>
      <c r="AE74" s="383">
        <v>0</v>
      </c>
      <c r="AF74" s="383">
        <v>8500</v>
      </c>
      <c r="AG74" s="383">
        <v>11970</v>
      </c>
      <c r="AH74" s="383">
        <v>4000</v>
      </c>
      <c r="AI74" s="383">
        <v>10322</v>
      </c>
      <c r="AJ74" s="383">
        <v>2920</v>
      </c>
      <c r="AK74" s="383">
        <v>16000</v>
      </c>
      <c r="AL74" s="383">
        <v>5100</v>
      </c>
      <c r="AM74" s="383">
        <v>7000</v>
      </c>
      <c r="AN74" s="383">
        <v>10500</v>
      </c>
      <c r="AO74" s="383">
        <v>45000</v>
      </c>
      <c r="AP74" s="383">
        <v>61050</v>
      </c>
      <c r="AQ74" s="383">
        <v>27200</v>
      </c>
      <c r="AR74" s="383">
        <v>28133</v>
      </c>
      <c r="AS74" s="383">
        <v>53890</v>
      </c>
      <c r="AT74" s="383">
        <v>0</v>
      </c>
      <c r="AU74" s="383">
        <v>10950</v>
      </c>
      <c r="AV74" s="383">
        <v>11835</v>
      </c>
      <c r="AW74" s="383">
        <v>0</v>
      </c>
      <c r="AX74" s="383">
        <v>132195</v>
      </c>
      <c r="AY74" s="383">
        <v>8000</v>
      </c>
      <c r="AZ74" s="383">
        <v>15633</v>
      </c>
      <c r="BA74" s="383">
        <v>21054</v>
      </c>
      <c r="BB74" s="383">
        <v>0</v>
      </c>
      <c r="BC74" s="383">
        <v>0</v>
      </c>
      <c r="BD74" s="383">
        <v>0</v>
      </c>
      <c r="BE74" s="383">
        <f t="shared" si="14"/>
        <v>2555033.1594785098</v>
      </c>
      <c r="BF74" s="383">
        <f t="shared" si="15"/>
        <v>82082.01799347112</v>
      </c>
      <c r="BG74" s="383">
        <v>-153247.33999999787</v>
      </c>
      <c r="BH74" s="383">
        <f t="shared" si="16"/>
        <v>-71165.322006526752</v>
      </c>
      <c r="BI74" s="383">
        <v>0</v>
      </c>
      <c r="BJ74" s="383">
        <v>0</v>
      </c>
      <c r="BK74" s="383">
        <f t="shared" si="17"/>
        <v>0</v>
      </c>
      <c r="BL74" s="383">
        <v>0</v>
      </c>
      <c r="BM74" s="383">
        <v>0</v>
      </c>
      <c r="BN74" s="383">
        <f t="shared" si="18"/>
        <v>0</v>
      </c>
      <c r="BO74" s="383">
        <f t="shared" si="19"/>
        <v>0</v>
      </c>
      <c r="BP74" s="383">
        <v>0</v>
      </c>
      <c r="BQ74" s="383">
        <f t="shared" si="20"/>
        <v>0</v>
      </c>
      <c r="BR74" s="383">
        <v>0</v>
      </c>
      <c r="BS74" s="383">
        <v>-71165.322006526752</v>
      </c>
      <c r="BT74" s="383">
        <v>0</v>
      </c>
      <c r="BU74" s="383">
        <f t="shared" si="21"/>
        <v>-71165.322006526752</v>
      </c>
      <c r="BV74" s="383">
        <v>8590</v>
      </c>
      <c r="BW74" s="383">
        <v>0</v>
      </c>
      <c r="BX74" s="383">
        <v>0</v>
      </c>
      <c r="BY74" s="383">
        <f t="shared" si="22"/>
        <v>8590</v>
      </c>
      <c r="BZ74" s="383">
        <v>0</v>
      </c>
      <c r="CA74" s="383">
        <v>0</v>
      </c>
      <c r="CB74" s="383">
        <v>0</v>
      </c>
      <c r="CC74" s="383">
        <v>15389.52</v>
      </c>
      <c r="CD74" s="383">
        <f t="shared" si="23"/>
        <v>15389.52</v>
      </c>
      <c r="CE74" s="383">
        <f t="shared" si="24"/>
        <v>-6799.52</v>
      </c>
      <c r="CF74" s="383">
        <v>6799.52</v>
      </c>
      <c r="CG74" s="383">
        <f t="shared" si="25"/>
        <v>0</v>
      </c>
      <c r="CH74" s="383">
        <f>VLOOKUP($B74,'Data - CFR 202526'!$B$4:$CJ$127,85,0)</f>
        <v>6799.52</v>
      </c>
      <c r="CI74" s="383">
        <f>VLOOKUP($B74,'Data - CFR 202526'!$B$4:$CJ$127,86,0)</f>
        <v>0</v>
      </c>
      <c r="CJ74" s="383">
        <f>VLOOKUP($B74,'Data - CFR 202526'!$B$4:$CJ$127,87,0)</f>
        <v>6799.52</v>
      </c>
    </row>
    <row r="75" spans="1:88" ht="13.8">
      <c r="A75" s="252" t="s">
        <v>1525</v>
      </c>
      <c r="B75" s="288">
        <v>2028</v>
      </c>
      <c r="C75" s="288" t="s">
        <v>775</v>
      </c>
      <c r="D75" s="248" t="s">
        <v>704</v>
      </c>
      <c r="E75" s="384"/>
      <c r="F75" s="383">
        <v>2096943.88</v>
      </c>
      <c r="G75" s="383">
        <v>0</v>
      </c>
      <c r="H75" s="383">
        <v>135206.12</v>
      </c>
      <c r="I75" s="383">
        <v>0</v>
      </c>
      <c r="J75" s="383">
        <v>127420</v>
      </c>
      <c r="K75" s="383">
        <v>71290</v>
      </c>
      <c r="L75" s="383">
        <v>0</v>
      </c>
      <c r="M75" s="383">
        <v>1700</v>
      </c>
      <c r="N75" s="383">
        <v>80172</v>
      </c>
      <c r="O75" s="383">
        <v>39700</v>
      </c>
      <c r="P75" s="383">
        <v>0</v>
      </c>
      <c r="Q75" s="383">
        <v>0</v>
      </c>
      <c r="R75" s="383">
        <v>40220</v>
      </c>
      <c r="S75" s="383">
        <v>0</v>
      </c>
      <c r="T75" s="383">
        <v>0</v>
      </c>
      <c r="U75" s="383">
        <v>0</v>
      </c>
      <c r="V75" s="383">
        <v>0</v>
      </c>
      <c r="W75" s="383">
        <v>0</v>
      </c>
      <c r="X75" s="383">
        <v>0</v>
      </c>
      <c r="Y75" s="383">
        <f t="shared" si="13"/>
        <v>2592652</v>
      </c>
      <c r="Z75" s="383">
        <v>1287899.77</v>
      </c>
      <c r="AA75" s="383">
        <v>1300</v>
      </c>
      <c r="AB75" s="383">
        <v>477019.71</v>
      </c>
      <c r="AC75" s="383">
        <v>76633.240000000005</v>
      </c>
      <c r="AD75" s="383">
        <v>121527.72</v>
      </c>
      <c r="AE75" s="383">
        <v>0</v>
      </c>
      <c r="AF75" s="383">
        <v>103973.99</v>
      </c>
      <c r="AG75" s="383">
        <v>12653</v>
      </c>
      <c r="AH75" s="383">
        <v>24635</v>
      </c>
      <c r="AI75" s="383">
        <v>9438</v>
      </c>
      <c r="AJ75" s="383">
        <v>97</v>
      </c>
      <c r="AK75" s="383">
        <v>65000</v>
      </c>
      <c r="AL75" s="383">
        <v>1500</v>
      </c>
      <c r="AM75" s="383">
        <v>8880</v>
      </c>
      <c r="AN75" s="383">
        <v>8000</v>
      </c>
      <c r="AO75" s="383">
        <v>51350</v>
      </c>
      <c r="AP75" s="383">
        <v>0</v>
      </c>
      <c r="AQ75" s="383">
        <v>9570</v>
      </c>
      <c r="AR75" s="383">
        <v>100121.1</v>
      </c>
      <c r="AS75" s="383">
        <v>33940</v>
      </c>
      <c r="AT75" s="383">
        <v>0</v>
      </c>
      <c r="AU75" s="383">
        <v>27630</v>
      </c>
      <c r="AV75" s="383">
        <v>11000</v>
      </c>
      <c r="AW75" s="383">
        <v>9520.5400000000009</v>
      </c>
      <c r="AX75" s="383">
        <v>129930</v>
      </c>
      <c r="AY75" s="383">
        <v>18350</v>
      </c>
      <c r="AZ75" s="383">
        <v>20307.21</v>
      </c>
      <c r="BA75" s="383">
        <v>17619</v>
      </c>
      <c r="BB75" s="383">
        <v>0</v>
      </c>
      <c r="BC75" s="383">
        <v>0</v>
      </c>
      <c r="BD75" s="383">
        <v>0</v>
      </c>
      <c r="BE75" s="383">
        <f t="shared" si="14"/>
        <v>2627895.2799999998</v>
      </c>
      <c r="BF75" s="383">
        <f t="shared" si="15"/>
        <v>-35243.279999999795</v>
      </c>
      <c r="BG75" s="383">
        <v>73214.169999999547</v>
      </c>
      <c r="BH75" s="383">
        <f t="shared" si="16"/>
        <v>37970.889999999752</v>
      </c>
      <c r="BI75" s="383">
        <v>0</v>
      </c>
      <c r="BJ75" s="383">
        <v>0</v>
      </c>
      <c r="BK75" s="383">
        <f t="shared" si="17"/>
        <v>0</v>
      </c>
      <c r="BL75" s="383">
        <v>0</v>
      </c>
      <c r="BM75" s="383">
        <v>0</v>
      </c>
      <c r="BN75" s="383">
        <f t="shared" si="18"/>
        <v>0</v>
      </c>
      <c r="BO75" s="383">
        <f t="shared" si="19"/>
        <v>0</v>
      </c>
      <c r="BP75" s="383">
        <v>0</v>
      </c>
      <c r="BQ75" s="383">
        <f t="shared" si="20"/>
        <v>0</v>
      </c>
      <c r="BR75" s="383">
        <v>0</v>
      </c>
      <c r="BS75" s="383">
        <v>37970.889999999752</v>
      </c>
      <c r="BT75" s="383">
        <v>0</v>
      </c>
      <c r="BU75" s="383">
        <f t="shared" si="21"/>
        <v>37970.889999999752</v>
      </c>
      <c r="BV75" s="383">
        <v>8421.25</v>
      </c>
      <c r="BW75" s="383">
        <v>0</v>
      </c>
      <c r="BX75" s="383">
        <v>0</v>
      </c>
      <c r="BY75" s="383">
        <f t="shared" si="22"/>
        <v>8421.25</v>
      </c>
      <c r="BZ75" s="383">
        <v>0</v>
      </c>
      <c r="CA75" s="383">
        <v>6165.65</v>
      </c>
      <c r="CB75" s="383">
        <v>0</v>
      </c>
      <c r="CC75" s="383">
        <v>6000</v>
      </c>
      <c r="CD75" s="383">
        <f t="shared" si="23"/>
        <v>12165.65</v>
      </c>
      <c r="CE75" s="383">
        <f t="shared" si="24"/>
        <v>-3744.3999999999996</v>
      </c>
      <c r="CF75" s="383">
        <v>3744.3999999999987</v>
      </c>
      <c r="CG75" s="383">
        <f t="shared" si="25"/>
        <v>0</v>
      </c>
      <c r="CH75" s="383">
        <f>VLOOKUP($B75,'Data - CFR 202526'!$B$4:$CJ$127,85,0)</f>
        <v>0</v>
      </c>
      <c r="CI75" s="383">
        <f>VLOOKUP($B75,'Data - CFR 202526'!$B$4:$CJ$127,86,0)</f>
        <v>3744.4</v>
      </c>
      <c r="CJ75" s="383">
        <f>VLOOKUP($B75,'Data - CFR 202526'!$B$4:$CJ$127,87,0)</f>
        <v>3744.4</v>
      </c>
    </row>
    <row r="76" spans="1:88" ht="13.8">
      <c r="A76" s="252" t="s">
        <v>1525</v>
      </c>
      <c r="B76" s="288">
        <v>2029</v>
      </c>
      <c r="C76" s="288" t="s">
        <v>776</v>
      </c>
      <c r="D76" s="248" t="s">
        <v>704</v>
      </c>
      <c r="E76" s="384"/>
      <c r="F76" s="383">
        <v>1116391.9703781982</v>
      </c>
      <c r="G76" s="383">
        <v>0</v>
      </c>
      <c r="H76" s="383">
        <v>55579.15</v>
      </c>
      <c r="I76" s="383">
        <v>0</v>
      </c>
      <c r="J76" s="383">
        <v>49600</v>
      </c>
      <c r="K76" s="383">
        <v>56048</v>
      </c>
      <c r="L76" s="383">
        <v>0</v>
      </c>
      <c r="M76" s="383">
        <v>4300</v>
      </c>
      <c r="N76" s="383">
        <v>49700</v>
      </c>
      <c r="O76" s="383">
        <v>0</v>
      </c>
      <c r="P76" s="383">
        <v>0</v>
      </c>
      <c r="Q76" s="383">
        <v>0</v>
      </c>
      <c r="R76" s="383">
        <v>0</v>
      </c>
      <c r="S76" s="383">
        <v>2000</v>
      </c>
      <c r="T76" s="383">
        <v>0</v>
      </c>
      <c r="U76" s="383">
        <v>0</v>
      </c>
      <c r="V76" s="383">
        <v>0</v>
      </c>
      <c r="W76" s="383">
        <v>0</v>
      </c>
      <c r="X76" s="383">
        <v>0</v>
      </c>
      <c r="Y76" s="383">
        <f t="shared" si="13"/>
        <v>1333619.1203781981</v>
      </c>
      <c r="Z76" s="383">
        <v>638263.28506903013</v>
      </c>
      <c r="AA76" s="383">
        <v>13100</v>
      </c>
      <c r="AB76" s="383">
        <v>256624.49878195979</v>
      </c>
      <c r="AC76" s="383">
        <v>13006.436872392413</v>
      </c>
      <c r="AD76" s="383">
        <v>58446.477315389508</v>
      </c>
      <c r="AE76" s="383">
        <v>0</v>
      </c>
      <c r="AF76" s="383">
        <v>71787.56158265876</v>
      </c>
      <c r="AG76" s="383">
        <v>4470</v>
      </c>
      <c r="AH76" s="383">
        <v>3000</v>
      </c>
      <c r="AI76" s="383">
        <v>5044</v>
      </c>
      <c r="AJ76" s="383">
        <v>231</v>
      </c>
      <c r="AK76" s="383">
        <v>20000</v>
      </c>
      <c r="AL76" s="383">
        <v>3500</v>
      </c>
      <c r="AM76" s="383">
        <v>24350</v>
      </c>
      <c r="AN76" s="383">
        <v>7500</v>
      </c>
      <c r="AO76" s="383">
        <v>29500</v>
      </c>
      <c r="AP76" s="383">
        <v>35242</v>
      </c>
      <c r="AQ76" s="383">
        <v>7555</v>
      </c>
      <c r="AR76" s="383">
        <v>30329.66</v>
      </c>
      <c r="AS76" s="383">
        <v>28600</v>
      </c>
      <c r="AT76" s="383">
        <v>0</v>
      </c>
      <c r="AU76" s="383">
        <v>8705</v>
      </c>
      <c r="AV76" s="383">
        <v>5574</v>
      </c>
      <c r="AW76" s="383">
        <v>5000</v>
      </c>
      <c r="AX76" s="383">
        <v>48950</v>
      </c>
      <c r="AY76" s="383">
        <v>0</v>
      </c>
      <c r="AZ76" s="383">
        <v>14000</v>
      </c>
      <c r="BA76" s="383">
        <v>14896</v>
      </c>
      <c r="BB76" s="383">
        <v>0</v>
      </c>
      <c r="BC76" s="383">
        <v>0</v>
      </c>
      <c r="BD76" s="383">
        <v>0</v>
      </c>
      <c r="BE76" s="383">
        <f t="shared" si="14"/>
        <v>1347674.9196214306</v>
      </c>
      <c r="BF76" s="383">
        <f t="shared" si="15"/>
        <v>-14055.799243232468</v>
      </c>
      <c r="BG76" s="383">
        <v>101925.34999999974</v>
      </c>
      <c r="BH76" s="383">
        <f t="shared" si="16"/>
        <v>87869.550756767276</v>
      </c>
      <c r="BI76" s="383">
        <v>150000</v>
      </c>
      <c r="BJ76" s="383">
        <v>22000</v>
      </c>
      <c r="BK76" s="383">
        <f t="shared" si="17"/>
        <v>172000</v>
      </c>
      <c r="BL76" s="383">
        <v>152321.88553325614</v>
      </c>
      <c r="BM76" s="383">
        <v>32531</v>
      </c>
      <c r="BN76" s="383">
        <f t="shared" si="18"/>
        <v>184852.88553325614</v>
      </c>
      <c r="BO76" s="383">
        <f t="shared" si="19"/>
        <v>-12852.885533256136</v>
      </c>
      <c r="BP76" s="383">
        <v>90609.79</v>
      </c>
      <c r="BQ76" s="383">
        <f t="shared" si="20"/>
        <v>77756.904466743857</v>
      </c>
      <c r="BR76" s="383">
        <v>0</v>
      </c>
      <c r="BS76" s="383">
        <v>87869.550756767276</v>
      </c>
      <c r="BT76" s="383">
        <v>77756.904466743857</v>
      </c>
      <c r="BU76" s="383">
        <f t="shared" si="21"/>
        <v>165626.45522351115</v>
      </c>
      <c r="BV76" s="383">
        <v>6160</v>
      </c>
      <c r="BW76" s="383">
        <v>0</v>
      </c>
      <c r="BX76" s="383">
        <v>0</v>
      </c>
      <c r="BY76" s="383">
        <f t="shared" si="22"/>
        <v>6160</v>
      </c>
      <c r="BZ76" s="383">
        <v>0</v>
      </c>
      <c r="CA76" s="383">
        <v>7420.3</v>
      </c>
      <c r="CB76" s="383">
        <v>0</v>
      </c>
      <c r="CC76" s="383">
        <v>0</v>
      </c>
      <c r="CD76" s="383">
        <f t="shared" si="23"/>
        <v>7420.3</v>
      </c>
      <c r="CE76" s="383">
        <f t="shared" si="24"/>
        <v>-1260.3000000000002</v>
      </c>
      <c r="CF76" s="383">
        <v>1260.3000000000002</v>
      </c>
      <c r="CG76" s="383">
        <f t="shared" si="25"/>
        <v>0</v>
      </c>
      <c r="CH76" s="383">
        <f>VLOOKUP($B76,'Data - CFR 202526'!$B$4:$CJ$127,85,0)</f>
        <v>1260.3000000000002</v>
      </c>
      <c r="CI76" s="383">
        <f>VLOOKUP($B76,'Data - CFR 202526'!$B$4:$CJ$127,86,0)</f>
        <v>0</v>
      </c>
      <c r="CJ76" s="383">
        <f>VLOOKUP($B76,'Data - CFR 202526'!$B$4:$CJ$127,87,0)</f>
        <v>1260.3000000000002</v>
      </c>
    </row>
    <row r="77" spans="1:88" ht="13.8">
      <c r="A77" s="252" t="s">
        <v>1525</v>
      </c>
      <c r="B77" s="288">
        <v>2059</v>
      </c>
      <c r="C77" s="288" t="s">
        <v>777</v>
      </c>
      <c r="D77" s="248" t="s">
        <v>704</v>
      </c>
      <c r="E77" s="384"/>
      <c r="F77" s="383">
        <v>1047588.8506761872</v>
      </c>
      <c r="G77" s="383">
        <v>0</v>
      </c>
      <c r="H77" s="383">
        <v>10000</v>
      </c>
      <c r="I77" s="383">
        <v>0</v>
      </c>
      <c r="J77" s="383">
        <v>27900</v>
      </c>
      <c r="K77" s="383">
        <v>45400</v>
      </c>
      <c r="L77" s="383">
        <v>0</v>
      </c>
      <c r="M77" s="383">
        <v>10000</v>
      </c>
      <c r="N77" s="383">
        <v>67900</v>
      </c>
      <c r="O77" s="383">
        <v>21000</v>
      </c>
      <c r="P77" s="383">
        <v>0</v>
      </c>
      <c r="Q77" s="383">
        <v>0</v>
      </c>
      <c r="R77" s="383">
        <v>20800</v>
      </c>
      <c r="S77" s="383">
        <v>15660</v>
      </c>
      <c r="T77" s="383">
        <v>0</v>
      </c>
      <c r="U77" s="383">
        <v>0</v>
      </c>
      <c r="V77" s="383">
        <v>0</v>
      </c>
      <c r="W77" s="383">
        <v>0</v>
      </c>
      <c r="X77" s="383">
        <v>0</v>
      </c>
      <c r="Y77" s="383">
        <f t="shared" si="13"/>
        <v>1266248.8506761873</v>
      </c>
      <c r="Z77" s="383">
        <v>622279.70604731189</v>
      </c>
      <c r="AA77" s="383">
        <v>0</v>
      </c>
      <c r="AB77" s="383">
        <v>186379.16280689387</v>
      </c>
      <c r="AC77" s="383">
        <v>56914.696908335041</v>
      </c>
      <c r="AD77" s="383">
        <v>62594.21976616024</v>
      </c>
      <c r="AE77" s="383">
        <v>0</v>
      </c>
      <c r="AF77" s="383">
        <v>45441.717123581526</v>
      </c>
      <c r="AG77" s="383">
        <v>12100</v>
      </c>
      <c r="AH77" s="383">
        <v>6600</v>
      </c>
      <c r="AI77" s="383">
        <v>4732</v>
      </c>
      <c r="AJ77" s="383">
        <v>100</v>
      </c>
      <c r="AK77" s="383">
        <v>15500</v>
      </c>
      <c r="AL77" s="383">
        <v>3060</v>
      </c>
      <c r="AM77" s="383">
        <v>2100</v>
      </c>
      <c r="AN77" s="383">
        <v>3000</v>
      </c>
      <c r="AO77" s="383">
        <v>27000</v>
      </c>
      <c r="AP77" s="383">
        <v>0</v>
      </c>
      <c r="AQ77" s="383">
        <v>2524.08</v>
      </c>
      <c r="AR77" s="383">
        <v>41253</v>
      </c>
      <c r="AS77" s="383">
        <v>20929</v>
      </c>
      <c r="AT77" s="383">
        <v>0</v>
      </c>
      <c r="AU77" s="383">
        <v>16880</v>
      </c>
      <c r="AV77" s="383">
        <v>5856</v>
      </c>
      <c r="AW77" s="383">
        <v>5500</v>
      </c>
      <c r="AX77" s="383">
        <v>67000</v>
      </c>
      <c r="AY77" s="383">
        <v>21845</v>
      </c>
      <c r="AZ77" s="383">
        <v>0</v>
      </c>
      <c r="BA77" s="383">
        <v>20616</v>
      </c>
      <c r="BB77" s="383">
        <v>0</v>
      </c>
      <c r="BC77" s="383">
        <v>0</v>
      </c>
      <c r="BD77" s="383">
        <v>0</v>
      </c>
      <c r="BE77" s="383">
        <f t="shared" si="14"/>
        <v>1250204.5826522827</v>
      </c>
      <c r="BF77" s="383">
        <f t="shared" si="15"/>
        <v>16044.268023904646</v>
      </c>
      <c r="BG77" s="383">
        <v>-154644.0099999996</v>
      </c>
      <c r="BH77" s="383">
        <f t="shared" si="16"/>
        <v>-138599.74197609496</v>
      </c>
      <c r="BI77" s="383">
        <v>0</v>
      </c>
      <c r="BJ77" s="383">
        <v>0</v>
      </c>
      <c r="BK77" s="383">
        <f t="shared" si="17"/>
        <v>0</v>
      </c>
      <c r="BL77" s="383">
        <v>0</v>
      </c>
      <c r="BM77" s="383">
        <v>0</v>
      </c>
      <c r="BN77" s="383">
        <f t="shared" si="18"/>
        <v>0</v>
      </c>
      <c r="BO77" s="383">
        <f t="shared" si="19"/>
        <v>0</v>
      </c>
      <c r="BP77" s="383">
        <v>0</v>
      </c>
      <c r="BQ77" s="383">
        <f t="shared" si="20"/>
        <v>0</v>
      </c>
      <c r="BR77" s="383">
        <v>0</v>
      </c>
      <c r="BS77" s="383">
        <v>-138599.74197609496</v>
      </c>
      <c r="BT77" s="383">
        <v>0</v>
      </c>
      <c r="BU77" s="383">
        <f t="shared" si="21"/>
        <v>-138599.74197609496</v>
      </c>
      <c r="BV77" s="383">
        <v>6138</v>
      </c>
      <c r="BW77" s="383">
        <v>0</v>
      </c>
      <c r="BX77" s="383">
        <v>0</v>
      </c>
      <c r="BY77" s="383">
        <f t="shared" si="22"/>
        <v>6138</v>
      </c>
      <c r="BZ77" s="383">
        <v>0</v>
      </c>
      <c r="CA77" s="383">
        <v>9000</v>
      </c>
      <c r="CB77" s="383">
        <v>0</v>
      </c>
      <c r="CC77" s="383">
        <v>0</v>
      </c>
      <c r="CD77" s="383">
        <f t="shared" si="23"/>
        <v>9000</v>
      </c>
      <c r="CE77" s="383">
        <f t="shared" si="24"/>
        <v>-2862</v>
      </c>
      <c r="CF77" s="383">
        <v>4245.1000000000004</v>
      </c>
      <c r="CG77" s="383">
        <f t="shared" si="25"/>
        <v>1383.1000000000004</v>
      </c>
      <c r="CH77" s="383">
        <f>VLOOKUP($B77,'Data - CFR 202526'!$B$4:$CJ$127,85,0)</f>
        <v>4015.49</v>
      </c>
      <c r="CI77" s="383">
        <f>VLOOKUP($B77,'Data - CFR 202526'!$B$4:$CJ$127,86,0)</f>
        <v>229.61</v>
      </c>
      <c r="CJ77" s="383">
        <f>VLOOKUP($B77,'Data - CFR 202526'!$B$4:$CJ$127,87,0)</f>
        <v>4245.0999999999995</v>
      </c>
    </row>
    <row r="78" spans="1:88" ht="13.8">
      <c r="A78" s="252" t="s">
        <v>1525</v>
      </c>
      <c r="B78" s="288">
        <v>3386</v>
      </c>
      <c r="C78" s="288" t="s">
        <v>778</v>
      </c>
      <c r="D78" s="248" t="s">
        <v>704</v>
      </c>
      <c r="E78" s="384"/>
      <c r="F78" s="383">
        <v>2231358.9499962875</v>
      </c>
      <c r="G78" s="383">
        <v>0</v>
      </c>
      <c r="H78" s="383">
        <v>156775</v>
      </c>
      <c r="I78" s="383">
        <v>0</v>
      </c>
      <c r="J78" s="383">
        <v>105210</v>
      </c>
      <c r="K78" s="383">
        <v>100271</v>
      </c>
      <c r="L78" s="383">
        <v>0</v>
      </c>
      <c r="M78" s="383">
        <v>24000</v>
      </c>
      <c r="N78" s="383">
        <v>8700</v>
      </c>
      <c r="O78" s="383">
        <v>55200</v>
      </c>
      <c r="P78" s="383">
        <v>0</v>
      </c>
      <c r="Q78" s="383">
        <v>0</v>
      </c>
      <c r="R78" s="383">
        <v>12674.13</v>
      </c>
      <c r="S78" s="383">
        <v>1015.27</v>
      </c>
      <c r="T78" s="383">
        <v>0</v>
      </c>
      <c r="U78" s="383">
        <v>0</v>
      </c>
      <c r="V78" s="383">
        <v>0</v>
      </c>
      <c r="W78" s="383">
        <v>0</v>
      </c>
      <c r="X78" s="383">
        <v>0</v>
      </c>
      <c r="Y78" s="383">
        <f t="shared" si="13"/>
        <v>2695204.3499962874</v>
      </c>
      <c r="Z78" s="383">
        <v>1294604.9678036128</v>
      </c>
      <c r="AA78" s="383">
        <v>3500</v>
      </c>
      <c r="AB78" s="383">
        <v>599042.26975361677</v>
      </c>
      <c r="AC78" s="383">
        <v>33968.96499</v>
      </c>
      <c r="AD78" s="383">
        <v>149711.9180204946</v>
      </c>
      <c r="AE78" s="383">
        <v>0</v>
      </c>
      <c r="AF78" s="383">
        <v>35401.380703937102</v>
      </c>
      <c r="AG78" s="383">
        <v>10880</v>
      </c>
      <c r="AH78" s="383">
        <v>10200</v>
      </c>
      <c r="AI78" s="383">
        <v>4102</v>
      </c>
      <c r="AJ78" s="383">
        <v>0</v>
      </c>
      <c r="AK78" s="383">
        <v>15640</v>
      </c>
      <c r="AL78" s="383">
        <v>4750</v>
      </c>
      <c r="AM78" s="383">
        <v>42536</v>
      </c>
      <c r="AN78" s="383">
        <v>1700</v>
      </c>
      <c r="AO78" s="383">
        <v>38000</v>
      </c>
      <c r="AP78" s="383">
        <v>75460</v>
      </c>
      <c r="AQ78" s="383">
        <v>10919.439999999999</v>
      </c>
      <c r="AR78" s="383">
        <v>44964</v>
      </c>
      <c r="AS78" s="383">
        <v>49050</v>
      </c>
      <c r="AT78" s="383">
        <v>0</v>
      </c>
      <c r="AU78" s="383">
        <v>10373</v>
      </c>
      <c r="AV78" s="383">
        <v>12668.43</v>
      </c>
      <c r="AW78" s="383">
        <v>500</v>
      </c>
      <c r="AX78" s="383">
        <v>167244</v>
      </c>
      <c r="AY78" s="383">
        <v>11700</v>
      </c>
      <c r="AZ78" s="383">
        <v>46955</v>
      </c>
      <c r="BA78" s="383">
        <v>23484</v>
      </c>
      <c r="BB78" s="383">
        <v>0</v>
      </c>
      <c r="BC78" s="383">
        <v>0</v>
      </c>
      <c r="BD78" s="383">
        <v>14040.18</v>
      </c>
      <c r="BE78" s="383">
        <f t="shared" si="14"/>
        <v>2711395.5512716617</v>
      </c>
      <c r="BF78" s="383">
        <f t="shared" si="15"/>
        <v>-16191.201275374275</v>
      </c>
      <c r="BG78" s="383">
        <v>418482.84999999881</v>
      </c>
      <c r="BH78" s="383">
        <f t="shared" si="16"/>
        <v>402291.64872462454</v>
      </c>
      <c r="BI78" s="383">
        <v>0</v>
      </c>
      <c r="BJ78" s="383">
        <v>0</v>
      </c>
      <c r="BK78" s="383">
        <f t="shared" si="17"/>
        <v>0</v>
      </c>
      <c r="BL78" s="383">
        <v>0</v>
      </c>
      <c r="BM78" s="383">
        <v>0</v>
      </c>
      <c r="BN78" s="383">
        <f t="shared" si="18"/>
        <v>0</v>
      </c>
      <c r="BO78" s="383">
        <f t="shared" si="19"/>
        <v>0</v>
      </c>
      <c r="BP78" s="383">
        <v>0</v>
      </c>
      <c r="BQ78" s="383">
        <f t="shared" si="20"/>
        <v>0</v>
      </c>
      <c r="BR78" s="383">
        <v>0</v>
      </c>
      <c r="BS78" s="383">
        <v>402291.64872462454</v>
      </c>
      <c r="BT78" s="383">
        <v>0</v>
      </c>
      <c r="BU78" s="383">
        <f t="shared" si="21"/>
        <v>402291.64872462454</v>
      </c>
      <c r="BV78" s="383">
        <v>8635</v>
      </c>
      <c r="BW78" s="383">
        <v>44956</v>
      </c>
      <c r="BX78" s="383">
        <v>4340</v>
      </c>
      <c r="BY78" s="383">
        <f t="shared" si="22"/>
        <v>57931</v>
      </c>
      <c r="BZ78" s="383">
        <v>0</v>
      </c>
      <c r="CA78" s="383">
        <v>57931</v>
      </c>
      <c r="CB78" s="383">
        <v>0</v>
      </c>
      <c r="CC78" s="383">
        <v>0</v>
      </c>
      <c r="CD78" s="383">
        <f t="shared" si="23"/>
        <v>57931</v>
      </c>
      <c r="CE78" s="383">
        <f t="shared" si="24"/>
        <v>0</v>
      </c>
      <c r="CF78" s="383">
        <v>0</v>
      </c>
      <c r="CG78" s="383">
        <f t="shared" si="25"/>
        <v>0</v>
      </c>
      <c r="CH78" s="383">
        <f>VLOOKUP($B78,'Data - CFR 202526'!$B$4:$CJ$127,85,0)</f>
        <v>0</v>
      </c>
      <c r="CI78" s="383">
        <f>VLOOKUP($B78,'Data - CFR 202526'!$B$4:$CJ$127,86,0)</f>
        <v>0</v>
      </c>
      <c r="CJ78" s="383">
        <f>VLOOKUP($B78,'Data - CFR 202526'!$B$4:$CJ$127,87,0)</f>
        <v>0</v>
      </c>
    </row>
    <row r="79" spans="1:88" ht="13.8">
      <c r="A79" s="252" t="s">
        <v>1525</v>
      </c>
      <c r="B79" s="288">
        <v>2449</v>
      </c>
      <c r="C79" s="288" t="s">
        <v>779</v>
      </c>
      <c r="D79" s="248" t="s">
        <v>704</v>
      </c>
      <c r="E79" s="384"/>
      <c r="F79" s="383">
        <v>2080937.520964975</v>
      </c>
      <c r="G79" s="383">
        <v>0</v>
      </c>
      <c r="H79" s="383">
        <v>88102</v>
      </c>
      <c r="I79" s="383">
        <v>0</v>
      </c>
      <c r="J79" s="383">
        <v>92540</v>
      </c>
      <c r="K79" s="383">
        <v>72982</v>
      </c>
      <c r="L79" s="383">
        <v>0</v>
      </c>
      <c r="M79" s="383">
        <v>0</v>
      </c>
      <c r="N79" s="383">
        <v>41061.35</v>
      </c>
      <c r="O79" s="383">
        <v>0</v>
      </c>
      <c r="P79" s="383">
        <v>0</v>
      </c>
      <c r="Q79" s="383">
        <v>0</v>
      </c>
      <c r="R79" s="383">
        <v>0</v>
      </c>
      <c r="S79" s="383">
        <v>0</v>
      </c>
      <c r="T79" s="383">
        <v>0</v>
      </c>
      <c r="U79" s="383">
        <v>0</v>
      </c>
      <c r="V79" s="383">
        <v>0</v>
      </c>
      <c r="W79" s="383">
        <v>0</v>
      </c>
      <c r="X79" s="383">
        <v>0</v>
      </c>
      <c r="Y79" s="383">
        <f t="shared" si="13"/>
        <v>2375622.8709649751</v>
      </c>
      <c r="Z79" s="383">
        <v>1354427.977090796</v>
      </c>
      <c r="AA79" s="383">
        <v>10000</v>
      </c>
      <c r="AB79" s="383">
        <v>479645.2706304639</v>
      </c>
      <c r="AC79" s="383">
        <v>45556.824550341269</v>
      </c>
      <c r="AD79" s="383">
        <v>123657.56866098201</v>
      </c>
      <c r="AE79" s="383">
        <v>0</v>
      </c>
      <c r="AF79" s="383">
        <v>57601.124943041308</v>
      </c>
      <c r="AG79" s="383">
        <v>9209</v>
      </c>
      <c r="AH79" s="383">
        <v>8153</v>
      </c>
      <c r="AI79" s="383">
        <v>10075</v>
      </c>
      <c r="AJ79" s="383">
        <v>0</v>
      </c>
      <c r="AK79" s="383">
        <v>55000</v>
      </c>
      <c r="AL79" s="383">
        <v>4980</v>
      </c>
      <c r="AM79" s="383">
        <v>4500</v>
      </c>
      <c r="AN79" s="383">
        <v>6500</v>
      </c>
      <c r="AO79" s="383">
        <v>52800</v>
      </c>
      <c r="AP79" s="383">
        <v>65170</v>
      </c>
      <c r="AQ79" s="383">
        <v>7000</v>
      </c>
      <c r="AR79" s="383">
        <v>108760</v>
      </c>
      <c r="AS79" s="383">
        <v>71106</v>
      </c>
      <c r="AT79" s="383">
        <v>0</v>
      </c>
      <c r="AU79" s="383">
        <v>11300</v>
      </c>
      <c r="AV79" s="383">
        <v>11874</v>
      </c>
      <c r="AW79" s="383">
        <v>0</v>
      </c>
      <c r="AX79" s="383">
        <v>81174</v>
      </c>
      <c r="AY79" s="383">
        <v>49360</v>
      </c>
      <c r="AZ79" s="383">
        <v>12688</v>
      </c>
      <c r="BA79" s="383">
        <v>26907</v>
      </c>
      <c r="BB79" s="383">
        <v>0</v>
      </c>
      <c r="BC79" s="383">
        <v>0</v>
      </c>
      <c r="BD79" s="383">
        <v>23000</v>
      </c>
      <c r="BE79" s="383">
        <f t="shared" si="14"/>
        <v>2690444.7658756245</v>
      </c>
      <c r="BF79" s="383">
        <f t="shared" si="15"/>
        <v>-314821.8949106494</v>
      </c>
      <c r="BG79" s="383">
        <v>443805.40000000026</v>
      </c>
      <c r="BH79" s="383">
        <f t="shared" si="16"/>
        <v>128983.50508935086</v>
      </c>
      <c r="BI79" s="383">
        <v>0</v>
      </c>
      <c r="BJ79" s="383">
        <v>331985</v>
      </c>
      <c r="BK79" s="383">
        <f t="shared" si="17"/>
        <v>331985</v>
      </c>
      <c r="BL79" s="383">
        <v>284802.15239009849</v>
      </c>
      <c r="BM79" s="383">
        <v>83945</v>
      </c>
      <c r="BN79" s="383">
        <f t="shared" si="18"/>
        <v>368747.15239009849</v>
      </c>
      <c r="BO79" s="383">
        <f t="shared" si="19"/>
        <v>-36762.15239009849</v>
      </c>
      <c r="BP79" s="383">
        <v>129235.99000000005</v>
      </c>
      <c r="BQ79" s="383">
        <f t="shared" si="20"/>
        <v>92473.837609901559</v>
      </c>
      <c r="BR79" s="383">
        <v>0</v>
      </c>
      <c r="BS79" s="383">
        <v>128983.50508935086</v>
      </c>
      <c r="BT79" s="383">
        <v>92473.837609901559</v>
      </c>
      <c r="BU79" s="383">
        <f t="shared" si="21"/>
        <v>221457.34269925242</v>
      </c>
      <c r="BV79" s="383">
        <v>8579</v>
      </c>
      <c r="BW79" s="383">
        <v>0</v>
      </c>
      <c r="BX79" s="383">
        <v>0</v>
      </c>
      <c r="BY79" s="383">
        <f t="shared" si="22"/>
        <v>8579</v>
      </c>
      <c r="BZ79" s="383">
        <v>0</v>
      </c>
      <c r="CA79" s="383">
        <v>10267.5</v>
      </c>
      <c r="CB79" s="383">
        <v>0</v>
      </c>
      <c r="CC79" s="383">
        <v>8211.9500000000007</v>
      </c>
      <c r="CD79" s="383">
        <f t="shared" si="23"/>
        <v>18479.45</v>
      </c>
      <c r="CE79" s="383">
        <f t="shared" si="24"/>
        <v>-9900.4500000000007</v>
      </c>
      <c r="CF79" s="383">
        <v>9900.4499999999989</v>
      </c>
      <c r="CG79" s="383">
        <f t="shared" si="25"/>
        <v>0</v>
      </c>
      <c r="CH79" s="383">
        <f>VLOOKUP($B79,'Data - CFR 202526'!$B$4:$CJ$127,85,0)</f>
        <v>9900.4499999999989</v>
      </c>
      <c r="CI79" s="383">
        <f>VLOOKUP($B79,'Data - CFR 202526'!$B$4:$CJ$127,86,0)</f>
        <v>0</v>
      </c>
      <c r="CJ79" s="383">
        <f>VLOOKUP($B79,'Data - CFR 202526'!$B$4:$CJ$127,87,0)</f>
        <v>9900.4499999999989</v>
      </c>
    </row>
    <row r="80" spans="1:88" ht="13.8">
      <c r="A80" s="252" t="s">
        <v>1525</v>
      </c>
      <c r="B80" s="288">
        <v>2107</v>
      </c>
      <c r="C80" s="288" t="s">
        <v>780</v>
      </c>
      <c r="D80" s="248" t="s">
        <v>704</v>
      </c>
      <c r="E80" s="384"/>
      <c r="F80" s="383">
        <v>2048246.3386892735</v>
      </c>
      <c r="G80" s="383">
        <v>0</v>
      </c>
      <c r="H80" s="383">
        <v>53325</v>
      </c>
      <c r="I80" s="383">
        <v>0</v>
      </c>
      <c r="J80" s="383">
        <v>108770</v>
      </c>
      <c r="K80" s="383">
        <v>77346</v>
      </c>
      <c r="L80" s="383">
        <v>0</v>
      </c>
      <c r="M80" s="383">
        <v>18800</v>
      </c>
      <c r="N80" s="383">
        <v>280000</v>
      </c>
      <c r="O80" s="383">
        <v>0</v>
      </c>
      <c r="P80" s="383">
        <v>0</v>
      </c>
      <c r="Q80" s="383">
        <v>0</v>
      </c>
      <c r="R80" s="383">
        <v>0</v>
      </c>
      <c r="S80" s="383">
        <v>0</v>
      </c>
      <c r="T80" s="383">
        <v>0</v>
      </c>
      <c r="U80" s="383">
        <v>0</v>
      </c>
      <c r="V80" s="383">
        <v>0</v>
      </c>
      <c r="W80" s="383">
        <v>0</v>
      </c>
      <c r="X80" s="383">
        <v>0</v>
      </c>
      <c r="Y80" s="383">
        <f t="shared" si="13"/>
        <v>2586487.3386892732</v>
      </c>
      <c r="Z80" s="383">
        <v>1330614.2511519999</v>
      </c>
      <c r="AA80" s="383">
        <v>0</v>
      </c>
      <c r="AB80" s="383">
        <v>529890.02432513412</v>
      </c>
      <c r="AC80" s="383">
        <v>14714.983955675676</v>
      </c>
      <c r="AD80" s="383">
        <v>103676.93173243015</v>
      </c>
      <c r="AE80" s="383">
        <v>0</v>
      </c>
      <c r="AF80" s="383">
        <v>175605.64855671179</v>
      </c>
      <c r="AG80" s="383">
        <v>10580</v>
      </c>
      <c r="AH80" s="383">
        <v>5300</v>
      </c>
      <c r="AI80" s="383">
        <v>8263</v>
      </c>
      <c r="AJ80" s="383">
        <v>0</v>
      </c>
      <c r="AK80" s="383">
        <v>28000</v>
      </c>
      <c r="AL80" s="383">
        <v>500</v>
      </c>
      <c r="AM80" s="383">
        <v>61100</v>
      </c>
      <c r="AN80" s="383">
        <v>12000</v>
      </c>
      <c r="AO80" s="383">
        <v>58500</v>
      </c>
      <c r="AP80" s="383">
        <v>50227</v>
      </c>
      <c r="AQ80" s="383">
        <v>17785</v>
      </c>
      <c r="AR80" s="383">
        <v>36057</v>
      </c>
      <c r="AS80" s="383">
        <v>49908</v>
      </c>
      <c r="AT80" s="383">
        <v>0</v>
      </c>
      <c r="AU80" s="383">
        <v>12650</v>
      </c>
      <c r="AV80" s="383">
        <v>10533</v>
      </c>
      <c r="AW80" s="383">
        <v>4500</v>
      </c>
      <c r="AX80" s="383">
        <v>98070</v>
      </c>
      <c r="AY80" s="383">
        <v>20000</v>
      </c>
      <c r="AZ80" s="383">
        <v>13050</v>
      </c>
      <c r="BA80" s="383">
        <v>59687</v>
      </c>
      <c r="BB80" s="383">
        <v>0</v>
      </c>
      <c r="BC80" s="383">
        <v>0</v>
      </c>
      <c r="BD80" s="383">
        <v>0</v>
      </c>
      <c r="BE80" s="383">
        <f t="shared" si="14"/>
        <v>2711211.8397219516</v>
      </c>
      <c r="BF80" s="383">
        <f t="shared" si="15"/>
        <v>-124724.50103267841</v>
      </c>
      <c r="BG80" s="383">
        <v>335691.78999999969</v>
      </c>
      <c r="BH80" s="383">
        <f t="shared" si="16"/>
        <v>210967.28896732128</v>
      </c>
      <c r="BI80" s="383">
        <v>0</v>
      </c>
      <c r="BJ80" s="383">
        <v>0</v>
      </c>
      <c r="BK80" s="383">
        <f t="shared" si="17"/>
        <v>0</v>
      </c>
      <c r="BL80" s="383">
        <v>0</v>
      </c>
      <c r="BM80" s="383">
        <v>0</v>
      </c>
      <c r="BN80" s="383">
        <f t="shared" si="18"/>
        <v>0</v>
      </c>
      <c r="BO80" s="383">
        <f t="shared" si="19"/>
        <v>0</v>
      </c>
      <c r="BP80" s="383">
        <v>0</v>
      </c>
      <c r="BQ80" s="383">
        <f t="shared" si="20"/>
        <v>0</v>
      </c>
      <c r="BR80" s="383">
        <v>0</v>
      </c>
      <c r="BS80" s="383">
        <v>210967.28896732128</v>
      </c>
      <c r="BT80" s="383">
        <v>0</v>
      </c>
      <c r="BU80" s="383">
        <f t="shared" si="21"/>
        <v>210967.28896732128</v>
      </c>
      <c r="BV80" s="383">
        <v>8286</v>
      </c>
      <c r="BW80" s="383">
        <v>0</v>
      </c>
      <c r="BX80" s="383">
        <v>0</v>
      </c>
      <c r="BY80" s="383">
        <f t="shared" si="22"/>
        <v>8286</v>
      </c>
      <c r="BZ80" s="383">
        <v>0</v>
      </c>
      <c r="CA80" s="383">
        <v>30182.62</v>
      </c>
      <c r="CB80" s="383">
        <v>0</v>
      </c>
      <c r="CC80" s="383">
        <v>0</v>
      </c>
      <c r="CD80" s="383">
        <f t="shared" si="23"/>
        <v>30182.62</v>
      </c>
      <c r="CE80" s="383">
        <f t="shared" si="24"/>
        <v>-21896.62</v>
      </c>
      <c r="CF80" s="383">
        <v>21896.619999999995</v>
      </c>
      <c r="CG80" s="383">
        <f t="shared" si="25"/>
        <v>0</v>
      </c>
      <c r="CH80" s="383">
        <f>VLOOKUP($B80,'Data - CFR 202526'!$B$4:$CJ$127,85,0)</f>
        <v>21151.609999999997</v>
      </c>
      <c r="CI80" s="383">
        <f>VLOOKUP($B80,'Data - CFR 202526'!$B$4:$CJ$127,86,0)</f>
        <v>745.00999999999704</v>
      </c>
      <c r="CJ80" s="383">
        <f>VLOOKUP($B80,'Data - CFR 202526'!$B$4:$CJ$127,87,0)</f>
        <v>21896.619999999995</v>
      </c>
    </row>
    <row r="81" spans="1:88" ht="13.8">
      <c r="A81" s="252" t="s">
        <v>1525</v>
      </c>
      <c r="B81" s="288">
        <v>2109</v>
      </c>
      <c r="C81" s="288" t="s">
        <v>781</v>
      </c>
      <c r="D81" s="248" t="s">
        <v>704</v>
      </c>
      <c r="E81" s="384"/>
      <c r="F81" s="383">
        <v>1211003.5908197649</v>
      </c>
      <c r="G81" s="383">
        <v>0</v>
      </c>
      <c r="H81" s="383">
        <v>10000</v>
      </c>
      <c r="I81" s="383">
        <v>0</v>
      </c>
      <c r="J81" s="383">
        <v>24800</v>
      </c>
      <c r="K81" s="383">
        <v>56975</v>
      </c>
      <c r="L81" s="383">
        <v>0</v>
      </c>
      <c r="M81" s="383">
        <v>36000</v>
      </c>
      <c r="N81" s="383">
        <v>2600</v>
      </c>
      <c r="O81" s="383">
        <v>34000</v>
      </c>
      <c r="P81" s="383">
        <v>0</v>
      </c>
      <c r="Q81" s="383">
        <v>0</v>
      </c>
      <c r="R81" s="383">
        <v>0</v>
      </c>
      <c r="S81" s="383">
        <v>0</v>
      </c>
      <c r="T81" s="383">
        <v>0</v>
      </c>
      <c r="U81" s="383">
        <v>0</v>
      </c>
      <c r="V81" s="383">
        <v>0</v>
      </c>
      <c r="W81" s="383">
        <v>0</v>
      </c>
      <c r="X81" s="383">
        <v>0</v>
      </c>
      <c r="Y81" s="383">
        <f t="shared" si="13"/>
        <v>1375378.5908197649</v>
      </c>
      <c r="Z81" s="383">
        <v>676417.63002461253</v>
      </c>
      <c r="AA81" s="383">
        <v>6000</v>
      </c>
      <c r="AB81" s="383">
        <v>199383.9356586363</v>
      </c>
      <c r="AC81" s="383">
        <v>59218.09110017879</v>
      </c>
      <c r="AD81" s="383">
        <v>60874.458887517671</v>
      </c>
      <c r="AE81" s="383">
        <v>48144.286237128887</v>
      </c>
      <c r="AF81" s="383">
        <v>17454.687775478171</v>
      </c>
      <c r="AG81" s="383">
        <v>4350</v>
      </c>
      <c r="AH81" s="383">
        <v>3500</v>
      </c>
      <c r="AI81" s="383">
        <v>5700</v>
      </c>
      <c r="AJ81" s="383">
        <v>375</v>
      </c>
      <c r="AK81" s="383">
        <v>12000</v>
      </c>
      <c r="AL81" s="383">
        <v>3500</v>
      </c>
      <c r="AM81" s="383">
        <v>3500</v>
      </c>
      <c r="AN81" s="383">
        <v>5500</v>
      </c>
      <c r="AO81" s="383">
        <v>32404</v>
      </c>
      <c r="AP81" s="383">
        <v>34132.5</v>
      </c>
      <c r="AQ81" s="383">
        <v>6200</v>
      </c>
      <c r="AR81" s="383">
        <v>33160</v>
      </c>
      <c r="AS81" s="383">
        <v>29450</v>
      </c>
      <c r="AT81" s="383">
        <v>0</v>
      </c>
      <c r="AU81" s="383">
        <v>7770</v>
      </c>
      <c r="AV81" s="383">
        <v>6500</v>
      </c>
      <c r="AW81" s="383">
        <v>36</v>
      </c>
      <c r="AX81" s="383">
        <v>36000</v>
      </c>
      <c r="AY81" s="383">
        <v>0</v>
      </c>
      <c r="AZ81" s="383">
        <v>19000</v>
      </c>
      <c r="BA81" s="383">
        <v>15750</v>
      </c>
      <c r="BB81" s="383">
        <v>0</v>
      </c>
      <c r="BC81" s="383">
        <v>0</v>
      </c>
      <c r="BD81" s="383">
        <v>0</v>
      </c>
      <c r="BE81" s="383">
        <f t="shared" si="14"/>
        <v>1326320.5896835523</v>
      </c>
      <c r="BF81" s="383">
        <f t="shared" si="15"/>
        <v>49058.00113621261</v>
      </c>
      <c r="BG81" s="383">
        <v>81985.380000000121</v>
      </c>
      <c r="BH81" s="383">
        <f t="shared" si="16"/>
        <v>131043.38113621273</v>
      </c>
      <c r="BI81" s="383">
        <v>0</v>
      </c>
      <c r="BJ81" s="383">
        <v>0</v>
      </c>
      <c r="BK81" s="383">
        <f t="shared" si="17"/>
        <v>0</v>
      </c>
      <c r="BL81" s="383">
        <v>0</v>
      </c>
      <c r="BM81" s="383">
        <v>0</v>
      </c>
      <c r="BN81" s="383">
        <f t="shared" si="18"/>
        <v>0</v>
      </c>
      <c r="BO81" s="383">
        <f t="shared" si="19"/>
        <v>0</v>
      </c>
      <c r="BP81" s="383">
        <v>0</v>
      </c>
      <c r="BQ81" s="383">
        <f t="shared" si="20"/>
        <v>0</v>
      </c>
      <c r="BR81" s="383">
        <v>0</v>
      </c>
      <c r="BS81" s="383">
        <v>131043.38113621273</v>
      </c>
      <c r="BT81" s="383">
        <v>0</v>
      </c>
      <c r="BU81" s="383">
        <f t="shared" si="21"/>
        <v>131043.38113621273</v>
      </c>
      <c r="BV81" s="383">
        <v>6464</v>
      </c>
      <c r="BW81" s="383">
        <v>0</v>
      </c>
      <c r="BX81" s="383">
        <v>0</v>
      </c>
      <c r="BY81" s="383">
        <f t="shared" si="22"/>
        <v>6464</v>
      </c>
      <c r="BZ81" s="383">
        <v>0</v>
      </c>
      <c r="CA81" s="383">
        <v>6464</v>
      </c>
      <c r="CB81" s="383">
        <v>0</v>
      </c>
      <c r="CC81" s="383">
        <v>0</v>
      </c>
      <c r="CD81" s="383">
        <f t="shared" si="23"/>
        <v>6464</v>
      </c>
      <c r="CE81" s="383">
        <f t="shared" si="24"/>
        <v>0</v>
      </c>
      <c r="CF81" s="383">
        <v>2174.8200000000006</v>
      </c>
      <c r="CG81" s="383">
        <f t="shared" si="25"/>
        <v>2174.8200000000006</v>
      </c>
      <c r="CH81" s="383">
        <f>VLOOKUP($B81,'Data - CFR 202526'!$B$4:$CJ$127,85,0)</f>
        <v>2174.8200000000006</v>
      </c>
      <c r="CI81" s="383">
        <f>VLOOKUP($B81,'Data - CFR 202526'!$B$4:$CJ$127,86,0)</f>
        <v>0</v>
      </c>
      <c r="CJ81" s="383">
        <f>VLOOKUP($B81,'Data - CFR 202526'!$B$4:$CJ$127,87,0)</f>
        <v>2174.8200000000006</v>
      </c>
    </row>
    <row r="82" spans="1:88" ht="13.8">
      <c r="A82" s="252" t="s">
        <v>1525</v>
      </c>
      <c r="B82" s="288">
        <v>3390</v>
      </c>
      <c r="C82" s="288" t="s">
        <v>782</v>
      </c>
      <c r="D82" s="248" t="s">
        <v>704</v>
      </c>
      <c r="E82" s="384"/>
      <c r="F82" s="383">
        <v>1218054.3001032416</v>
      </c>
      <c r="G82" s="383">
        <v>0</v>
      </c>
      <c r="H82" s="383">
        <v>46284</v>
      </c>
      <c r="I82" s="383">
        <v>0</v>
      </c>
      <c r="J82" s="383">
        <v>89900</v>
      </c>
      <c r="K82" s="383">
        <v>44275</v>
      </c>
      <c r="L82" s="383">
        <v>0</v>
      </c>
      <c r="M82" s="383">
        <v>3710</v>
      </c>
      <c r="N82" s="383">
        <v>2000</v>
      </c>
      <c r="O82" s="383">
        <v>10600</v>
      </c>
      <c r="P82" s="383">
        <v>0</v>
      </c>
      <c r="Q82" s="383">
        <v>0</v>
      </c>
      <c r="R82" s="383">
        <v>8000</v>
      </c>
      <c r="S82" s="383">
        <v>0</v>
      </c>
      <c r="T82" s="383">
        <v>0</v>
      </c>
      <c r="U82" s="383">
        <v>0</v>
      </c>
      <c r="V82" s="383">
        <v>0</v>
      </c>
      <c r="W82" s="383">
        <v>0</v>
      </c>
      <c r="X82" s="383">
        <v>0</v>
      </c>
      <c r="Y82" s="383">
        <f t="shared" si="13"/>
        <v>1422823.3001032416</v>
      </c>
      <c r="Z82" s="383">
        <v>829125.66172826663</v>
      </c>
      <c r="AA82" s="383">
        <v>0</v>
      </c>
      <c r="AB82" s="383">
        <v>265526.93357566465</v>
      </c>
      <c r="AC82" s="383">
        <v>51166.000313401499</v>
      </c>
      <c r="AD82" s="383">
        <v>41949.163123260158</v>
      </c>
      <c r="AE82" s="383">
        <v>0</v>
      </c>
      <c r="AF82" s="383">
        <v>0</v>
      </c>
      <c r="AG82" s="383">
        <v>5112</v>
      </c>
      <c r="AH82" s="383">
        <v>4000</v>
      </c>
      <c r="AI82" s="383">
        <v>4375</v>
      </c>
      <c r="AJ82" s="383">
        <v>1500</v>
      </c>
      <c r="AK82" s="383">
        <v>20000</v>
      </c>
      <c r="AL82" s="383">
        <v>4500</v>
      </c>
      <c r="AM82" s="383">
        <v>6500</v>
      </c>
      <c r="AN82" s="383">
        <v>9450</v>
      </c>
      <c r="AO82" s="383">
        <v>30000</v>
      </c>
      <c r="AP82" s="383">
        <v>49672.5</v>
      </c>
      <c r="AQ82" s="383">
        <v>6550</v>
      </c>
      <c r="AR82" s="383">
        <v>58303</v>
      </c>
      <c r="AS82" s="383">
        <v>34810</v>
      </c>
      <c r="AT82" s="383">
        <v>0</v>
      </c>
      <c r="AU82" s="383">
        <v>6160</v>
      </c>
      <c r="AV82" s="383">
        <v>5617.76</v>
      </c>
      <c r="AW82" s="383">
        <v>100</v>
      </c>
      <c r="AX82" s="383">
        <v>91029</v>
      </c>
      <c r="AY82" s="383">
        <v>30000</v>
      </c>
      <c r="AZ82" s="383">
        <v>42920</v>
      </c>
      <c r="BA82" s="383">
        <v>22693</v>
      </c>
      <c r="BB82" s="383">
        <v>0</v>
      </c>
      <c r="BC82" s="383">
        <v>0</v>
      </c>
      <c r="BD82" s="383">
        <v>0</v>
      </c>
      <c r="BE82" s="383">
        <f t="shared" si="14"/>
        <v>1621060.018740593</v>
      </c>
      <c r="BF82" s="383">
        <f t="shared" si="15"/>
        <v>-198236.71863735141</v>
      </c>
      <c r="BG82" s="383">
        <v>-246623.88000000076</v>
      </c>
      <c r="BH82" s="383">
        <f t="shared" si="16"/>
        <v>-444860.59863735217</v>
      </c>
      <c r="BI82" s="383">
        <v>0</v>
      </c>
      <c r="BJ82" s="383">
        <v>0</v>
      </c>
      <c r="BK82" s="383">
        <f t="shared" si="17"/>
        <v>0</v>
      </c>
      <c r="BL82" s="383">
        <v>0</v>
      </c>
      <c r="BM82" s="383">
        <v>0</v>
      </c>
      <c r="BN82" s="383">
        <f t="shared" si="18"/>
        <v>0</v>
      </c>
      <c r="BO82" s="383">
        <f t="shared" si="19"/>
        <v>0</v>
      </c>
      <c r="BP82" s="383">
        <v>0</v>
      </c>
      <c r="BQ82" s="383">
        <f t="shared" si="20"/>
        <v>0</v>
      </c>
      <c r="BR82" s="383">
        <v>0</v>
      </c>
      <c r="BS82" s="383">
        <v>-444860.59863735217</v>
      </c>
      <c r="BT82" s="383">
        <v>0</v>
      </c>
      <c r="BU82" s="383">
        <f t="shared" si="21"/>
        <v>-444860.59863735217</v>
      </c>
      <c r="BV82" s="383">
        <v>5878</v>
      </c>
      <c r="BW82" s="383">
        <v>0</v>
      </c>
      <c r="BX82" s="383">
        <v>0</v>
      </c>
      <c r="BY82" s="383">
        <f t="shared" si="22"/>
        <v>5878</v>
      </c>
      <c r="BZ82" s="383">
        <v>0</v>
      </c>
      <c r="CA82" s="383">
        <v>0</v>
      </c>
      <c r="CB82" s="383">
        <v>0</v>
      </c>
      <c r="CC82" s="383">
        <v>5878</v>
      </c>
      <c r="CD82" s="383">
        <f t="shared" si="23"/>
        <v>5878</v>
      </c>
      <c r="CE82" s="383">
        <f t="shared" si="24"/>
        <v>0</v>
      </c>
      <c r="CF82" s="383">
        <v>16347.470000000001</v>
      </c>
      <c r="CG82" s="383">
        <f t="shared" si="25"/>
        <v>16347.470000000001</v>
      </c>
      <c r="CH82" s="383">
        <f>VLOOKUP($B82,'Data - CFR 202526'!$B$4:$CJ$127,85,0)</f>
        <v>16347.470000000001</v>
      </c>
      <c r="CI82" s="383">
        <f>VLOOKUP($B82,'Data - CFR 202526'!$B$4:$CJ$127,86,0)</f>
        <v>0</v>
      </c>
      <c r="CJ82" s="383">
        <f>VLOOKUP($B82,'Data - CFR 202526'!$B$4:$CJ$127,87,0)</f>
        <v>16347.470000000001</v>
      </c>
    </row>
    <row r="83" spans="1:88" ht="13.8">
      <c r="A83" s="252" t="s">
        <v>1525</v>
      </c>
      <c r="B83" s="290">
        <v>2031</v>
      </c>
      <c r="C83" s="290" t="s">
        <v>783</v>
      </c>
      <c r="D83" s="248" t="s">
        <v>704</v>
      </c>
      <c r="E83" s="384"/>
      <c r="F83" s="383">
        <v>1140088.3</v>
      </c>
      <c r="G83" s="383">
        <v>0</v>
      </c>
      <c r="H83" s="383">
        <v>31584</v>
      </c>
      <c r="I83" s="383">
        <v>0</v>
      </c>
      <c r="J83" s="383">
        <v>51050</v>
      </c>
      <c r="K83" s="383">
        <v>48476</v>
      </c>
      <c r="L83" s="383">
        <v>0</v>
      </c>
      <c r="M83" s="383">
        <v>8875</v>
      </c>
      <c r="N83" s="383">
        <v>4700</v>
      </c>
      <c r="O83" s="383">
        <v>0</v>
      </c>
      <c r="P83" s="383">
        <v>2250</v>
      </c>
      <c r="Q83" s="383">
        <v>0</v>
      </c>
      <c r="R83" s="383">
        <v>0</v>
      </c>
      <c r="S83" s="383">
        <v>0</v>
      </c>
      <c r="T83" s="383">
        <v>0</v>
      </c>
      <c r="U83" s="383">
        <v>0</v>
      </c>
      <c r="V83" s="383">
        <v>0</v>
      </c>
      <c r="W83" s="383">
        <v>0</v>
      </c>
      <c r="X83" s="383">
        <v>0</v>
      </c>
      <c r="Y83" s="383">
        <f t="shared" si="13"/>
        <v>1287023.3</v>
      </c>
      <c r="Z83" s="383">
        <v>681482</v>
      </c>
      <c r="AA83" s="383">
        <v>1200</v>
      </c>
      <c r="AB83" s="383">
        <v>213173</v>
      </c>
      <c r="AC83" s="383">
        <v>11299</v>
      </c>
      <c r="AD83" s="383">
        <v>66973</v>
      </c>
      <c r="AE83" s="383">
        <v>0</v>
      </c>
      <c r="AF83" s="383">
        <v>24280</v>
      </c>
      <c r="AG83" s="383">
        <v>7426</v>
      </c>
      <c r="AH83" s="383">
        <v>3000</v>
      </c>
      <c r="AI83" s="383">
        <v>5252</v>
      </c>
      <c r="AJ83" s="383">
        <v>384</v>
      </c>
      <c r="AK83" s="383">
        <v>19704</v>
      </c>
      <c r="AL83" s="383">
        <v>1000</v>
      </c>
      <c r="AM83" s="383">
        <v>40766</v>
      </c>
      <c r="AN83" s="383">
        <v>9567</v>
      </c>
      <c r="AO83" s="383">
        <v>24837</v>
      </c>
      <c r="AP83" s="383">
        <v>24990</v>
      </c>
      <c r="AQ83" s="383">
        <v>8608</v>
      </c>
      <c r="AR83" s="383">
        <v>25476</v>
      </c>
      <c r="AS83" s="383">
        <v>33712</v>
      </c>
      <c r="AT83" s="383">
        <v>0</v>
      </c>
      <c r="AU83" s="383">
        <v>8161</v>
      </c>
      <c r="AV83" s="383">
        <v>6071</v>
      </c>
      <c r="AW83" s="383">
        <v>0</v>
      </c>
      <c r="AX83" s="383">
        <v>63500</v>
      </c>
      <c r="AY83" s="383">
        <v>21620</v>
      </c>
      <c r="AZ83" s="383">
        <v>19086</v>
      </c>
      <c r="BA83" s="383">
        <v>22395</v>
      </c>
      <c r="BB83" s="383">
        <v>0</v>
      </c>
      <c r="BC83" s="383">
        <v>2257</v>
      </c>
      <c r="BD83" s="383">
        <v>5584</v>
      </c>
      <c r="BE83" s="383">
        <f t="shared" si="14"/>
        <v>1351803</v>
      </c>
      <c r="BF83" s="383">
        <f t="shared" si="15"/>
        <v>-64779.699999999953</v>
      </c>
      <c r="BG83" s="383">
        <v>-108514.64000000031</v>
      </c>
      <c r="BH83" s="383">
        <f t="shared" si="16"/>
        <v>-173294.34000000026</v>
      </c>
      <c r="BI83" s="383">
        <v>0</v>
      </c>
      <c r="BJ83" s="383">
        <v>0</v>
      </c>
      <c r="BK83" s="383">
        <f t="shared" si="17"/>
        <v>0</v>
      </c>
      <c r="BL83" s="383">
        <v>0</v>
      </c>
      <c r="BM83" s="383">
        <v>0</v>
      </c>
      <c r="BN83" s="383">
        <f t="shared" si="18"/>
        <v>0</v>
      </c>
      <c r="BO83" s="383">
        <f t="shared" si="19"/>
        <v>0</v>
      </c>
      <c r="BP83" s="383">
        <v>0</v>
      </c>
      <c r="BQ83" s="383">
        <f t="shared" si="20"/>
        <v>0</v>
      </c>
      <c r="BR83" s="383">
        <v>0</v>
      </c>
      <c r="BS83" s="383">
        <v>-173294.34000000026</v>
      </c>
      <c r="BT83" s="383">
        <v>0</v>
      </c>
      <c r="BU83" s="383">
        <f t="shared" si="21"/>
        <v>-173294.34000000026</v>
      </c>
      <c r="BV83" s="383">
        <v>6261</v>
      </c>
      <c r="BW83" s="383">
        <v>0</v>
      </c>
      <c r="BX83" s="383">
        <v>0</v>
      </c>
      <c r="BY83" s="383">
        <f t="shared" si="22"/>
        <v>6261</v>
      </c>
      <c r="BZ83" s="383">
        <v>0</v>
      </c>
      <c r="CA83" s="383">
        <v>19206</v>
      </c>
      <c r="CB83" s="383">
        <v>0</v>
      </c>
      <c r="CC83" s="383">
        <v>0</v>
      </c>
      <c r="CD83" s="383">
        <f t="shared" si="23"/>
        <v>19206</v>
      </c>
      <c r="CE83" s="383">
        <f t="shared" si="24"/>
        <v>-12945</v>
      </c>
      <c r="CF83" s="383">
        <v>14205.43</v>
      </c>
      <c r="CG83" s="383">
        <f t="shared" si="25"/>
        <v>1260.4300000000003</v>
      </c>
      <c r="CH83" s="383">
        <f>VLOOKUP($B83,'Data - CFR 202526'!$B$4:$CJ$127,85,0)</f>
        <v>14205.43</v>
      </c>
      <c r="CI83" s="383">
        <f>VLOOKUP($B83,'Data - CFR 202526'!$B$4:$CJ$127,86,0)</f>
        <v>0</v>
      </c>
      <c r="CJ83" s="383">
        <f>VLOOKUP($B83,'Data - CFR 202526'!$B$4:$CJ$127,87,0)</f>
        <v>14205.43</v>
      </c>
    </row>
    <row r="84" spans="1:88" ht="13.8">
      <c r="A84" s="252" t="s">
        <v>1525</v>
      </c>
      <c r="B84" s="288">
        <v>3350</v>
      </c>
      <c r="C84" s="288" t="s">
        <v>784</v>
      </c>
      <c r="D84" s="248" t="s">
        <v>704</v>
      </c>
      <c r="E84" s="384"/>
      <c r="F84" s="383">
        <v>718443.92997867789</v>
      </c>
      <c r="G84" s="383">
        <v>0</v>
      </c>
      <c r="H84" s="383">
        <v>59584</v>
      </c>
      <c r="I84" s="383">
        <v>0</v>
      </c>
      <c r="J84" s="383">
        <v>32550</v>
      </c>
      <c r="K84" s="383">
        <v>38979</v>
      </c>
      <c r="L84" s="383">
        <v>0</v>
      </c>
      <c r="M84" s="383">
        <v>0</v>
      </c>
      <c r="N84" s="383">
        <v>57400</v>
      </c>
      <c r="O84" s="383">
        <v>0</v>
      </c>
      <c r="P84" s="383">
        <v>0</v>
      </c>
      <c r="Q84" s="383">
        <v>0</v>
      </c>
      <c r="R84" s="383">
        <v>0</v>
      </c>
      <c r="S84" s="383">
        <v>6901</v>
      </c>
      <c r="T84" s="383">
        <v>0</v>
      </c>
      <c r="U84" s="383">
        <v>0</v>
      </c>
      <c r="V84" s="383">
        <v>0</v>
      </c>
      <c r="W84" s="383">
        <v>0</v>
      </c>
      <c r="X84" s="383">
        <v>0</v>
      </c>
      <c r="Y84" s="383">
        <f t="shared" si="13"/>
        <v>913857.92997867789</v>
      </c>
      <c r="Z84" s="383">
        <v>486202.70188898925</v>
      </c>
      <c r="AA84" s="383">
        <v>0</v>
      </c>
      <c r="AB84" s="383">
        <v>160167.54988619377</v>
      </c>
      <c r="AC84" s="383">
        <v>0</v>
      </c>
      <c r="AD84" s="383">
        <v>64714.786185946054</v>
      </c>
      <c r="AE84" s="383">
        <v>0</v>
      </c>
      <c r="AF84" s="383">
        <v>15038.739879786981</v>
      </c>
      <c r="AG84" s="383">
        <v>400</v>
      </c>
      <c r="AH84" s="383">
        <v>4300</v>
      </c>
      <c r="AI84" s="383">
        <v>3684</v>
      </c>
      <c r="AJ84" s="383">
        <v>737</v>
      </c>
      <c r="AK84" s="383">
        <v>11500</v>
      </c>
      <c r="AL84" s="383">
        <v>100</v>
      </c>
      <c r="AM84" s="383">
        <v>21180</v>
      </c>
      <c r="AN84" s="383">
        <v>1750</v>
      </c>
      <c r="AO84" s="383">
        <v>14000</v>
      </c>
      <c r="AP84" s="383">
        <v>1679.6</v>
      </c>
      <c r="AQ84" s="383">
        <v>6735</v>
      </c>
      <c r="AR84" s="383">
        <v>55860</v>
      </c>
      <c r="AS84" s="383">
        <v>21900</v>
      </c>
      <c r="AT84" s="383">
        <v>0</v>
      </c>
      <c r="AU84" s="383">
        <v>8110</v>
      </c>
      <c r="AV84" s="383">
        <v>2444</v>
      </c>
      <c r="AW84" s="383">
        <v>0</v>
      </c>
      <c r="AX84" s="383">
        <v>32979</v>
      </c>
      <c r="AY84" s="383">
        <v>3000</v>
      </c>
      <c r="AZ84" s="383">
        <v>7530</v>
      </c>
      <c r="BA84" s="383">
        <v>17349</v>
      </c>
      <c r="BB84" s="383">
        <v>0</v>
      </c>
      <c r="BC84" s="383">
        <v>0</v>
      </c>
      <c r="BD84" s="383">
        <v>0</v>
      </c>
      <c r="BE84" s="383">
        <f t="shared" si="14"/>
        <v>941361.37784091604</v>
      </c>
      <c r="BF84" s="383">
        <f t="shared" si="15"/>
        <v>-27503.447862238158</v>
      </c>
      <c r="BG84" s="383">
        <v>102521.29000000034</v>
      </c>
      <c r="BH84" s="383">
        <f t="shared" si="16"/>
        <v>75017.842137762185</v>
      </c>
      <c r="BI84" s="383">
        <v>0</v>
      </c>
      <c r="BJ84" s="383">
        <v>0</v>
      </c>
      <c r="BK84" s="383">
        <f t="shared" si="17"/>
        <v>0</v>
      </c>
      <c r="BL84" s="383">
        <v>0</v>
      </c>
      <c r="BM84" s="383">
        <v>0</v>
      </c>
      <c r="BN84" s="383">
        <f t="shared" si="18"/>
        <v>0</v>
      </c>
      <c r="BO84" s="383">
        <f t="shared" si="19"/>
        <v>0</v>
      </c>
      <c r="BP84" s="383">
        <v>0</v>
      </c>
      <c r="BQ84" s="383">
        <f t="shared" si="20"/>
        <v>0</v>
      </c>
      <c r="BR84" s="383">
        <v>0</v>
      </c>
      <c r="BS84" s="383">
        <v>75017.842137762185</v>
      </c>
      <c r="BT84" s="383">
        <v>0</v>
      </c>
      <c r="BU84" s="383">
        <f t="shared" si="21"/>
        <v>75017.842137762185</v>
      </c>
      <c r="BV84" s="383">
        <v>0</v>
      </c>
      <c r="BW84" s="383">
        <v>0</v>
      </c>
      <c r="BX84" s="383">
        <v>0</v>
      </c>
      <c r="BY84" s="383">
        <f t="shared" si="22"/>
        <v>0</v>
      </c>
      <c r="BZ84" s="383">
        <v>0</v>
      </c>
      <c r="CA84" s="383">
        <v>0</v>
      </c>
      <c r="CB84" s="383">
        <v>0</v>
      </c>
      <c r="CC84" s="383">
        <v>0</v>
      </c>
      <c r="CD84" s="383">
        <f t="shared" si="23"/>
        <v>0</v>
      </c>
      <c r="CE84" s="383">
        <f t="shared" si="24"/>
        <v>0</v>
      </c>
      <c r="CF84" s="383">
        <v>0</v>
      </c>
      <c r="CG84" s="383">
        <f t="shared" si="25"/>
        <v>0</v>
      </c>
      <c r="CH84" s="383">
        <f>VLOOKUP($B84,'Data - CFR 202526'!$B$4:$CJ$127,85,0)</f>
        <v>0</v>
      </c>
      <c r="CI84" s="383">
        <f>VLOOKUP($B84,'Data - CFR 202526'!$B$4:$CJ$127,86,0)</f>
        <v>0</v>
      </c>
      <c r="CJ84" s="383">
        <f>VLOOKUP($B84,'Data - CFR 202526'!$B$4:$CJ$127,87,0)</f>
        <v>0</v>
      </c>
    </row>
    <row r="85" spans="1:88" ht="13.8">
      <c r="A85" s="252" t="s">
        <v>1525</v>
      </c>
      <c r="B85" s="288">
        <v>2033</v>
      </c>
      <c r="C85" s="288" t="s">
        <v>785</v>
      </c>
      <c r="D85" s="248" t="s">
        <v>704</v>
      </c>
      <c r="E85" s="384"/>
      <c r="F85" s="383">
        <v>1591623.46</v>
      </c>
      <c r="G85" s="383">
        <v>0</v>
      </c>
      <c r="H85" s="383">
        <v>49012</v>
      </c>
      <c r="I85" s="383">
        <v>0</v>
      </c>
      <c r="J85" s="383">
        <v>68200</v>
      </c>
      <c r="K85" s="383">
        <v>45600</v>
      </c>
      <c r="L85" s="383">
        <v>0</v>
      </c>
      <c r="M85" s="383">
        <v>7100</v>
      </c>
      <c r="N85" s="383">
        <v>45145.91</v>
      </c>
      <c r="O85" s="383">
        <v>40550</v>
      </c>
      <c r="P85" s="383">
        <v>0</v>
      </c>
      <c r="Q85" s="383">
        <v>0</v>
      </c>
      <c r="R85" s="383">
        <v>0</v>
      </c>
      <c r="S85" s="383">
        <v>0</v>
      </c>
      <c r="T85" s="383">
        <v>0</v>
      </c>
      <c r="U85" s="383">
        <v>0</v>
      </c>
      <c r="V85" s="383">
        <v>0</v>
      </c>
      <c r="W85" s="383">
        <v>0</v>
      </c>
      <c r="X85" s="383">
        <v>0</v>
      </c>
      <c r="Y85" s="383">
        <f t="shared" si="13"/>
        <v>1847231.3699999999</v>
      </c>
      <c r="Z85" s="383">
        <v>1042715.01</v>
      </c>
      <c r="AA85" s="383">
        <v>4000</v>
      </c>
      <c r="AB85" s="383">
        <v>347055.93</v>
      </c>
      <c r="AC85" s="383">
        <v>63116.28</v>
      </c>
      <c r="AD85" s="383">
        <v>69072.17</v>
      </c>
      <c r="AE85" s="383">
        <v>0</v>
      </c>
      <c r="AF85" s="383">
        <v>20607.32</v>
      </c>
      <c r="AG85" s="383">
        <v>7120</v>
      </c>
      <c r="AH85" s="383">
        <v>8000</v>
      </c>
      <c r="AI85" s="383">
        <v>8000</v>
      </c>
      <c r="AJ85" s="383">
        <v>125</v>
      </c>
      <c r="AK85" s="383">
        <v>14000</v>
      </c>
      <c r="AL85" s="383">
        <v>4990</v>
      </c>
      <c r="AM85" s="383">
        <v>5500</v>
      </c>
      <c r="AN85" s="383">
        <v>5000</v>
      </c>
      <c r="AO85" s="383">
        <v>49500</v>
      </c>
      <c r="AP85" s="383">
        <v>56840</v>
      </c>
      <c r="AQ85" s="383">
        <v>9772</v>
      </c>
      <c r="AR85" s="383">
        <v>22110</v>
      </c>
      <c r="AS85" s="383">
        <v>35399</v>
      </c>
      <c r="AT85" s="383">
        <v>0</v>
      </c>
      <c r="AU85" s="383">
        <v>12047.99</v>
      </c>
      <c r="AV85" s="383">
        <v>8935.74</v>
      </c>
      <c r="AW85" s="383">
        <v>0</v>
      </c>
      <c r="AX85" s="383">
        <v>107680</v>
      </c>
      <c r="AY85" s="383">
        <v>11000</v>
      </c>
      <c r="AZ85" s="383">
        <v>0</v>
      </c>
      <c r="BA85" s="383">
        <v>32345.35</v>
      </c>
      <c r="BB85" s="383">
        <v>0</v>
      </c>
      <c r="BC85" s="383">
        <v>0</v>
      </c>
      <c r="BD85" s="383">
        <v>0</v>
      </c>
      <c r="BE85" s="383">
        <f t="shared" si="14"/>
        <v>1944931.79</v>
      </c>
      <c r="BF85" s="383">
        <f t="shared" si="15"/>
        <v>-97700.420000000158</v>
      </c>
      <c r="BG85" s="383">
        <v>72593.619999999588</v>
      </c>
      <c r="BH85" s="383">
        <f t="shared" si="16"/>
        <v>-25106.80000000057</v>
      </c>
      <c r="BI85" s="383">
        <v>116000</v>
      </c>
      <c r="BJ85" s="383">
        <v>8100</v>
      </c>
      <c r="BK85" s="383">
        <f t="shared" si="17"/>
        <v>124100</v>
      </c>
      <c r="BL85" s="383">
        <v>79789.14</v>
      </c>
      <c r="BM85" s="383">
        <v>43345.91</v>
      </c>
      <c r="BN85" s="383">
        <f t="shared" si="18"/>
        <v>123135.05</v>
      </c>
      <c r="BO85" s="383">
        <f t="shared" si="19"/>
        <v>964.94999999999709</v>
      </c>
      <c r="BP85" s="383">
        <v>34474.760000000009</v>
      </c>
      <c r="BQ85" s="383">
        <f t="shared" si="20"/>
        <v>35439.710000000006</v>
      </c>
      <c r="BR85" s="383">
        <v>0</v>
      </c>
      <c r="BS85" s="383">
        <v>-25106.80000000057</v>
      </c>
      <c r="BT85" s="383">
        <v>35439.710000000006</v>
      </c>
      <c r="BU85" s="383">
        <f t="shared" si="21"/>
        <v>10332.909999999436</v>
      </c>
      <c r="BV85" s="383">
        <v>7836</v>
      </c>
      <c r="BW85" s="383">
        <v>0</v>
      </c>
      <c r="BX85" s="383">
        <v>0</v>
      </c>
      <c r="BY85" s="383">
        <f t="shared" si="22"/>
        <v>7836</v>
      </c>
      <c r="BZ85" s="383">
        <v>0</v>
      </c>
      <c r="CA85" s="383">
        <v>7836</v>
      </c>
      <c r="CB85" s="383">
        <v>0</v>
      </c>
      <c r="CC85" s="383">
        <v>0</v>
      </c>
      <c r="CD85" s="383">
        <f t="shared" si="23"/>
        <v>7836</v>
      </c>
      <c r="CE85" s="383">
        <f t="shared" si="24"/>
        <v>0</v>
      </c>
      <c r="CF85" s="383">
        <v>11108.560000000005</v>
      </c>
      <c r="CG85" s="383">
        <f t="shared" si="25"/>
        <v>11108.560000000005</v>
      </c>
      <c r="CH85" s="383">
        <f>VLOOKUP($B85,'Data - CFR 202526'!$B$4:$CJ$127,85,0)</f>
        <v>11108.560000000005</v>
      </c>
      <c r="CI85" s="383">
        <f>VLOOKUP($B85,'Data - CFR 202526'!$B$4:$CJ$127,86,0)</f>
        <v>0</v>
      </c>
      <c r="CJ85" s="383">
        <f>VLOOKUP($B85,'Data - CFR 202526'!$B$4:$CJ$127,87,0)</f>
        <v>11108.560000000005</v>
      </c>
    </row>
    <row r="86" spans="1:88" ht="13.8">
      <c r="A86" s="252" t="s">
        <v>1525</v>
      </c>
      <c r="B86" s="288">
        <v>3331</v>
      </c>
      <c r="C86" s="288" t="s">
        <v>786</v>
      </c>
      <c r="D86" s="248" t="s">
        <v>704</v>
      </c>
      <c r="E86" s="384"/>
      <c r="F86" s="383">
        <v>779307.14826050005</v>
      </c>
      <c r="G86" s="383">
        <v>0</v>
      </c>
      <c r="H86" s="383">
        <v>24575</v>
      </c>
      <c r="I86" s="383">
        <v>0</v>
      </c>
      <c r="J86" s="383">
        <v>31000</v>
      </c>
      <c r="K86" s="383">
        <v>37668</v>
      </c>
      <c r="L86" s="383">
        <v>0</v>
      </c>
      <c r="M86" s="383">
        <v>5190</v>
      </c>
      <c r="N86" s="383">
        <v>46000</v>
      </c>
      <c r="O86" s="383">
        <v>0</v>
      </c>
      <c r="P86" s="383">
        <v>0</v>
      </c>
      <c r="Q86" s="383">
        <v>0</v>
      </c>
      <c r="R86" s="383">
        <v>0</v>
      </c>
      <c r="S86" s="383">
        <v>0</v>
      </c>
      <c r="T86" s="383">
        <v>0</v>
      </c>
      <c r="U86" s="383">
        <v>0</v>
      </c>
      <c r="V86" s="383">
        <v>0</v>
      </c>
      <c r="W86" s="383">
        <v>0</v>
      </c>
      <c r="X86" s="383">
        <v>0</v>
      </c>
      <c r="Y86" s="383">
        <f t="shared" si="13"/>
        <v>923740.14826050005</v>
      </c>
      <c r="Z86" s="383">
        <v>507615.78221373336</v>
      </c>
      <c r="AA86" s="383">
        <v>1000</v>
      </c>
      <c r="AB86" s="383">
        <v>126723.46500542575</v>
      </c>
      <c r="AC86" s="383">
        <v>20154.235695336105</v>
      </c>
      <c r="AD86" s="383">
        <v>30349.35124006731</v>
      </c>
      <c r="AE86" s="383">
        <v>0</v>
      </c>
      <c r="AF86" s="383">
        <v>43985.240487602976</v>
      </c>
      <c r="AG86" s="383">
        <v>350</v>
      </c>
      <c r="AH86" s="383">
        <v>3500</v>
      </c>
      <c r="AI86" s="383">
        <v>3250</v>
      </c>
      <c r="AJ86" s="383">
        <v>800</v>
      </c>
      <c r="AK86" s="383">
        <v>3500</v>
      </c>
      <c r="AL86" s="383">
        <v>3350</v>
      </c>
      <c r="AM86" s="383">
        <v>2000</v>
      </c>
      <c r="AN86" s="383">
        <v>3500</v>
      </c>
      <c r="AO86" s="383">
        <v>16000</v>
      </c>
      <c r="AP86" s="383">
        <v>3343</v>
      </c>
      <c r="AQ86" s="383">
        <v>6000</v>
      </c>
      <c r="AR86" s="383">
        <v>33634.61</v>
      </c>
      <c r="AS86" s="383">
        <v>23172.15</v>
      </c>
      <c r="AT86" s="383">
        <v>0</v>
      </c>
      <c r="AU86" s="383">
        <v>6230</v>
      </c>
      <c r="AV86" s="383">
        <v>4500</v>
      </c>
      <c r="AW86" s="383">
        <v>8190</v>
      </c>
      <c r="AX86" s="383">
        <v>32936</v>
      </c>
      <c r="AY86" s="383">
        <v>0</v>
      </c>
      <c r="AZ86" s="383">
        <v>10000</v>
      </c>
      <c r="BA86" s="383">
        <v>17183.02</v>
      </c>
      <c r="BB86" s="383">
        <v>0</v>
      </c>
      <c r="BC86" s="383">
        <v>0</v>
      </c>
      <c r="BD86" s="383">
        <v>600</v>
      </c>
      <c r="BE86" s="383">
        <f t="shared" si="14"/>
        <v>911866.85464216559</v>
      </c>
      <c r="BF86" s="383">
        <f t="shared" si="15"/>
        <v>11873.293618334457</v>
      </c>
      <c r="BG86" s="383">
        <v>67187.619999999821</v>
      </c>
      <c r="BH86" s="383">
        <f t="shared" si="16"/>
        <v>79060.913618334278</v>
      </c>
      <c r="BI86" s="383">
        <v>0</v>
      </c>
      <c r="BJ86" s="383">
        <v>0</v>
      </c>
      <c r="BK86" s="383">
        <f t="shared" si="17"/>
        <v>0</v>
      </c>
      <c r="BL86" s="383">
        <v>0</v>
      </c>
      <c r="BM86" s="383">
        <v>0</v>
      </c>
      <c r="BN86" s="383">
        <f t="shared" si="18"/>
        <v>0</v>
      </c>
      <c r="BO86" s="383">
        <f t="shared" si="19"/>
        <v>0</v>
      </c>
      <c r="BP86" s="383">
        <v>0</v>
      </c>
      <c r="BQ86" s="383">
        <f t="shared" si="20"/>
        <v>0</v>
      </c>
      <c r="BR86" s="383">
        <v>0</v>
      </c>
      <c r="BS86" s="383">
        <v>79060.913618334278</v>
      </c>
      <c r="BT86" s="383">
        <v>0</v>
      </c>
      <c r="BU86" s="383">
        <f t="shared" si="21"/>
        <v>79060.913618334278</v>
      </c>
      <c r="BV86" s="383">
        <v>0</v>
      </c>
      <c r="BW86" s="383">
        <v>0</v>
      </c>
      <c r="BX86" s="383">
        <v>0</v>
      </c>
      <c r="BY86" s="383">
        <f t="shared" si="22"/>
        <v>0</v>
      </c>
      <c r="BZ86" s="383">
        <v>0</v>
      </c>
      <c r="CA86" s="383">
        <v>0</v>
      </c>
      <c r="CB86" s="383">
        <v>0</v>
      </c>
      <c r="CC86" s="383">
        <v>0</v>
      </c>
      <c r="CD86" s="383">
        <f t="shared" si="23"/>
        <v>0</v>
      </c>
      <c r="CE86" s="383">
        <f t="shared" si="24"/>
        <v>0</v>
      </c>
      <c r="CF86" s="383">
        <v>0</v>
      </c>
      <c r="CG86" s="383">
        <f t="shared" si="25"/>
        <v>0</v>
      </c>
      <c r="CH86" s="383">
        <f>VLOOKUP($B86,'Data - CFR 202526'!$B$4:$CJ$127,85,0)</f>
        <v>0</v>
      </c>
      <c r="CI86" s="383">
        <f>VLOOKUP($B86,'Data - CFR 202526'!$B$4:$CJ$127,86,0)</f>
        <v>0</v>
      </c>
      <c r="CJ86" s="383">
        <f>VLOOKUP($B86,'Data - CFR 202526'!$B$4:$CJ$127,87,0)</f>
        <v>0</v>
      </c>
    </row>
    <row r="87" spans="1:88" ht="13.8">
      <c r="A87" s="252" t="s">
        <v>1525</v>
      </c>
      <c r="B87" s="288">
        <v>2239</v>
      </c>
      <c r="C87" s="288" t="s">
        <v>787</v>
      </c>
      <c r="D87" s="248" t="s">
        <v>704</v>
      </c>
      <c r="E87" s="384"/>
      <c r="F87" s="383">
        <v>1615343.2564989997</v>
      </c>
      <c r="G87" s="383">
        <v>0</v>
      </c>
      <c r="H87" s="383">
        <v>67067</v>
      </c>
      <c r="I87" s="383">
        <v>0</v>
      </c>
      <c r="J87" s="383">
        <v>128510</v>
      </c>
      <c r="K87" s="383">
        <v>19168</v>
      </c>
      <c r="L87" s="383">
        <v>0</v>
      </c>
      <c r="M87" s="383">
        <v>3000</v>
      </c>
      <c r="N87" s="383">
        <v>58500</v>
      </c>
      <c r="O87" s="383">
        <v>0</v>
      </c>
      <c r="P87" s="383">
        <v>0</v>
      </c>
      <c r="Q87" s="383">
        <v>0</v>
      </c>
      <c r="R87" s="383">
        <v>0</v>
      </c>
      <c r="S87" s="383">
        <v>0</v>
      </c>
      <c r="T87" s="383">
        <v>0</v>
      </c>
      <c r="U87" s="383">
        <v>0</v>
      </c>
      <c r="V87" s="383">
        <v>0</v>
      </c>
      <c r="W87" s="383">
        <v>0</v>
      </c>
      <c r="X87" s="383">
        <v>0</v>
      </c>
      <c r="Y87" s="383">
        <f t="shared" si="13"/>
        <v>1891588.2564989997</v>
      </c>
      <c r="Z87" s="383">
        <v>962643.11384025379</v>
      </c>
      <c r="AA87" s="383">
        <v>18000</v>
      </c>
      <c r="AB87" s="383">
        <v>294923.42520748021</v>
      </c>
      <c r="AC87" s="383">
        <v>66319.151296115378</v>
      </c>
      <c r="AD87" s="383">
        <v>59669.268581198223</v>
      </c>
      <c r="AE87" s="383">
        <v>0</v>
      </c>
      <c r="AF87" s="383">
        <v>74591.780043457475</v>
      </c>
      <c r="AG87" s="383">
        <v>7544</v>
      </c>
      <c r="AH87" s="383">
        <v>15000</v>
      </c>
      <c r="AI87" s="383">
        <v>7280</v>
      </c>
      <c r="AJ87" s="383">
        <v>2275</v>
      </c>
      <c r="AK87" s="383">
        <v>30000</v>
      </c>
      <c r="AL87" s="383">
        <v>2400</v>
      </c>
      <c r="AM87" s="383">
        <v>6315</v>
      </c>
      <c r="AN87" s="383">
        <v>7000</v>
      </c>
      <c r="AO87" s="383">
        <v>38000</v>
      </c>
      <c r="AP87" s="383">
        <v>31635</v>
      </c>
      <c r="AQ87" s="383">
        <v>19200</v>
      </c>
      <c r="AR87" s="383">
        <v>129325.82</v>
      </c>
      <c r="AS87" s="383">
        <v>57500</v>
      </c>
      <c r="AT87" s="383">
        <v>0</v>
      </c>
      <c r="AU87" s="383">
        <v>13964</v>
      </c>
      <c r="AV87" s="383">
        <v>9000</v>
      </c>
      <c r="AW87" s="383">
        <v>3500</v>
      </c>
      <c r="AX87" s="383">
        <v>70596</v>
      </c>
      <c r="AY87" s="383">
        <v>43000</v>
      </c>
      <c r="AZ87" s="383">
        <v>19896</v>
      </c>
      <c r="BA87" s="383">
        <v>22788</v>
      </c>
      <c r="BB87" s="383">
        <v>0</v>
      </c>
      <c r="BC87" s="383">
        <v>0</v>
      </c>
      <c r="BD87" s="383">
        <v>0</v>
      </c>
      <c r="BE87" s="383">
        <f t="shared" si="14"/>
        <v>2012365.5589685051</v>
      </c>
      <c r="BF87" s="383">
        <f t="shared" si="15"/>
        <v>-120777.30246950546</v>
      </c>
      <c r="BG87" s="383">
        <v>352214.47999999986</v>
      </c>
      <c r="BH87" s="383">
        <f t="shared" si="16"/>
        <v>231437.1775304944</v>
      </c>
      <c r="BI87" s="383">
        <v>0</v>
      </c>
      <c r="BJ87" s="383">
        <v>0</v>
      </c>
      <c r="BK87" s="383">
        <f t="shared" si="17"/>
        <v>0</v>
      </c>
      <c r="BL87" s="383">
        <v>0</v>
      </c>
      <c r="BM87" s="383">
        <v>0</v>
      </c>
      <c r="BN87" s="383">
        <f t="shared" si="18"/>
        <v>0</v>
      </c>
      <c r="BO87" s="383">
        <f t="shared" si="19"/>
        <v>0</v>
      </c>
      <c r="BP87" s="383">
        <v>0</v>
      </c>
      <c r="BQ87" s="383">
        <f t="shared" si="20"/>
        <v>0</v>
      </c>
      <c r="BR87" s="383">
        <v>0</v>
      </c>
      <c r="BS87" s="383">
        <v>231437.1775304944</v>
      </c>
      <c r="BT87" s="383">
        <v>0</v>
      </c>
      <c r="BU87" s="383">
        <f t="shared" si="21"/>
        <v>231437.1775304944</v>
      </c>
      <c r="BV87" s="383">
        <v>7364</v>
      </c>
      <c r="BW87" s="383">
        <v>0</v>
      </c>
      <c r="BX87" s="383">
        <v>0</v>
      </c>
      <c r="BY87" s="383">
        <f t="shared" si="22"/>
        <v>7364</v>
      </c>
      <c r="BZ87" s="383">
        <v>0</v>
      </c>
      <c r="CA87" s="383">
        <v>19872.509999999998</v>
      </c>
      <c r="CB87" s="383">
        <v>0</v>
      </c>
      <c r="CC87" s="383">
        <v>6000</v>
      </c>
      <c r="CD87" s="383">
        <f t="shared" si="23"/>
        <v>25872.51</v>
      </c>
      <c r="CE87" s="383">
        <f t="shared" si="24"/>
        <v>-18508.509999999998</v>
      </c>
      <c r="CF87" s="383">
        <v>18508.509999999998</v>
      </c>
      <c r="CG87" s="383">
        <f t="shared" si="25"/>
        <v>0</v>
      </c>
      <c r="CH87" s="383">
        <f>VLOOKUP($B87,'Data - CFR 202526'!$B$4:$CJ$127,85,0)</f>
        <v>18508.509999999998</v>
      </c>
      <c r="CI87" s="383">
        <f>VLOOKUP($B87,'Data - CFR 202526'!$B$4:$CJ$127,86,0)</f>
        <v>0</v>
      </c>
      <c r="CJ87" s="383">
        <f>VLOOKUP($B87,'Data - CFR 202526'!$B$4:$CJ$127,87,0)</f>
        <v>18508.509999999998</v>
      </c>
    </row>
    <row r="88" spans="1:88" ht="13.8">
      <c r="A88" s="252" t="s">
        <v>1525</v>
      </c>
      <c r="B88" s="288">
        <v>2219</v>
      </c>
      <c r="C88" s="288" t="s">
        <v>788</v>
      </c>
      <c r="D88" s="248" t="s">
        <v>704</v>
      </c>
      <c r="E88" s="384"/>
      <c r="F88" s="383">
        <v>1016559.369679217</v>
      </c>
      <c r="G88" s="383">
        <v>0</v>
      </c>
      <c r="H88" s="383">
        <v>24181</v>
      </c>
      <c r="I88" s="383">
        <v>0</v>
      </c>
      <c r="J88" s="383">
        <v>48050</v>
      </c>
      <c r="K88" s="383">
        <v>83195</v>
      </c>
      <c r="L88" s="383">
        <v>0</v>
      </c>
      <c r="M88" s="383">
        <v>4000</v>
      </c>
      <c r="N88" s="383">
        <v>4000</v>
      </c>
      <c r="O88" s="383">
        <v>600</v>
      </c>
      <c r="P88" s="383">
        <v>0</v>
      </c>
      <c r="Q88" s="383">
        <v>0</v>
      </c>
      <c r="R88" s="383">
        <v>0</v>
      </c>
      <c r="S88" s="383">
        <v>1000</v>
      </c>
      <c r="T88" s="383">
        <v>0</v>
      </c>
      <c r="U88" s="383">
        <v>0</v>
      </c>
      <c r="V88" s="383">
        <v>0</v>
      </c>
      <c r="W88" s="383">
        <v>0</v>
      </c>
      <c r="X88" s="383">
        <v>0</v>
      </c>
      <c r="Y88" s="383">
        <f t="shared" si="13"/>
        <v>1181585.369679217</v>
      </c>
      <c r="Z88" s="383">
        <v>632855.70503066666</v>
      </c>
      <c r="AA88" s="383">
        <v>6500</v>
      </c>
      <c r="AB88" s="383">
        <v>259932.95741016726</v>
      </c>
      <c r="AC88" s="383">
        <v>39513.27926797315</v>
      </c>
      <c r="AD88" s="383">
        <v>60819.778638290023</v>
      </c>
      <c r="AE88" s="383">
        <v>0</v>
      </c>
      <c r="AF88" s="383">
        <v>13924.265595049843</v>
      </c>
      <c r="AG88" s="383">
        <v>12805</v>
      </c>
      <c r="AH88" s="383">
        <v>11592</v>
      </c>
      <c r="AI88" s="383">
        <v>4700</v>
      </c>
      <c r="AJ88" s="383">
        <v>62</v>
      </c>
      <c r="AK88" s="383">
        <v>20000</v>
      </c>
      <c r="AL88" s="383">
        <v>3750</v>
      </c>
      <c r="AM88" s="383">
        <v>3500</v>
      </c>
      <c r="AN88" s="383">
        <v>15000</v>
      </c>
      <c r="AO88" s="383">
        <v>32000</v>
      </c>
      <c r="AP88" s="383">
        <v>23078</v>
      </c>
      <c r="AQ88" s="383">
        <v>6870</v>
      </c>
      <c r="AR88" s="383">
        <v>20050</v>
      </c>
      <c r="AS88" s="383">
        <v>39744</v>
      </c>
      <c r="AT88" s="383">
        <v>0</v>
      </c>
      <c r="AU88" s="383">
        <v>7260</v>
      </c>
      <c r="AV88" s="383">
        <v>6125</v>
      </c>
      <c r="AW88" s="383">
        <v>0</v>
      </c>
      <c r="AX88" s="383">
        <v>86302</v>
      </c>
      <c r="AY88" s="383">
        <v>0</v>
      </c>
      <c r="AZ88" s="383">
        <v>4334</v>
      </c>
      <c r="BA88" s="383">
        <v>14411</v>
      </c>
      <c r="BB88" s="383">
        <v>0</v>
      </c>
      <c r="BC88" s="383">
        <v>0</v>
      </c>
      <c r="BD88" s="383">
        <v>0</v>
      </c>
      <c r="BE88" s="383">
        <f t="shared" si="14"/>
        <v>1325128.9859421467</v>
      </c>
      <c r="BF88" s="383">
        <f t="shared" si="15"/>
        <v>-143543.61626292975</v>
      </c>
      <c r="BG88" s="383">
        <v>200219.07000000018</v>
      </c>
      <c r="BH88" s="383">
        <f t="shared" si="16"/>
        <v>56675.453737070435</v>
      </c>
      <c r="BI88" s="383">
        <v>204360</v>
      </c>
      <c r="BJ88" s="383">
        <v>27000</v>
      </c>
      <c r="BK88" s="383">
        <f t="shared" si="17"/>
        <v>231360</v>
      </c>
      <c r="BL88" s="383">
        <v>282787.93801061134</v>
      </c>
      <c r="BM88" s="383">
        <v>79924</v>
      </c>
      <c r="BN88" s="383">
        <f t="shared" si="18"/>
        <v>362711.93801061134</v>
      </c>
      <c r="BO88" s="383">
        <f t="shared" si="19"/>
        <v>-131351.93801061134</v>
      </c>
      <c r="BP88" s="383">
        <v>236700.22999999998</v>
      </c>
      <c r="BQ88" s="383">
        <f t="shared" si="20"/>
        <v>105348.29198938864</v>
      </c>
      <c r="BR88" s="383">
        <v>0</v>
      </c>
      <c r="BS88" s="383">
        <v>56675.453737070435</v>
      </c>
      <c r="BT88" s="383">
        <v>105348.29198938864</v>
      </c>
      <c r="BU88" s="383">
        <f t="shared" si="21"/>
        <v>162023.74572645908</v>
      </c>
      <c r="BV88" s="383">
        <v>6093</v>
      </c>
      <c r="BW88" s="383">
        <v>0</v>
      </c>
      <c r="BX88" s="383">
        <v>0</v>
      </c>
      <c r="BY88" s="383">
        <f t="shared" si="22"/>
        <v>6093</v>
      </c>
      <c r="BZ88" s="383">
        <v>0</v>
      </c>
      <c r="CA88" s="383">
        <v>6118.3</v>
      </c>
      <c r="CB88" s="383">
        <v>0</v>
      </c>
      <c r="CC88" s="383">
        <v>0</v>
      </c>
      <c r="CD88" s="383">
        <f t="shared" si="23"/>
        <v>6118.3</v>
      </c>
      <c r="CE88" s="383">
        <f t="shared" si="24"/>
        <v>-25.300000000000182</v>
      </c>
      <c r="CF88" s="383">
        <v>25.300000000000182</v>
      </c>
      <c r="CG88" s="383">
        <f t="shared" si="25"/>
        <v>0</v>
      </c>
      <c r="CH88" s="383">
        <f>VLOOKUP($B88,'Data - CFR 202526'!$B$4:$CJ$127,85,0)</f>
        <v>25.300000000000182</v>
      </c>
      <c r="CI88" s="383">
        <f>VLOOKUP($B88,'Data - CFR 202526'!$B$4:$CJ$127,86,0)</f>
        <v>0</v>
      </c>
      <c r="CJ88" s="383">
        <f>VLOOKUP($B88,'Data - CFR 202526'!$B$4:$CJ$127,87,0)</f>
        <v>25.300000000000182</v>
      </c>
    </row>
    <row r="89" spans="1:88" ht="13.8">
      <c r="A89" s="252" t="s">
        <v>1525</v>
      </c>
      <c r="B89" s="288">
        <v>2333</v>
      </c>
      <c r="C89" s="288" t="s">
        <v>789</v>
      </c>
      <c r="D89" s="248" t="s">
        <v>704</v>
      </c>
      <c r="E89" s="384"/>
      <c r="F89" s="383">
        <v>2001313.9311789321</v>
      </c>
      <c r="G89" s="383">
        <v>0</v>
      </c>
      <c r="H89" s="383">
        <v>143200</v>
      </c>
      <c r="I89" s="383">
        <v>0</v>
      </c>
      <c r="J89" s="383">
        <v>96830</v>
      </c>
      <c r="K89" s="383">
        <v>52941</v>
      </c>
      <c r="L89" s="383">
        <v>0</v>
      </c>
      <c r="M89" s="383">
        <v>80000</v>
      </c>
      <c r="N89" s="383">
        <v>67320</v>
      </c>
      <c r="O89" s="383">
        <v>0</v>
      </c>
      <c r="P89" s="383">
        <v>16000</v>
      </c>
      <c r="Q89" s="383">
        <v>0</v>
      </c>
      <c r="R89" s="383">
        <v>0</v>
      </c>
      <c r="S89" s="383">
        <v>0</v>
      </c>
      <c r="T89" s="383">
        <v>0</v>
      </c>
      <c r="U89" s="383">
        <v>0</v>
      </c>
      <c r="V89" s="383">
        <v>0</v>
      </c>
      <c r="W89" s="383">
        <v>0</v>
      </c>
      <c r="X89" s="383">
        <v>0</v>
      </c>
      <c r="Y89" s="383">
        <f t="shared" si="13"/>
        <v>2457604.9311789321</v>
      </c>
      <c r="Z89" s="383">
        <v>1207589.8588660455</v>
      </c>
      <c r="AA89" s="383">
        <v>0</v>
      </c>
      <c r="AB89" s="383">
        <v>467071.76584208215</v>
      </c>
      <c r="AC89" s="383">
        <v>78456.042282504131</v>
      </c>
      <c r="AD89" s="383">
        <v>108973.67019794423</v>
      </c>
      <c r="AE89" s="383">
        <v>0</v>
      </c>
      <c r="AF89" s="383">
        <v>87698.43567622274</v>
      </c>
      <c r="AG89" s="383">
        <v>1400</v>
      </c>
      <c r="AH89" s="383">
        <v>4000</v>
      </c>
      <c r="AI89" s="383">
        <v>10308</v>
      </c>
      <c r="AJ89" s="383">
        <v>0</v>
      </c>
      <c r="AK89" s="383">
        <v>18906</v>
      </c>
      <c r="AL89" s="383">
        <v>8500</v>
      </c>
      <c r="AM89" s="383">
        <v>5000</v>
      </c>
      <c r="AN89" s="383">
        <v>4000</v>
      </c>
      <c r="AO89" s="383">
        <v>35000</v>
      </c>
      <c r="AP89" s="383">
        <v>8967</v>
      </c>
      <c r="AQ89" s="383">
        <v>12450</v>
      </c>
      <c r="AR89" s="383">
        <v>25230</v>
      </c>
      <c r="AS89" s="383">
        <v>36159</v>
      </c>
      <c r="AT89" s="383">
        <v>0</v>
      </c>
      <c r="AU89" s="383">
        <v>12384</v>
      </c>
      <c r="AV89" s="383">
        <v>12300</v>
      </c>
      <c r="AW89" s="383">
        <v>0</v>
      </c>
      <c r="AX89" s="383">
        <v>86800</v>
      </c>
      <c r="AY89" s="383">
        <v>5000</v>
      </c>
      <c r="AZ89" s="383">
        <v>34950</v>
      </c>
      <c r="BA89" s="383">
        <v>17234</v>
      </c>
      <c r="BB89" s="383">
        <v>0</v>
      </c>
      <c r="BC89" s="383">
        <v>2632</v>
      </c>
      <c r="BD89" s="383">
        <v>4445</v>
      </c>
      <c r="BE89" s="383">
        <f t="shared" si="14"/>
        <v>2295454.7728647985</v>
      </c>
      <c r="BF89" s="383">
        <f t="shared" si="15"/>
        <v>162150.15831413353</v>
      </c>
      <c r="BG89" s="383">
        <v>8626.1699999996636</v>
      </c>
      <c r="BH89" s="383">
        <f t="shared" si="16"/>
        <v>170776.32831413319</v>
      </c>
      <c r="BI89" s="383">
        <v>97600</v>
      </c>
      <c r="BJ89" s="383">
        <v>87476</v>
      </c>
      <c r="BK89" s="383">
        <f t="shared" si="17"/>
        <v>185076</v>
      </c>
      <c r="BL89" s="383">
        <v>163244.3613404085</v>
      </c>
      <c r="BM89" s="383">
        <v>7225.5</v>
      </c>
      <c r="BN89" s="383">
        <f t="shared" si="18"/>
        <v>170469.8613404085</v>
      </c>
      <c r="BO89" s="383">
        <f t="shared" si="19"/>
        <v>14606.138659591496</v>
      </c>
      <c r="BP89" s="383">
        <v>123961.53999999998</v>
      </c>
      <c r="BQ89" s="383">
        <f t="shared" si="20"/>
        <v>138567.67865959147</v>
      </c>
      <c r="BR89" s="383">
        <v>0</v>
      </c>
      <c r="BS89" s="383">
        <v>170776.32831413319</v>
      </c>
      <c r="BT89" s="383">
        <v>138567.67865959147</v>
      </c>
      <c r="BU89" s="383">
        <f t="shared" si="21"/>
        <v>309344.0069737247</v>
      </c>
      <c r="BV89" s="383">
        <v>8185</v>
      </c>
      <c r="BW89" s="383">
        <v>0</v>
      </c>
      <c r="BX89" s="383">
        <v>0</v>
      </c>
      <c r="BY89" s="383">
        <f t="shared" si="22"/>
        <v>8185</v>
      </c>
      <c r="BZ89" s="383">
        <v>0</v>
      </c>
      <c r="CA89" s="383">
        <v>8185</v>
      </c>
      <c r="CB89" s="383">
        <v>0</v>
      </c>
      <c r="CC89" s="383">
        <v>1000</v>
      </c>
      <c r="CD89" s="383">
        <f t="shared" si="23"/>
        <v>9185</v>
      </c>
      <c r="CE89" s="383">
        <f t="shared" si="24"/>
        <v>-1000</v>
      </c>
      <c r="CF89" s="383">
        <v>28819.439999999995</v>
      </c>
      <c r="CG89" s="383">
        <f t="shared" si="25"/>
        <v>27819.439999999995</v>
      </c>
      <c r="CH89" s="383">
        <f>VLOOKUP($B89,'Data - CFR 202526'!$B$4:$CJ$127,85,0)</f>
        <v>28819.439999999988</v>
      </c>
      <c r="CI89" s="383">
        <f>VLOOKUP($B89,'Data - CFR 202526'!$B$4:$CJ$127,86,0)</f>
        <v>0</v>
      </c>
      <c r="CJ89" s="383">
        <f>VLOOKUP($B89,'Data - CFR 202526'!$B$4:$CJ$127,87,0)</f>
        <v>28819.439999999988</v>
      </c>
    </row>
    <row r="90" spans="1:88" ht="13.8">
      <c r="A90" s="252" t="s">
        <v>1525</v>
      </c>
      <c r="B90" s="288">
        <v>3946</v>
      </c>
      <c r="C90" s="288" t="s">
        <v>790</v>
      </c>
      <c r="D90" s="248" t="s">
        <v>704</v>
      </c>
      <c r="E90" s="384"/>
      <c r="F90" s="383">
        <v>1864708.1634395681</v>
      </c>
      <c r="G90" s="383">
        <v>0</v>
      </c>
      <c r="H90" s="383">
        <v>92000</v>
      </c>
      <c r="I90" s="383">
        <v>0</v>
      </c>
      <c r="J90" s="383">
        <v>107680</v>
      </c>
      <c r="K90" s="383">
        <v>57014</v>
      </c>
      <c r="L90" s="383">
        <v>0</v>
      </c>
      <c r="M90" s="383">
        <v>30000</v>
      </c>
      <c r="N90" s="383">
        <v>40294</v>
      </c>
      <c r="O90" s="383">
        <v>0</v>
      </c>
      <c r="P90" s="383">
        <v>0</v>
      </c>
      <c r="Q90" s="383">
        <v>0</v>
      </c>
      <c r="R90" s="383">
        <v>0</v>
      </c>
      <c r="S90" s="383">
        <v>0</v>
      </c>
      <c r="T90" s="383">
        <v>0</v>
      </c>
      <c r="U90" s="383">
        <v>0</v>
      </c>
      <c r="V90" s="383">
        <v>0</v>
      </c>
      <c r="W90" s="383">
        <v>0</v>
      </c>
      <c r="X90" s="383">
        <v>0</v>
      </c>
      <c r="Y90" s="383">
        <f t="shared" si="13"/>
        <v>2191696.1634395681</v>
      </c>
      <c r="Z90" s="383">
        <v>1024017.4592903268</v>
      </c>
      <c r="AA90" s="383">
        <v>3000</v>
      </c>
      <c r="AB90" s="383">
        <v>477468.48096796125</v>
      </c>
      <c r="AC90" s="383">
        <v>72400.891915686079</v>
      </c>
      <c r="AD90" s="383">
        <v>116989.31104944805</v>
      </c>
      <c r="AE90" s="383">
        <v>0</v>
      </c>
      <c r="AF90" s="383">
        <v>1701.8523595576924</v>
      </c>
      <c r="AG90" s="383">
        <v>990</v>
      </c>
      <c r="AH90" s="383">
        <v>4000</v>
      </c>
      <c r="AI90" s="383">
        <v>9500</v>
      </c>
      <c r="AJ90" s="383">
        <v>0</v>
      </c>
      <c r="AK90" s="383">
        <v>34500</v>
      </c>
      <c r="AL90" s="383">
        <v>11100</v>
      </c>
      <c r="AM90" s="383">
        <v>3000</v>
      </c>
      <c r="AN90" s="383">
        <v>5500</v>
      </c>
      <c r="AO90" s="383">
        <v>34250</v>
      </c>
      <c r="AP90" s="383">
        <v>16758</v>
      </c>
      <c r="AQ90" s="383">
        <v>8425</v>
      </c>
      <c r="AR90" s="383">
        <v>22340</v>
      </c>
      <c r="AS90" s="383">
        <v>30685</v>
      </c>
      <c r="AT90" s="383">
        <v>0</v>
      </c>
      <c r="AU90" s="383">
        <v>9057</v>
      </c>
      <c r="AV90" s="383">
        <v>11835</v>
      </c>
      <c r="AW90" s="383">
        <v>0</v>
      </c>
      <c r="AX90" s="383">
        <v>84711</v>
      </c>
      <c r="AY90" s="383">
        <v>47209.72</v>
      </c>
      <c r="AZ90" s="383">
        <v>43900</v>
      </c>
      <c r="BA90" s="383">
        <v>17635</v>
      </c>
      <c r="BB90" s="383">
        <v>0</v>
      </c>
      <c r="BC90" s="383">
        <v>2637</v>
      </c>
      <c r="BD90" s="383">
        <v>8657</v>
      </c>
      <c r="BE90" s="383">
        <f t="shared" si="14"/>
        <v>2102267.7155829798</v>
      </c>
      <c r="BF90" s="383">
        <f t="shared" si="15"/>
        <v>89428.447856588289</v>
      </c>
      <c r="BG90" s="383">
        <v>-468805.47999999893</v>
      </c>
      <c r="BH90" s="383">
        <f t="shared" si="16"/>
        <v>-379377.03214341064</v>
      </c>
      <c r="BI90" s="383">
        <v>271690.75</v>
      </c>
      <c r="BJ90" s="383">
        <v>151250</v>
      </c>
      <c r="BK90" s="383">
        <f t="shared" si="17"/>
        <v>422940.75</v>
      </c>
      <c r="BL90" s="383">
        <v>301700.99393566366</v>
      </c>
      <c r="BM90" s="383">
        <v>13281</v>
      </c>
      <c r="BN90" s="383">
        <f t="shared" si="18"/>
        <v>314981.99393566366</v>
      </c>
      <c r="BO90" s="383">
        <f t="shared" si="19"/>
        <v>107958.75606433634</v>
      </c>
      <c r="BP90" s="383">
        <v>104442.98999999999</v>
      </c>
      <c r="BQ90" s="383">
        <f t="shared" si="20"/>
        <v>212401.74606433633</v>
      </c>
      <c r="BR90" s="383">
        <v>0</v>
      </c>
      <c r="BS90" s="383">
        <v>-379377.03214341064</v>
      </c>
      <c r="BT90" s="383">
        <v>212401.74606433633</v>
      </c>
      <c r="BU90" s="383">
        <f t="shared" si="21"/>
        <v>-166975.28607907431</v>
      </c>
      <c r="BV90" s="383">
        <v>7690</v>
      </c>
      <c r="BW90" s="383">
        <v>0</v>
      </c>
      <c r="BX90" s="383">
        <v>0</v>
      </c>
      <c r="BY90" s="383">
        <f t="shared" si="22"/>
        <v>7690</v>
      </c>
      <c r="BZ90" s="383">
        <v>0</v>
      </c>
      <c r="CA90" s="383">
        <v>7690</v>
      </c>
      <c r="CB90" s="383">
        <v>0</v>
      </c>
      <c r="CC90" s="383">
        <v>6500</v>
      </c>
      <c r="CD90" s="383">
        <f t="shared" si="23"/>
        <v>14190</v>
      </c>
      <c r="CE90" s="383">
        <f t="shared" si="24"/>
        <v>-6500</v>
      </c>
      <c r="CF90" s="383">
        <v>42802.39</v>
      </c>
      <c r="CG90" s="383">
        <f t="shared" si="25"/>
        <v>36302.39</v>
      </c>
      <c r="CH90" s="383">
        <f>VLOOKUP($B90,'Data - CFR 202526'!$B$4:$CJ$127,85,0)</f>
        <v>42802.39</v>
      </c>
      <c r="CI90" s="383">
        <f>VLOOKUP($B90,'Data - CFR 202526'!$B$4:$CJ$127,86,0)</f>
        <v>0</v>
      </c>
      <c r="CJ90" s="383">
        <f>VLOOKUP($B90,'Data - CFR 202526'!$B$4:$CJ$127,87,0)</f>
        <v>42802.39</v>
      </c>
    </row>
    <row r="91" spans="1:88" ht="13.8">
      <c r="A91" s="252" t="s">
        <v>1525</v>
      </c>
      <c r="B91" s="288">
        <v>2453</v>
      </c>
      <c r="C91" s="288" t="s">
        <v>791</v>
      </c>
      <c r="D91" s="248" t="s">
        <v>704</v>
      </c>
      <c r="E91" s="384"/>
      <c r="F91" s="383">
        <v>1194945.2991588961</v>
      </c>
      <c r="G91" s="383">
        <v>0</v>
      </c>
      <c r="H91" s="383">
        <v>126905</v>
      </c>
      <c r="I91" s="383">
        <v>0</v>
      </c>
      <c r="J91" s="383">
        <v>62000</v>
      </c>
      <c r="K91" s="383">
        <v>52533</v>
      </c>
      <c r="L91" s="383">
        <v>0</v>
      </c>
      <c r="M91" s="383">
        <v>12000</v>
      </c>
      <c r="N91" s="383">
        <v>13200</v>
      </c>
      <c r="O91" s="383">
        <v>0</v>
      </c>
      <c r="P91" s="383">
        <v>0</v>
      </c>
      <c r="Q91" s="383">
        <v>0</v>
      </c>
      <c r="R91" s="383">
        <v>0</v>
      </c>
      <c r="S91" s="383">
        <v>0</v>
      </c>
      <c r="T91" s="383">
        <v>0</v>
      </c>
      <c r="U91" s="383">
        <v>0</v>
      </c>
      <c r="V91" s="383">
        <v>0</v>
      </c>
      <c r="W91" s="383">
        <v>0</v>
      </c>
      <c r="X91" s="383">
        <v>0</v>
      </c>
      <c r="Y91" s="383">
        <f t="shared" si="13"/>
        <v>1461583.2991588961</v>
      </c>
      <c r="Z91" s="383">
        <v>722682.51427810558</v>
      </c>
      <c r="AA91" s="383">
        <v>2000</v>
      </c>
      <c r="AB91" s="383">
        <v>283160.35852971871</v>
      </c>
      <c r="AC91" s="383">
        <v>3403.3431425673075</v>
      </c>
      <c r="AD91" s="383">
        <v>50676.425165464658</v>
      </c>
      <c r="AE91" s="383">
        <v>0</v>
      </c>
      <c r="AF91" s="383">
        <v>17840.005646450001</v>
      </c>
      <c r="AG91" s="383">
        <v>700</v>
      </c>
      <c r="AH91" s="383">
        <v>10000</v>
      </c>
      <c r="AI91" s="383">
        <v>5356</v>
      </c>
      <c r="AJ91" s="383">
        <v>1552</v>
      </c>
      <c r="AK91" s="383">
        <v>35000</v>
      </c>
      <c r="AL91" s="383">
        <v>1500</v>
      </c>
      <c r="AM91" s="383">
        <v>31000</v>
      </c>
      <c r="AN91" s="383">
        <v>4000</v>
      </c>
      <c r="AO91" s="383">
        <v>30000</v>
      </c>
      <c r="AP91" s="383">
        <v>7215</v>
      </c>
      <c r="AQ91" s="383">
        <v>8800</v>
      </c>
      <c r="AR91" s="383">
        <v>48945</v>
      </c>
      <c r="AS91" s="383">
        <v>51055</v>
      </c>
      <c r="AT91" s="383">
        <v>0</v>
      </c>
      <c r="AU91" s="383">
        <v>18750</v>
      </c>
      <c r="AV91" s="383">
        <v>6308</v>
      </c>
      <c r="AW91" s="383">
        <v>500</v>
      </c>
      <c r="AX91" s="383">
        <v>58273</v>
      </c>
      <c r="AY91" s="383">
        <v>0</v>
      </c>
      <c r="AZ91" s="383">
        <v>74260</v>
      </c>
      <c r="BA91" s="383">
        <v>44950.29</v>
      </c>
      <c r="BB91" s="383">
        <v>0</v>
      </c>
      <c r="BC91" s="383">
        <v>0</v>
      </c>
      <c r="BD91" s="383">
        <v>6741</v>
      </c>
      <c r="BE91" s="383">
        <f t="shared" si="14"/>
        <v>1524667.9367623064</v>
      </c>
      <c r="BF91" s="383">
        <f t="shared" si="15"/>
        <v>-63084.637603410287</v>
      </c>
      <c r="BG91" s="383">
        <v>189894.99000000037</v>
      </c>
      <c r="BH91" s="383">
        <f t="shared" si="16"/>
        <v>126810.35239659008</v>
      </c>
      <c r="BI91" s="383">
        <v>100000</v>
      </c>
      <c r="BJ91" s="383">
        <v>4500</v>
      </c>
      <c r="BK91" s="383">
        <f t="shared" si="17"/>
        <v>104500</v>
      </c>
      <c r="BL91" s="383">
        <v>114083.18756880637</v>
      </c>
      <c r="BM91" s="383">
        <v>1100</v>
      </c>
      <c r="BN91" s="383">
        <f t="shared" si="18"/>
        <v>115183.18756880637</v>
      </c>
      <c r="BO91" s="383">
        <f t="shared" si="19"/>
        <v>-10683.187568806374</v>
      </c>
      <c r="BP91" s="383">
        <v>5930.6600000000089</v>
      </c>
      <c r="BQ91" s="383">
        <f t="shared" si="20"/>
        <v>-4752.5275688063648</v>
      </c>
      <c r="BR91" s="383">
        <v>0</v>
      </c>
      <c r="BS91" s="383">
        <v>126810.35239659008</v>
      </c>
      <c r="BT91" s="383">
        <v>-4752.5275688063648</v>
      </c>
      <c r="BU91" s="383">
        <f t="shared" si="21"/>
        <v>122057.82482778371</v>
      </c>
      <c r="BV91" s="383">
        <v>6500</v>
      </c>
      <c r="BW91" s="383">
        <v>0</v>
      </c>
      <c r="BX91" s="383">
        <v>0</v>
      </c>
      <c r="BY91" s="383">
        <f t="shared" si="22"/>
        <v>6500</v>
      </c>
      <c r="BZ91" s="383">
        <v>0</v>
      </c>
      <c r="CA91" s="383">
        <v>6500</v>
      </c>
      <c r="CB91" s="383">
        <v>0</v>
      </c>
      <c r="CC91" s="383">
        <v>16039.07</v>
      </c>
      <c r="CD91" s="383">
        <f t="shared" si="23"/>
        <v>22539.07</v>
      </c>
      <c r="CE91" s="383">
        <f t="shared" si="24"/>
        <v>-16039.07</v>
      </c>
      <c r="CF91" s="383">
        <v>16039.07</v>
      </c>
      <c r="CG91" s="383">
        <f t="shared" si="25"/>
        <v>0</v>
      </c>
      <c r="CH91" s="383">
        <f>VLOOKUP($B91,'Data - CFR 202526'!$B$4:$CJ$127,85,0)</f>
        <v>16039.07</v>
      </c>
      <c r="CI91" s="383">
        <f>VLOOKUP($B91,'Data - CFR 202526'!$B$4:$CJ$127,86,0)</f>
        <v>0</v>
      </c>
      <c r="CJ91" s="383">
        <f>VLOOKUP($B91,'Data - CFR 202526'!$B$4:$CJ$127,87,0)</f>
        <v>16039.07</v>
      </c>
    </row>
    <row r="92" spans="1:88" ht="13.8">
      <c r="A92" s="252" t="s">
        <v>1525</v>
      </c>
      <c r="B92" s="288">
        <v>2070</v>
      </c>
      <c r="C92" s="288" t="s">
        <v>792</v>
      </c>
      <c r="D92" s="248" t="s">
        <v>704</v>
      </c>
      <c r="E92" s="384"/>
      <c r="F92" s="383">
        <v>1504106.4300770238</v>
      </c>
      <c r="G92" s="383">
        <v>0</v>
      </c>
      <c r="H92" s="383">
        <v>31585</v>
      </c>
      <c r="I92" s="383">
        <v>0</v>
      </c>
      <c r="J92" s="383">
        <v>80090</v>
      </c>
      <c r="K92" s="383">
        <v>56836</v>
      </c>
      <c r="L92" s="383">
        <v>0</v>
      </c>
      <c r="M92" s="383">
        <v>9000</v>
      </c>
      <c r="N92" s="383">
        <v>50450</v>
      </c>
      <c r="O92" s="383">
        <v>25700</v>
      </c>
      <c r="P92" s="383">
        <v>1320</v>
      </c>
      <c r="Q92" s="383">
        <v>0</v>
      </c>
      <c r="R92" s="383">
        <v>3000</v>
      </c>
      <c r="S92" s="383">
        <v>0</v>
      </c>
      <c r="T92" s="383">
        <v>0</v>
      </c>
      <c r="U92" s="383">
        <v>0</v>
      </c>
      <c r="V92" s="383">
        <v>0</v>
      </c>
      <c r="W92" s="383">
        <v>0</v>
      </c>
      <c r="X92" s="383">
        <v>0</v>
      </c>
      <c r="Y92" s="383">
        <f t="shared" si="13"/>
        <v>1762087.4300770238</v>
      </c>
      <c r="Z92" s="383">
        <v>975953.54268028948</v>
      </c>
      <c r="AA92" s="383">
        <v>5000</v>
      </c>
      <c r="AB92" s="383">
        <v>303442.04163465503</v>
      </c>
      <c r="AC92" s="383">
        <v>69333.160579485993</v>
      </c>
      <c r="AD92" s="383">
        <v>69200.226365883675</v>
      </c>
      <c r="AE92" s="383">
        <v>54137.938116413789</v>
      </c>
      <c r="AF92" s="383">
        <v>72531.806322646502</v>
      </c>
      <c r="AG92" s="383">
        <v>7000</v>
      </c>
      <c r="AH92" s="383">
        <v>28320</v>
      </c>
      <c r="AI92" s="383">
        <v>7072</v>
      </c>
      <c r="AJ92" s="383">
        <v>2500</v>
      </c>
      <c r="AK92" s="383">
        <v>8000</v>
      </c>
      <c r="AL92" s="383">
        <v>6880</v>
      </c>
      <c r="AM92" s="383">
        <v>4300</v>
      </c>
      <c r="AN92" s="383">
        <v>8800</v>
      </c>
      <c r="AO92" s="383">
        <v>19000</v>
      </c>
      <c r="AP92" s="383">
        <v>36353</v>
      </c>
      <c r="AQ92" s="383">
        <v>14484</v>
      </c>
      <c r="AR92" s="383">
        <v>28290</v>
      </c>
      <c r="AS92" s="383">
        <v>46872</v>
      </c>
      <c r="AT92" s="383">
        <v>0</v>
      </c>
      <c r="AU92" s="383">
        <v>11110</v>
      </c>
      <c r="AV92" s="383">
        <v>8206</v>
      </c>
      <c r="AW92" s="383">
        <v>2050</v>
      </c>
      <c r="AX92" s="383">
        <v>34000</v>
      </c>
      <c r="AY92" s="383">
        <v>10000</v>
      </c>
      <c r="AZ92" s="383">
        <v>10790</v>
      </c>
      <c r="BA92" s="383">
        <v>36438.79</v>
      </c>
      <c r="BB92" s="383">
        <v>0</v>
      </c>
      <c r="BC92" s="383">
        <v>488.16</v>
      </c>
      <c r="BD92" s="383">
        <v>1256.52</v>
      </c>
      <c r="BE92" s="383">
        <f t="shared" si="14"/>
        <v>1881809.1856993744</v>
      </c>
      <c r="BF92" s="383">
        <f t="shared" si="15"/>
        <v>-119721.75562235061</v>
      </c>
      <c r="BG92" s="383">
        <v>97643.719999999332</v>
      </c>
      <c r="BH92" s="383">
        <f t="shared" si="16"/>
        <v>-22078.035622351279</v>
      </c>
      <c r="BI92" s="383">
        <v>0</v>
      </c>
      <c r="BJ92" s="383">
        <v>0</v>
      </c>
      <c r="BK92" s="383">
        <f t="shared" si="17"/>
        <v>0</v>
      </c>
      <c r="BL92" s="383">
        <v>0</v>
      </c>
      <c r="BM92" s="383">
        <v>0</v>
      </c>
      <c r="BN92" s="383">
        <f t="shared" si="18"/>
        <v>0</v>
      </c>
      <c r="BO92" s="383">
        <f t="shared" si="19"/>
        <v>0</v>
      </c>
      <c r="BP92" s="383">
        <v>0</v>
      </c>
      <c r="BQ92" s="383">
        <f t="shared" si="20"/>
        <v>0</v>
      </c>
      <c r="BR92" s="383">
        <v>0</v>
      </c>
      <c r="BS92" s="383">
        <v>-22078.035622351279</v>
      </c>
      <c r="BT92" s="383">
        <v>0</v>
      </c>
      <c r="BU92" s="383">
        <f t="shared" si="21"/>
        <v>-22078.035622351279</v>
      </c>
      <c r="BV92" s="383">
        <v>7218</v>
      </c>
      <c r="BW92" s="383">
        <v>0</v>
      </c>
      <c r="BX92" s="383">
        <v>0</v>
      </c>
      <c r="BY92" s="383">
        <f t="shared" si="22"/>
        <v>7218</v>
      </c>
      <c r="BZ92" s="383">
        <v>0</v>
      </c>
      <c r="CA92" s="383">
        <v>5831.97</v>
      </c>
      <c r="CB92" s="383">
        <v>0</v>
      </c>
      <c r="CC92" s="383">
        <v>6000</v>
      </c>
      <c r="CD92" s="383">
        <f t="shared" si="23"/>
        <v>11831.970000000001</v>
      </c>
      <c r="CE92" s="383">
        <f t="shared" si="24"/>
        <v>-4613.9700000000012</v>
      </c>
      <c r="CF92" s="383">
        <v>4613.9699999999975</v>
      </c>
      <c r="CG92" s="383">
        <f t="shared" si="25"/>
        <v>0</v>
      </c>
      <c r="CH92" s="383">
        <f>VLOOKUP($B92,'Data - CFR 202526'!$B$4:$CJ$127,85,0)</f>
        <v>4613.9699999999975</v>
      </c>
      <c r="CI92" s="383">
        <f>VLOOKUP($B92,'Data - CFR 202526'!$B$4:$CJ$127,86,0)</f>
        <v>0</v>
      </c>
      <c r="CJ92" s="383">
        <f>VLOOKUP($B92,'Data - CFR 202526'!$B$4:$CJ$127,87,0)</f>
        <v>4613.9699999999975</v>
      </c>
    </row>
    <row r="93" spans="1:88" ht="13.8">
      <c r="A93" s="252" t="s">
        <v>1525</v>
      </c>
      <c r="B93" s="288">
        <v>7023</v>
      </c>
      <c r="C93" s="288" t="s">
        <v>793</v>
      </c>
      <c r="D93" s="248" t="s">
        <v>726</v>
      </c>
      <c r="E93" s="384"/>
      <c r="F93" s="383">
        <v>0</v>
      </c>
      <c r="G93" s="383">
        <v>0</v>
      </c>
      <c r="H93" s="383">
        <v>0</v>
      </c>
      <c r="I93" s="383">
        <v>0</v>
      </c>
      <c r="J93" s="383">
        <v>0</v>
      </c>
      <c r="K93" s="383">
        <v>0</v>
      </c>
      <c r="L93" s="383">
        <v>0</v>
      </c>
      <c r="M93" s="383">
        <v>0</v>
      </c>
      <c r="N93" s="383">
        <v>0</v>
      </c>
      <c r="O93" s="383">
        <v>0</v>
      </c>
      <c r="P93" s="383">
        <v>0</v>
      </c>
      <c r="Q93" s="383">
        <v>0</v>
      </c>
      <c r="R93" s="383">
        <v>0</v>
      </c>
      <c r="S93" s="383">
        <v>0</v>
      </c>
      <c r="T93" s="383">
        <v>0</v>
      </c>
      <c r="U93" s="383">
        <v>0</v>
      </c>
      <c r="V93" s="383">
        <v>0</v>
      </c>
      <c r="W93" s="383">
        <v>0</v>
      </c>
      <c r="X93" s="383">
        <v>0</v>
      </c>
      <c r="Y93" s="383">
        <f t="shared" si="13"/>
        <v>0</v>
      </c>
      <c r="Z93" s="383">
        <v>0</v>
      </c>
      <c r="AA93" s="383">
        <v>0</v>
      </c>
      <c r="AB93" s="383">
        <v>0</v>
      </c>
      <c r="AC93" s="383">
        <v>0</v>
      </c>
      <c r="AD93" s="383">
        <v>0</v>
      </c>
      <c r="AE93" s="383">
        <v>0</v>
      </c>
      <c r="AF93" s="383">
        <v>0</v>
      </c>
      <c r="AG93" s="383">
        <v>0</v>
      </c>
      <c r="AH93" s="383">
        <v>0</v>
      </c>
      <c r="AI93" s="383">
        <v>0</v>
      </c>
      <c r="AJ93" s="383">
        <v>0</v>
      </c>
      <c r="AK93" s="383">
        <v>0</v>
      </c>
      <c r="AL93" s="383">
        <v>0</v>
      </c>
      <c r="AM93" s="383">
        <v>0</v>
      </c>
      <c r="AN93" s="383">
        <v>0</v>
      </c>
      <c r="AO93" s="383">
        <v>0</v>
      </c>
      <c r="AP93" s="383">
        <v>0</v>
      </c>
      <c r="AQ93" s="383">
        <v>0</v>
      </c>
      <c r="AR93" s="383">
        <v>0</v>
      </c>
      <c r="AS93" s="383">
        <v>0</v>
      </c>
      <c r="AT93" s="383">
        <v>0</v>
      </c>
      <c r="AU93" s="383">
        <v>0</v>
      </c>
      <c r="AV93" s="383">
        <v>0</v>
      </c>
      <c r="AW93" s="383">
        <v>0</v>
      </c>
      <c r="AX93" s="383">
        <v>0</v>
      </c>
      <c r="AY93" s="383">
        <v>0</v>
      </c>
      <c r="AZ93" s="383">
        <v>0</v>
      </c>
      <c r="BA93" s="383">
        <v>0</v>
      </c>
      <c r="BB93" s="383">
        <v>0</v>
      </c>
      <c r="BC93" s="383">
        <v>0</v>
      </c>
      <c r="BD93" s="383">
        <v>0</v>
      </c>
      <c r="BE93" s="383">
        <f t="shared" si="14"/>
        <v>0</v>
      </c>
      <c r="BF93" s="383">
        <f t="shared" si="15"/>
        <v>0</v>
      </c>
      <c r="BG93" s="383">
        <v>0</v>
      </c>
      <c r="BH93" s="383">
        <f t="shared" si="16"/>
        <v>0</v>
      </c>
      <c r="BI93" s="383">
        <v>0</v>
      </c>
      <c r="BJ93" s="383">
        <v>0</v>
      </c>
      <c r="BK93" s="383">
        <f t="shared" si="17"/>
        <v>0</v>
      </c>
      <c r="BL93" s="383">
        <v>0</v>
      </c>
      <c r="BM93" s="383">
        <v>0</v>
      </c>
      <c r="BN93" s="383">
        <f t="shared" si="18"/>
        <v>0</v>
      </c>
      <c r="BO93" s="383">
        <f t="shared" si="19"/>
        <v>0</v>
      </c>
      <c r="BP93" s="383">
        <v>0</v>
      </c>
      <c r="BQ93" s="383">
        <f t="shared" si="20"/>
        <v>0</v>
      </c>
      <c r="BR93" s="383">
        <v>0</v>
      </c>
      <c r="BS93" s="383">
        <v>0</v>
      </c>
      <c r="BT93" s="383">
        <v>0</v>
      </c>
      <c r="BU93" s="383">
        <f t="shared" si="21"/>
        <v>0</v>
      </c>
      <c r="BV93" s="383">
        <v>0</v>
      </c>
      <c r="BW93" s="383">
        <v>0</v>
      </c>
      <c r="BX93" s="383">
        <v>0</v>
      </c>
      <c r="BY93" s="383">
        <f t="shared" si="22"/>
        <v>0</v>
      </c>
      <c r="BZ93" s="383">
        <v>0</v>
      </c>
      <c r="CA93" s="383">
        <v>0</v>
      </c>
      <c r="CB93" s="383">
        <v>0</v>
      </c>
      <c r="CC93" s="383">
        <v>0</v>
      </c>
      <c r="CD93" s="383">
        <f t="shared" si="23"/>
        <v>0</v>
      </c>
      <c r="CE93" s="383">
        <f t="shared" si="24"/>
        <v>0</v>
      </c>
      <c r="CF93" s="383">
        <v>0</v>
      </c>
      <c r="CG93" s="383">
        <f t="shared" si="25"/>
        <v>0</v>
      </c>
      <c r="CH93" s="383">
        <f>VLOOKUP($B93,'Data - CFR 202526'!$B$4:$CJ$127,85,0)</f>
        <v>0</v>
      </c>
      <c r="CI93" s="383">
        <f>VLOOKUP($B93,'Data - CFR 202526'!$B$4:$CJ$127,86,0)</f>
        <v>0</v>
      </c>
      <c r="CJ93" s="383">
        <f>VLOOKUP($B93,'Data - CFR 202526'!$B$4:$CJ$127,87,0)</f>
        <v>0</v>
      </c>
    </row>
    <row r="94" spans="1:88" ht="13.8">
      <c r="A94" s="252" t="s">
        <v>1525</v>
      </c>
      <c r="B94" s="288">
        <v>2255</v>
      </c>
      <c r="C94" s="288" t="s">
        <v>794</v>
      </c>
      <c r="D94" s="248" t="s">
        <v>704</v>
      </c>
      <c r="E94" s="384"/>
      <c r="F94" s="383">
        <v>1199879.1188584259</v>
      </c>
      <c r="G94" s="383">
        <v>0</v>
      </c>
      <c r="H94" s="383">
        <v>81453</v>
      </c>
      <c r="I94" s="383">
        <v>0</v>
      </c>
      <c r="J94" s="383">
        <v>62630</v>
      </c>
      <c r="K94" s="383">
        <v>80747</v>
      </c>
      <c r="L94" s="383">
        <v>0</v>
      </c>
      <c r="M94" s="383">
        <v>11000</v>
      </c>
      <c r="N94" s="383">
        <v>1000</v>
      </c>
      <c r="O94" s="383">
        <v>90</v>
      </c>
      <c r="P94" s="383">
        <v>0</v>
      </c>
      <c r="Q94" s="383">
        <v>0</v>
      </c>
      <c r="R94" s="383">
        <v>0</v>
      </c>
      <c r="S94" s="383">
        <v>0</v>
      </c>
      <c r="T94" s="383">
        <v>0</v>
      </c>
      <c r="U94" s="383">
        <v>0</v>
      </c>
      <c r="V94" s="383">
        <v>0</v>
      </c>
      <c r="W94" s="383">
        <v>0</v>
      </c>
      <c r="X94" s="383">
        <v>0</v>
      </c>
      <c r="Y94" s="383">
        <f t="shared" si="13"/>
        <v>1436799.1188584259</v>
      </c>
      <c r="Z94" s="383">
        <v>723871.81403866666</v>
      </c>
      <c r="AA94" s="383">
        <v>0</v>
      </c>
      <c r="AB94" s="383">
        <v>410327.96052903309</v>
      </c>
      <c r="AC94" s="383">
        <v>37481.714160549702</v>
      </c>
      <c r="AD94" s="383">
        <v>52556.767731660817</v>
      </c>
      <c r="AE94" s="383">
        <v>0</v>
      </c>
      <c r="AF94" s="383">
        <v>12853.000616293299</v>
      </c>
      <c r="AG94" s="383">
        <v>5345</v>
      </c>
      <c r="AH94" s="383">
        <v>5000</v>
      </c>
      <c r="AI94" s="383">
        <v>2189</v>
      </c>
      <c r="AJ94" s="383">
        <v>0</v>
      </c>
      <c r="AK94" s="383">
        <v>12000</v>
      </c>
      <c r="AL94" s="383">
        <v>3600</v>
      </c>
      <c r="AM94" s="383">
        <v>4000</v>
      </c>
      <c r="AN94" s="383">
        <v>2570</v>
      </c>
      <c r="AO94" s="383">
        <v>18000</v>
      </c>
      <c r="AP94" s="383">
        <v>17790.5</v>
      </c>
      <c r="AQ94" s="383">
        <v>2205</v>
      </c>
      <c r="AR94" s="383">
        <v>41642.75</v>
      </c>
      <c r="AS94" s="383">
        <v>24375</v>
      </c>
      <c r="AT94" s="383">
        <v>0</v>
      </c>
      <c r="AU94" s="383">
        <v>5347</v>
      </c>
      <c r="AV94" s="383">
        <v>6303.68</v>
      </c>
      <c r="AW94" s="383">
        <v>100</v>
      </c>
      <c r="AX94" s="383">
        <v>80750.649999999994</v>
      </c>
      <c r="AY94" s="383">
        <v>0</v>
      </c>
      <c r="AZ94" s="383">
        <v>13324</v>
      </c>
      <c r="BA94" s="383">
        <v>13406</v>
      </c>
      <c r="BB94" s="383">
        <v>0</v>
      </c>
      <c r="BC94" s="383">
        <v>0</v>
      </c>
      <c r="BD94" s="383">
        <v>0</v>
      </c>
      <c r="BE94" s="383">
        <f t="shared" si="14"/>
        <v>1495039.8370762034</v>
      </c>
      <c r="BF94" s="383">
        <f t="shared" si="15"/>
        <v>-58240.718217777554</v>
      </c>
      <c r="BG94" s="383">
        <v>183679.00999999995</v>
      </c>
      <c r="BH94" s="383">
        <f t="shared" si="16"/>
        <v>125438.2917822224</v>
      </c>
      <c r="BI94" s="383">
        <v>0</v>
      </c>
      <c r="BJ94" s="383">
        <v>0</v>
      </c>
      <c r="BK94" s="383">
        <f t="shared" si="17"/>
        <v>0</v>
      </c>
      <c r="BL94" s="383">
        <v>0</v>
      </c>
      <c r="BM94" s="383">
        <v>0</v>
      </c>
      <c r="BN94" s="383">
        <f t="shared" si="18"/>
        <v>0</v>
      </c>
      <c r="BO94" s="383">
        <f t="shared" si="19"/>
        <v>0</v>
      </c>
      <c r="BP94" s="383">
        <v>0</v>
      </c>
      <c r="BQ94" s="383">
        <f t="shared" si="20"/>
        <v>0</v>
      </c>
      <c r="BR94" s="383">
        <v>0</v>
      </c>
      <c r="BS94" s="383">
        <v>125438.2917822224</v>
      </c>
      <c r="BT94" s="383">
        <v>0</v>
      </c>
      <c r="BU94" s="383">
        <f t="shared" si="21"/>
        <v>125438.2917822224</v>
      </c>
      <c r="BV94" s="383">
        <v>6205</v>
      </c>
      <c r="BW94" s="383">
        <v>0</v>
      </c>
      <c r="BX94" s="383">
        <v>0</v>
      </c>
      <c r="BY94" s="383">
        <f t="shared" si="22"/>
        <v>6205</v>
      </c>
      <c r="BZ94" s="383">
        <v>0</v>
      </c>
      <c r="CA94" s="383">
        <v>5977.09</v>
      </c>
      <c r="CB94" s="383">
        <v>0</v>
      </c>
      <c r="CC94" s="383">
        <v>12355.63</v>
      </c>
      <c r="CD94" s="383">
        <f t="shared" si="23"/>
        <v>18332.72</v>
      </c>
      <c r="CE94" s="383">
        <f t="shared" si="24"/>
        <v>-12127.720000000001</v>
      </c>
      <c r="CF94" s="383">
        <v>12127.720000000001</v>
      </c>
      <c r="CG94" s="383">
        <f t="shared" si="25"/>
        <v>0</v>
      </c>
      <c r="CH94" s="383">
        <f>VLOOKUP($B94,'Data - CFR 202526'!$B$4:$CJ$127,85,0)</f>
        <v>6150.63</v>
      </c>
      <c r="CI94" s="383">
        <f>VLOOKUP($B94,'Data - CFR 202526'!$B$4:$CJ$127,86,0)</f>
        <v>5977.09</v>
      </c>
      <c r="CJ94" s="383">
        <f>VLOOKUP($B94,'Data - CFR 202526'!$B$4:$CJ$127,87,0)</f>
        <v>12127.720000000001</v>
      </c>
    </row>
    <row r="95" spans="1:88" ht="13.8">
      <c r="A95" s="252" t="s">
        <v>1525</v>
      </c>
      <c r="B95" s="288">
        <v>2115</v>
      </c>
      <c r="C95" s="288" t="s">
        <v>795</v>
      </c>
      <c r="D95" s="248" t="s">
        <v>704</v>
      </c>
      <c r="E95" s="384"/>
      <c r="F95" s="383">
        <v>2016651.7810912079</v>
      </c>
      <c r="G95" s="383">
        <v>0</v>
      </c>
      <c r="H95" s="383">
        <v>150000</v>
      </c>
      <c r="I95" s="383">
        <v>0</v>
      </c>
      <c r="J95" s="383">
        <v>204600</v>
      </c>
      <c r="K95" s="383">
        <v>49556</v>
      </c>
      <c r="L95" s="383">
        <v>0</v>
      </c>
      <c r="M95" s="383">
        <v>16500</v>
      </c>
      <c r="N95" s="383">
        <v>23900</v>
      </c>
      <c r="O95" s="383">
        <v>21300</v>
      </c>
      <c r="P95" s="383">
        <v>0</v>
      </c>
      <c r="Q95" s="383">
        <v>0</v>
      </c>
      <c r="R95" s="383">
        <v>7000</v>
      </c>
      <c r="S95" s="383">
        <v>0</v>
      </c>
      <c r="T95" s="383">
        <v>0</v>
      </c>
      <c r="U95" s="383">
        <v>0</v>
      </c>
      <c r="V95" s="383">
        <v>0</v>
      </c>
      <c r="W95" s="383">
        <v>0</v>
      </c>
      <c r="X95" s="383">
        <v>0</v>
      </c>
      <c r="Y95" s="383">
        <f t="shared" si="13"/>
        <v>2489507.7810912076</v>
      </c>
      <c r="Z95" s="383">
        <v>1078372.0002651224</v>
      </c>
      <c r="AA95" s="383">
        <v>10000</v>
      </c>
      <c r="AB95" s="383">
        <v>486004.04242488707</v>
      </c>
      <c r="AC95" s="383">
        <v>73805.484261615376</v>
      </c>
      <c r="AD95" s="383">
        <v>169008.75630337239</v>
      </c>
      <c r="AE95" s="383">
        <v>0</v>
      </c>
      <c r="AF95" s="383">
        <v>43522.280533777775</v>
      </c>
      <c r="AG95" s="383">
        <v>9243</v>
      </c>
      <c r="AH95" s="383">
        <v>2000</v>
      </c>
      <c r="AI95" s="383">
        <v>9000</v>
      </c>
      <c r="AJ95" s="383">
        <v>0</v>
      </c>
      <c r="AK95" s="383">
        <v>23750</v>
      </c>
      <c r="AL95" s="383">
        <v>3135</v>
      </c>
      <c r="AM95" s="383">
        <v>3800</v>
      </c>
      <c r="AN95" s="383">
        <v>10450</v>
      </c>
      <c r="AO95" s="383">
        <v>59375</v>
      </c>
      <c r="AP95" s="383">
        <v>67155</v>
      </c>
      <c r="AQ95" s="383">
        <v>73260.42</v>
      </c>
      <c r="AR95" s="383">
        <v>25200</v>
      </c>
      <c r="AS95" s="383">
        <v>57100</v>
      </c>
      <c r="AT95" s="383">
        <v>0</v>
      </c>
      <c r="AU95" s="383">
        <v>96815</v>
      </c>
      <c r="AV95" s="383">
        <v>8874.98</v>
      </c>
      <c r="AW95" s="383">
        <v>0</v>
      </c>
      <c r="AX95" s="383">
        <v>117100</v>
      </c>
      <c r="AY95" s="383">
        <v>0</v>
      </c>
      <c r="AZ95" s="383">
        <v>9255</v>
      </c>
      <c r="BA95" s="383">
        <v>124117.73</v>
      </c>
      <c r="BB95" s="383">
        <v>0</v>
      </c>
      <c r="BC95" s="383">
        <v>0</v>
      </c>
      <c r="BD95" s="383">
        <v>19907</v>
      </c>
      <c r="BE95" s="383">
        <f t="shared" si="14"/>
        <v>2580250.6937887748</v>
      </c>
      <c r="BF95" s="383">
        <f t="shared" si="15"/>
        <v>-90742.912697567139</v>
      </c>
      <c r="BG95" s="383">
        <v>-254765.49000000078</v>
      </c>
      <c r="BH95" s="383">
        <f t="shared" si="16"/>
        <v>-345508.40269756794</v>
      </c>
      <c r="BI95" s="383">
        <v>105000</v>
      </c>
      <c r="BJ95" s="383">
        <v>2500</v>
      </c>
      <c r="BK95" s="383">
        <f t="shared" si="17"/>
        <v>107500</v>
      </c>
      <c r="BL95" s="383">
        <v>108755.32211888593</v>
      </c>
      <c r="BM95" s="383">
        <v>13291.1</v>
      </c>
      <c r="BN95" s="383">
        <f t="shared" si="18"/>
        <v>122046.42211888594</v>
      </c>
      <c r="BO95" s="383">
        <f t="shared" si="19"/>
        <v>-14546.422118885937</v>
      </c>
      <c r="BP95" s="383">
        <v>19217.069999999978</v>
      </c>
      <c r="BQ95" s="383">
        <f t="shared" si="20"/>
        <v>4670.6478811140405</v>
      </c>
      <c r="BR95" s="383">
        <v>0</v>
      </c>
      <c r="BS95" s="383">
        <v>-345508.40269756794</v>
      </c>
      <c r="BT95" s="383">
        <v>4670.6478811140405</v>
      </c>
      <c r="BU95" s="383">
        <f t="shared" si="21"/>
        <v>-340837.7548164539</v>
      </c>
      <c r="BV95" s="383">
        <v>7510</v>
      </c>
      <c r="BW95" s="383">
        <v>0</v>
      </c>
      <c r="BX95" s="383">
        <v>0</v>
      </c>
      <c r="BY95" s="383">
        <f t="shared" si="22"/>
        <v>7510</v>
      </c>
      <c r="BZ95" s="383">
        <v>0</v>
      </c>
      <c r="CA95" s="383">
        <v>8624.67</v>
      </c>
      <c r="CB95" s="383">
        <v>0</v>
      </c>
      <c r="CC95" s="383">
        <v>4000</v>
      </c>
      <c r="CD95" s="383">
        <f t="shared" si="23"/>
        <v>12624.67</v>
      </c>
      <c r="CE95" s="383">
        <f t="shared" si="24"/>
        <v>-5114.67</v>
      </c>
      <c r="CF95" s="383">
        <v>5114.670000000001</v>
      </c>
      <c r="CG95" s="383">
        <f t="shared" si="25"/>
        <v>0</v>
      </c>
      <c r="CH95" s="383">
        <f>VLOOKUP($B95,'Data - CFR 202526'!$B$4:$CJ$127,85,0)</f>
        <v>5114.670000000001</v>
      </c>
      <c r="CI95" s="383">
        <f>VLOOKUP($B95,'Data - CFR 202526'!$B$4:$CJ$127,86,0)</f>
        <v>0</v>
      </c>
      <c r="CJ95" s="383">
        <f>VLOOKUP($B95,'Data - CFR 202526'!$B$4:$CJ$127,87,0)</f>
        <v>5114.670000000001</v>
      </c>
    </row>
    <row r="96" spans="1:88" ht="13.8">
      <c r="A96" s="252" t="s">
        <v>1525</v>
      </c>
      <c r="B96" s="288">
        <v>2329</v>
      </c>
      <c r="C96" s="288" t="s">
        <v>796</v>
      </c>
      <c r="D96" s="248" t="s">
        <v>704</v>
      </c>
      <c r="E96" s="384"/>
      <c r="F96" s="383">
        <v>1198175.4017749601</v>
      </c>
      <c r="G96" s="383">
        <v>0</v>
      </c>
      <c r="H96" s="383">
        <v>381557.05</v>
      </c>
      <c r="I96" s="383">
        <v>0</v>
      </c>
      <c r="J96" s="383">
        <v>94550</v>
      </c>
      <c r="K96" s="383">
        <v>52749</v>
      </c>
      <c r="L96" s="383">
        <v>0</v>
      </c>
      <c r="M96" s="383">
        <v>40000</v>
      </c>
      <c r="N96" s="383">
        <v>14260.87</v>
      </c>
      <c r="O96" s="383">
        <v>6500</v>
      </c>
      <c r="P96" s="383">
        <v>0</v>
      </c>
      <c r="Q96" s="383">
        <v>0</v>
      </c>
      <c r="R96" s="383">
        <v>0</v>
      </c>
      <c r="S96" s="383">
        <v>0</v>
      </c>
      <c r="T96" s="383">
        <v>0</v>
      </c>
      <c r="U96" s="383">
        <v>0</v>
      </c>
      <c r="V96" s="383">
        <v>0</v>
      </c>
      <c r="W96" s="383">
        <v>0</v>
      </c>
      <c r="X96" s="383">
        <v>0</v>
      </c>
      <c r="Y96" s="383">
        <f t="shared" si="13"/>
        <v>1787792.3217749603</v>
      </c>
      <c r="Z96" s="383">
        <v>688806.45556841663</v>
      </c>
      <c r="AA96" s="383">
        <v>0</v>
      </c>
      <c r="AB96" s="383">
        <v>554833.04593993479</v>
      </c>
      <c r="AC96" s="383">
        <v>70800.26065407737</v>
      </c>
      <c r="AD96" s="383">
        <v>82352.309031381374</v>
      </c>
      <c r="AE96" s="383">
        <v>42020.906381379806</v>
      </c>
      <c r="AF96" s="383">
        <v>22764.690555905938</v>
      </c>
      <c r="AG96" s="383">
        <v>7196</v>
      </c>
      <c r="AH96" s="383">
        <v>4000</v>
      </c>
      <c r="AI96" s="383">
        <v>3625</v>
      </c>
      <c r="AJ96" s="383">
        <v>405</v>
      </c>
      <c r="AK96" s="383">
        <v>15000</v>
      </c>
      <c r="AL96" s="383">
        <v>1300</v>
      </c>
      <c r="AM96" s="383">
        <v>4000</v>
      </c>
      <c r="AN96" s="383">
        <v>5500</v>
      </c>
      <c r="AO96" s="383">
        <v>36000</v>
      </c>
      <c r="AP96" s="383">
        <v>42630</v>
      </c>
      <c r="AQ96" s="383">
        <v>13370</v>
      </c>
      <c r="AR96" s="383">
        <v>17718.260000000002</v>
      </c>
      <c r="AS96" s="383">
        <v>34015</v>
      </c>
      <c r="AT96" s="383">
        <v>0</v>
      </c>
      <c r="AU96" s="383">
        <v>7047</v>
      </c>
      <c r="AV96" s="383">
        <v>4500</v>
      </c>
      <c r="AW96" s="383">
        <v>0</v>
      </c>
      <c r="AX96" s="383">
        <v>24000</v>
      </c>
      <c r="AY96" s="383">
        <v>5500</v>
      </c>
      <c r="AZ96" s="383">
        <v>13150</v>
      </c>
      <c r="BA96" s="383">
        <v>10387.619999999999</v>
      </c>
      <c r="BB96" s="383">
        <v>0</v>
      </c>
      <c r="BC96" s="383">
        <v>0</v>
      </c>
      <c r="BD96" s="383">
        <v>26636</v>
      </c>
      <c r="BE96" s="383">
        <f t="shared" si="14"/>
        <v>1737557.5481310959</v>
      </c>
      <c r="BF96" s="383">
        <f t="shared" si="15"/>
        <v>50234.773643864319</v>
      </c>
      <c r="BG96" s="383">
        <v>-28723.149999999761</v>
      </c>
      <c r="BH96" s="383">
        <f t="shared" si="16"/>
        <v>21511.623643864557</v>
      </c>
      <c r="BI96" s="383">
        <v>250000</v>
      </c>
      <c r="BJ96" s="383">
        <v>16000</v>
      </c>
      <c r="BK96" s="383">
        <f t="shared" si="17"/>
        <v>266000</v>
      </c>
      <c r="BL96" s="383">
        <v>207738.41261506896</v>
      </c>
      <c r="BM96" s="383">
        <v>21300</v>
      </c>
      <c r="BN96" s="383">
        <f t="shared" si="18"/>
        <v>229038.41261506896</v>
      </c>
      <c r="BO96" s="383">
        <f t="shared" si="19"/>
        <v>36961.587384931045</v>
      </c>
      <c r="BP96" s="383">
        <v>-1745.3500000000495</v>
      </c>
      <c r="BQ96" s="383">
        <f t="shared" si="20"/>
        <v>35216.237384930995</v>
      </c>
      <c r="BR96" s="383">
        <v>0</v>
      </c>
      <c r="BS96" s="383">
        <v>21511.623643864557</v>
      </c>
      <c r="BT96" s="383">
        <v>35216.237384930995</v>
      </c>
      <c r="BU96" s="383">
        <f t="shared" si="21"/>
        <v>56727.861028795553</v>
      </c>
      <c r="BV96" s="383">
        <v>5541</v>
      </c>
      <c r="BW96" s="383">
        <v>0</v>
      </c>
      <c r="BX96" s="383">
        <v>16636</v>
      </c>
      <c r="BY96" s="383">
        <f t="shared" si="22"/>
        <v>22177</v>
      </c>
      <c r="BZ96" s="383">
        <v>0</v>
      </c>
      <c r="CA96" s="383">
        <v>16757</v>
      </c>
      <c r="CB96" s="383">
        <v>0</v>
      </c>
      <c r="CC96" s="383">
        <v>5420</v>
      </c>
      <c r="CD96" s="383">
        <f t="shared" si="23"/>
        <v>22177</v>
      </c>
      <c r="CE96" s="383">
        <f t="shared" si="24"/>
        <v>0</v>
      </c>
      <c r="CF96" s="383">
        <v>0</v>
      </c>
      <c r="CG96" s="383">
        <f t="shared" si="25"/>
        <v>0</v>
      </c>
      <c r="CH96" s="383">
        <f>VLOOKUP($B96,'Data - CFR 202526'!$B$4:$CJ$127,85,0)</f>
        <v>0</v>
      </c>
      <c r="CI96" s="383">
        <f>VLOOKUP($B96,'Data - CFR 202526'!$B$4:$CJ$127,86,0)</f>
        <v>0</v>
      </c>
      <c r="CJ96" s="383">
        <f>VLOOKUP($B96,'Data - CFR 202526'!$B$4:$CJ$127,87,0)</f>
        <v>0</v>
      </c>
    </row>
    <row r="97" spans="1:88" ht="13.8">
      <c r="A97" s="252" t="s">
        <v>1525</v>
      </c>
      <c r="B97" s="288">
        <v>3384</v>
      </c>
      <c r="C97" s="288" t="s">
        <v>797</v>
      </c>
      <c r="D97" s="248" t="s">
        <v>704</v>
      </c>
      <c r="E97" s="384"/>
      <c r="F97" s="383">
        <v>1170712.085661504</v>
      </c>
      <c r="G97" s="383">
        <v>0</v>
      </c>
      <c r="H97" s="383">
        <v>17480.2</v>
      </c>
      <c r="I97" s="383">
        <v>0</v>
      </c>
      <c r="J97" s="383">
        <v>54560</v>
      </c>
      <c r="K97" s="383">
        <v>53505</v>
      </c>
      <c r="L97" s="383">
        <v>0</v>
      </c>
      <c r="M97" s="383">
        <v>3350</v>
      </c>
      <c r="N97" s="383">
        <v>45000</v>
      </c>
      <c r="O97" s="383">
        <v>22850</v>
      </c>
      <c r="P97" s="383">
        <v>0</v>
      </c>
      <c r="Q97" s="383">
        <v>0</v>
      </c>
      <c r="R97" s="383">
        <v>21000</v>
      </c>
      <c r="S97" s="383">
        <v>0</v>
      </c>
      <c r="T97" s="383">
        <v>0</v>
      </c>
      <c r="U97" s="383">
        <v>0</v>
      </c>
      <c r="V97" s="383">
        <v>0</v>
      </c>
      <c r="W97" s="383">
        <v>0</v>
      </c>
      <c r="X97" s="383">
        <v>0</v>
      </c>
      <c r="Y97" s="383">
        <f t="shared" si="13"/>
        <v>1388457.2856615039</v>
      </c>
      <c r="Z97" s="383">
        <v>691106.78358725784</v>
      </c>
      <c r="AA97" s="383">
        <v>19000</v>
      </c>
      <c r="AB97" s="383">
        <v>256848.18440279941</v>
      </c>
      <c r="AC97" s="383">
        <v>32041.58003245842</v>
      </c>
      <c r="AD97" s="383">
        <v>59544.183872546775</v>
      </c>
      <c r="AE97" s="383">
        <v>36841.792895666869</v>
      </c>
      <c r="AF97" s="383">
        <v>36934.876939178779</v>
      </c>
      <c r="AG97" s="383">
        <v>740</v>
      </c>
      <c r="AH97" s="383">
        <v>3000</v>
      </c>
      <c r="AI97" s="383">
        <v>2731</v>
      </c>
      <c r="AJ97" s="383">
        <v>0</v>
      </c>
      <c r="AK97" s="383">
        <v>5000</v>
      </c>
      <c r="AL97" s="383">
        <v>4500</v>
      </c>
      <c r="AM97" s="383">
        <v>7180</v>
      </c>
      <c r="AN97" s="383">
        <v>4327</v>
      </c>
      <c r="AO97" s="383">
        <v>17500</v>
      </c>
      <c r="AP97" s="383">
        <v>7301</v>
      </c>
      <c r="AQ97" s="383">
        <v>5375.45</v>
      </c>
      <c r="AR97" s="383">
        <v>35800</v>
      </c>
      <c r="AS97" s="383">
        <v>32000</v>
      </c>
      <c r="AT97" s="383">
        <v>0</v>
      </c>
      <c r="AU97" s="383">
        <v>12650</v>
      </c>
      <c r="AV97" s="383">
        <v>6053</v>
      </c>
      <c r="AW97" s="383">
        <v>0</v>
      </c>
      <c r="AX97" s="383">
        <v>31600</v>
      </c>
      <c r="AY97" s="383">
        <v>1500</v>
      </c>
      <c r="AZ97" s="383">
        <v>5700</v>
      </c>
      <c r="BA97" s="383">
        <v>14810</v>
      </c>
      <c r="BB97" s="383">
        <v>0</v>
      </c>
      <c r="BC97" s="383">
        <v>0</v>
      </c>
      <c r="BD97" s="383">
        <v>0</v>
      </c>
      <c r="BE97" s="383">
        <f t="shared" si="14"/>
        <v>1330084.851729908</v>
      </c>
      <c r="BF97" s="383">
        <f t="shared" si="15"/>
        <v>58372.433931595879</v>
      </c>
      <c r="BG97" s="383">
        <v>-96157.499999999447</v>
      </c>
      <c r="BH97" s="383">
        <f t="shared" si="16"/>
        <v>-37785.066068403568</v>
      </c>
      <c r="BI97" s="383">
        <v>0</v>
      </c>
      <c r="BJ97" s="383">
        <v>0</v>
      </c>
      <c r="BK97" s="383">
        <f t="shared" si="17"/>
        <v>0</v>
      </c>
      <c r="BL97" s="383">
        <v>0</v>
      </c>
      <c r="BM97" s="383">
        <v>0</v>
      </c>
      <c r="BN97" s="383">
        <f t="shared" si="18"/>
        <v>0</v>
      </c>
      <c r="BO97" s="383">
        <f t="shared" si="19"/>
        <v>0</v>
      </c>
      <c r="BP97" s="383">
        <v>0</v>
      </c>
      <c r="BQ97" s="383">
        <f t="shared" si="20"/>
        <v>0</v>
      </c>
      <c r="BR97" s="383">
        <v>0</v>
      </c>
      <c r="BS97" s="383">
        <v>-37785.066068403568</v>
      </c>
      <c r="BT97" s="383">
        <v>0</v>
      </c>
      <c r="BU97" s="383">
        <f t="shared" si="21"/>
        <v>-37785.066068403568</v>
      </c>
      <c r="BV97" s="383">
        <v>0</v>
      </c>
      <c r="BW97" s="383">
        <v>0</v>
      </c>
      <c r="BX97" s="383">
        <v>0</v>
      </c>
      <c r="BY97" s="383">
        <f t="shared" si="22"/>
        <v>0</v>
      </c>
      <c r="BZ97" s="383">
        <v>0</v>
      </c>
      <c r="CA97" s="383">
        <v>0</v>
      </c>
      <c r="CB97" s="383">
        <v>0</v>
      </c>
      <c r="CC97" s="383">
        <v>0</v>
      </c>
      <c r="CD97" s="383">
        <f t="shared" si="23"/>
        <v>0</v>
      </c>
      <c r="CE97" s="383">
        <f t="shared" si="24"/>
        <v>0</v>
      </c>
      <c r="CF97" s="383">
        <v>0</v>
      </c>
      <c r="CG97" s="383">
        <f t="shared" si="25"/>
        <v>0</v>
      </c>
      <c r="CH97" s="383">
        <f>VLOOKUP($B97,'Data - CFR 202526'!$B$4:$CJ$127,85,0)</f>
        <v>0</v>
      </c>
      <c r="CI97" s="383">
        <f>VLOOKUP($B97,'Data - CFR 202526'!$B$4:$CJ$127,86,0)</f>
        <v>0</v>
      </c>
      <c r="CJ97" s="383">
        <f>VLOOKUP($B97,'Data - CFR 202526'!$B$4:$CJ$127,87,0)</f>
        <v>0</v>
      </c>
    </row>
    <row r="98" spans="1:88" ht="13.8">
      <c r="A98" s="252" t="s">
        <v>1525</v>
      </c>
      <c r="B98" s="288">
        <v>5200</v>
      </c>
      <c r="C98" s="288" t="s">
        <v>798</v>
      </c>
      <c r="D98" s="248" t="s">
        <v>799</v>
      </c>
      <c r="E98" s="384"/>
      <c r="F98" s="383">
        <v>1024338.19</v>
      </c>
      <c r="G98" s="383">
        <v>0</v>
      </c>
      <c r="H98" s="383">
        <v>40492.75</v>
      </c>
      <c r="I98" s="383">
        <v>0</v>
      </c>
      <c r="J98" s="383">
        <v>37870</v>
      </c>
      <c r="K98" s="383">
        <v>54165</v>
      </c>
      <c r="L98" s="383">
        <v>0</v>
      </c>
      <c r="M98" s="383">
        <v>26500</v>
      </c>
      <c r="N98" s="383">
        <v>8668</v>
      </c>
      <c r="O98" s="383">
        <v>0</v>
      </c>
      <c r="P98" s="383">
        <v>0</v>
      </c>
      <c r="Q98" s="383">
        <v>0</v>
      </c>
      <c r="R98" s="383">
        <v>21800</v>
      </c>
      <c r="S98" s="383">
        <v>0</v>
      </c>
      <c r="T98" s="383">
        <v>0</v>
      </c>
      <c r="U98" s="383">
        <v>0</v>
      </c>
      <c r="V98" s="383">
        <v>0</v>
      </c>
      <c r="W98" s="383">
        <v>0</v>
      </c>
      <c r="X98" s="383">
        <v>0</v>
      </c>
      <c r="Y98" s="383">
        <f t="shared" si="13"/>
        <v>1213833.94</v>
      </c>
      <c r="Z98" s="383">
        <v>656577.56000000006</v>
      </c>
      <c r="AA98" s="383">
        <v>3848</v>
      </c>
      <c r="AB98" s="383">
        <v>211518.39</v>
      </c>
      <c r="AC98" s="383">
        <v>31415.02</v>
      </c>
      <c r="AD98" s="383">
        <v>59007.93</v>
      </c>
      <c r="AE98" s="383">
        <v>0</v>
      </c>
      <c r="AF98" s="383">
        <v>21913.759999999998</v>
      </c>
      <c r="AG98" s="383">
        <v>250</v>
      </c>
      <c r="AH98" s="383">
        <v>11780</v>
      </c>
      <c r="AI98" s="383">
        <v>5281.82</v>
      </c>
      <c r="AJ98" s="383">
        <v>0</v>
      </c>
      <c r="AK98" s="383">
        <v>6500</v>
      </c>
      <c r="AL98" s="383">
        <v>3540</v>
      </c>
      <c r="AM98" s="383">
        <v>2000</v>
      </c>
      <c r="AN98" s="383">
        <v>3400</v>
      </c>
      <c r="AO98" s="383">
        <v>18500</v>
      </c>
      <c r="AP98" s="383">
        <v>3734.9</v>
      </c>
      <c r="AQ98" s="383">
        <v>9559.16</v>
      </c>
      <c r="AR98" s="383">
        <v>61139.98</v>
      </c>
      <c r="AS98" s="383">
        <v>25299.040000000001</v>
      </c>
      <c r="AT98" s="383">
        <v>0</v>
      </c>
      <c r="AU98" s="383">
        <v>2710</v>
      </c>
      <c r="AV98" s="383">
        <v>6520.95</v>
      </c>
      <c r="AW98" s="383">
        <v>0</v>
      </c>
      <c r="AX98" s="383">
        <v>46858</v>
      </c>
      <c r="AY98" s="383">
        <v>6000</v>
      </c>
      <c r="AZ98" s="383">
        <v>480</v>
      </c>
      <c r="BA98" s="383">
        <v>15908.55</v>
      </c>
      <c r="BB98" s="383">
        <v>0</v>
      </c>
      <c r="BC98" s="383">
        <v>0</v>
      </c>
      <c r="BD98" s="383">
        <v>0</v>
      </c>
      <c r="BE98" s="383">
        <f t="shared" si="14"/>
        <v>1213743.06</v>
      </c>
      <c r="BF98" s="383">
        <f t="shared" si="15"/>
        <v>90.879999999888241</v>
      </c>
      <c r="BG98" s="383">
        <v>-94160.459999999919</v>
      </c>
      <c r="BH98" s="383">
        <f t="shared" si="16"/>
        <v>-94069.580000000031</v>
      </c>
      <c r="BI98" s="383">
        <v>0</v>
      </c>
      <c r="BJ98" s="383">
        <v>0</v>
      </c>
      <c r="BK98" s="383">
        <f t="shared" si="17"/>
        <v>0</v>
      </c>
      <c r="BL98" s="383">
        <v>0</v>
      </c>
      <c r="BM98" s="383">
        <v>0</v>
      </c>
      <c r="BN98" s="383">
        <f t="shared" si="18"/>
        <v>0</v>
      </c>
      <c r="BO98" s="383">
        <f t="shared" si="19"/>
        <v>0</v>
      </c>
      <c r="BP98" s="383">
        <v>0</v>
      </c>
      <c r="BQ98" s="383">
        <f t="shared" si="20"/>
        <v>0</v>
      </c>
      <c r="BR98" s="383">
        <v>0</v>
      </c>
      <c r="BS98" s="383">
        <v>-94069.580000000031</v>
      </c>
      <c r="BT98" s="383">
        <v>0</v>
      </c>
      <c r="BU98" s="383">
        <f t="shared" si="21"/>
        <v>-94069.580000000031</v>
      </c>
      <c r="BV98" s="383">
        <v>6115</v>
      </c>
      <c r="BW98" s="383">
        <v>0</v>
      </c>
      <c r="BX98" s="383">
        <v>0</v>
      </c>
      <c r="BY98" s="383">
        <f t="shared" si="22"/>
        <v>6115</v>
      </c>
      <c r="BZ98" s="383">
        <v>0</v>
      </c>
      <c r="CA98" s="383">
        <v>15378.25</v>
      </c>
      <c r="CB98" s="383">
        <v>0</v>
      </c>
      <c r="CC98" s="383">
        <v>0</v>
      </c>
      <c r="CD98" s="383">
        <f t="shared" si="23"/>
        <v>15378.25</v>
      </c>
      <c r="CE98" s="383">
        <f t="shared" si="24"/>
        <v>-9263.25</v>
      </c>
      <c r="CF98" s="383">
        <v>9263.25</v>
      </c>
      <c r="CG98" s="383">
        <f t="shared" si="25"/>
        <v>0</v>
      </c>
      <c r="CH98" s="383">
        <f>VLOOKUP($B98,'Data - CFR 202526'!$B$4:$CJ$127,85,0)</f>
        <v>8302.8399999999965</v>
      </c>
      <c r="CI98" s="383">
        <f>VLOOKUP($B98,'Data - CFR 202526'!$B$4:$CJ$127,86,0)</f>
        <v>960.40999999997439</v>
      </c>
      <c r="CJ98" s="383">
        <f>VLOOKUP($B98,'Data - CFR 202526'!$B$4:$CJ$127,87,0)</f>
        <v>9263.2499999999709</v>
      </c>
    </row>
    <row r="99" spans="1:88" ht="13.8">
      <c r="A99" s="252" t="s">
        <v>1525</v>
      </c>
      <c r="B99" s="288">
        <v>2317</v>
      </c>
      <c r="C99" s="288" t="s">
        <v>800</v>
      </c>
      <c r="D99" s="248" t="s">
        <v>704</v>
      </c>
      <c r="E99" s="384"/>
      <c r="F99" s="383">
        <v>3208175.5858555166</v>
      </c>
      <c r="G99" s="383">
        <v>0</v>
      </c>
      <c r="H99" s="383">
        <v>148591</v>
      </c>
      <c r="I99" s="383">
        <v>0</v>
      </c>
      <c r="J99" s="383">
        <v>152130</v>
      </c>
      <c r="K99" s="383">
        <v>118954</v>
      </c>
      <c r="L99" s="383">
        <v>0</v>
      </c>
      <c r="M99" s="383">
        <v>45000</v>
      </c>
      <c r="N99" s="383">
        <v>64632</v>
      </c>
      <c r="O99" s="383">
        <v>67050</v>
      </c>
      <c r="P99" s="383">
        <v>0</v>
      </c>
      <c r="Q99" s="383">
        <v>5000</v>
      </c>
      <c r="R99" s="383">
        <v>34560</v>
      </c>
      <c r="S99" s="383">
        <v>0</v>
      </c>
      <c r="T99" s="383">
        <v>0</v>
      </c>
      <c r="U99" s="383">
        <v>0</v>
      </c>
      <c r="V99" s="383">
        <v>0</v>
      </c>
      <c r="W99" s="383">
        <v>0</v>
      </c>
      <c r="X99" s="383">
        <v>0</v>
      </c>
      <c r="Y99" s="383">
        <f t="shared" si="13"/>
        <v>3844092.5858555166</v>
      </c>
      <c r="Z99" s="383">
        <v>1975811.0407250458</v>
      </c>
      <c r="AA99" s="383">
        <v>0</v>
      </c>
      <c r="AB99" s="383">
        <v>780540.79266053892</v>
      </c>
      <c r="AC99" s="383">
        <v>76271.125602174769</v>
      </c>
      <c r="AD99" s="383">
        <v>146104.45790041043</v>
      </c>
      <c r="AE99" s="383">
        <v>0</v>
      </c>
      <c r="AF99" s="383">
        <v>44681.670370648128</v>
      </c>
      <c r="AG99" s="383">
        <v>16666</v>
      </c>
      <c r="AH99" s="383">
        <v>5000</v>
      </c>
      <c r="AI99" s="383">
        <v>15760</v>
      </c>
      <c r="AJ99" s="383">
        <v>3382</v>
      </c>
      <c r="AK99" s="383">
        <v>36000</v>
      </c>
      <c r="AL99" s="383">
        <v>8000</v>
      </c>
      <c r="AM99" s="383">
        <v>63200</v>
      </c>
      <c r="AN99" s="383">
        <v>25000</v>
      </c>
      <c r="AO99" s="383">
        <v>88526</v>
      </c>
      <c r="AP99" s="383">
        <v>0</v>
      </c>
      <c r="AQ99" s="383">
        <v>24860</v>
      </c>
      <c r="AR99" s="383">
        <v>122260</v>
      </c>
      <c r="AS99" s="383">
        <v>73840</v>
      </c>
      <c r="AT99" s="383">
        <v>0</v>
      </c>
      <c r="AU99" s="383">
        <v>30085</v>
      </c>
      <c r="AV99" s="383">
        <v>17000</v>
      </c>
      <c r="AW99" s="383">
        <v>50</v>
      </c>
      <c r="AX99" s="383">
        <v>159600</v>
      </c>
      <c r="AY99" s="383">
        <v>28000</v>
      </c>
      <c r="AZ99" s="383">
        <v>39850</v>
      </c>
      <c r="BA99" s="383">
        <v>61150</v>
      </c>
      <c r="BB99" s="383">
        <v>0</v>
      </c>
      <c r="BC99" s="383">
        <v>0</v>
      </c>
      <c r="BD99" s="383">
        <v>0</v>
      </c>
      <c r="BE99" s="383">
        <f t="shared" si="14"/>
        <v>3841638.0872588181</v>
      </c>
      <c r="BF99" s="383">
        <f t="shared" si="15"/>
        <v>2454.4985966985114</v>
      </c>
      <c r="BG99" s="383">
        <v>-329667.03000000014</v>
      </c>
      <c r="BH99" s="383">
        <f t="shared" si="16"/>
        <v>-327212.53140330163</v>
      </c>
      <c r="BI99" s="383">
        <v>0</v>
      </c>
      <c r="BJ99" s="383">
        <v>0</v>
      </c>
      <c r="BK99" s="383">
        <f t="shared" si="17"/>
        <v>0</v>
      </c>
      <c r="BL99" s="383">
        <v>0</v>
      </c>
      <c r="BM99" s="383">
        <v>0</v>
      </c>
      <c r="BN99" s="383">
        <f t="shared" si="18"/>
        <v>0</v>
      </c>
      <c r="BO99" s="383">
        <f t="shared" si="19"/>
        <v>0</v>
      </c>
      <c r="BP99" s="383">
        <v>0</v>
      </c>
      <c r="BQ99" s="383">
        <f t="shared" si="20"/>
        <v>0</v>
      </c>
      <c r="BR99" s="383">
        <v>0</v>
      </c>
      <c r="BS99" s="383">
        <v>-327212.53140330163</v>
      </c>
      <c r="BT99" s="383">
        <v>0</v>
      </c>
      <c r="BU99" s="383">
        <f t="shared" si="21"/>
        <v>-327212.53140330163</v>
      </c>
      <c r="BV99" s="383">
        <v>11380</v>
      </c>
      <c r="BW99" s="383">
        <v>0</v>
      </c>
      <c r="BX99" s="383">
        <v>0</v>
      </c>
      <c r="BY99" s="383">
        <f t="shared" si="22"/>
        <v>11380</v>
      </c>
      <c r="BZ99" s="383">
        <v>0</v>
      </c>
      <c r="CA99" s="383">
        <v>0</v>
      </c>
      <c r="CB99" s="383">
        <v>0</v>
      </c>
      <c r="CC99" s="383">
        <v>11380</v>
      </c>
      <c r="CD99" s="383">
        <f t="shared" si="23"/>
        <v>11380</v>
      </c>
      <c r="CE99" s="383">
        <f t="shared" si="24"/>
        <v>0</v>
      </c>
      <c r="CF99" s="383">
        <v>0</v>
      </c>
      <c r="CG99" s="383">
        <f t="shared" si="25"/>
        <v>0</v>
      </c>
      <c r="CH99" s="383">
        <f>VLOOKUP($B99,'Data - CFR 202526'!$B$4:$CJ$127,85,0)</f>
        <v>0</v>
      </c>
      <c r="CI99" s="383">
        <f>VLOOKUP($B99,'Data - CFR 202526'!$B$4:$CJ$127,86,0)</f>
        <v>0</v>
      </c>
      <c r="CJ99" s="383">
        <f>VLOOKUP($B99,'Data - CFR 202526'!$B$4:$CJ$127,87,0)</f>
        <v>0</v>
      </c>
    </row>
    <row r="100" spans="1:88" ht="13.8">
      <c r="A100" s="252" t="s">
        <v>1525</v>
      </c>
      <c r="B100" s="288">
        <v>3356</v>
      </c>
      <c r="C100" s="288" t="s">
        <v>801</v>
      </c>
      <c r="D100" s="248" t="s">
        <v>704</v>
      </c>
      <c r="E100" s="384"/>
      <c r="F100" s="383">
        <v>884022.0917405599</v>
      </c>
      <c r="G100" s="383">
        <v>0</v>
      </c>
      <c r="H100" s="383">
        <v>25970.3</v>
      </c>
      <c r="I100" s="383">
        <v>0</v>
      </c>
      <c r="J100" s="383">
        <v>43400</v>
      </c>
      <c r="K100" s="383">
        <v>36644</v>
      </c>
      <c r="L100" s="383">
        <v>0</v>
      </c>
      <c r="M100" s="383">
        <v>6500</v>
      </c>
      <c r="N100" s="383">
        <v>2000</v>
      </c>
      <c r="O100" s="383">
        <v>0</v>
      </c>
      <c r="P100" s="383">
        <v>2250</v>
      </c>
      <c r="Q100" s="383">
        <v>0</v>
      </c>
      <c r="R100" s="383">
        <v>0</v>
      </c>
      <c r="S100" s="383">
        <v>16750</v>
      </c>
      <c r="T100" s="383">
        <v>0</v>
      </c>
      <c r="U100" s="383">
        <v>0</v>
      </c>
      <c r="V100" s="383">
        <v>0</v>
      </c>
      <c r="W100" s="383">
        <v>0</v>
      </c>
      <c r="X100" s="383">
        <v>0</v>
      </c>
      <c r="Y100" s="383">
        <f t="shared" si="13"/>
        <v>1017536.3917405599</v>
      </c>
      <c r="Z100" s="383">
        <v>549300.40243578202</v>
      </c>
      <c r="AA100" s="383">
        <v>1500</v>
      </c>
      <c r="AB100" s="383">
        <v>191651.48521424076</v>
      </c>
      <c r="AC100" s="383">
        <v>26277.728918918918</v>
      </c>
      <c r="AD100" s="383">
        <v>54400.483520256807</v>
      </c>
      <c r="AE100" s="383">
        <v>0</v>
      </c>
      <c r="AF100" s="383">
        <v>677.54354730769228</v>
      </c>
      <c r="AG100" s="383">
        <v>500</v>
      </c>
      <c r="AH100" s="383">
        <v>5776.95</v>
      </c>
      <c r="AI100" s="383">
        <v>3700</v>
      </c>
      <c r="AJ100" s="383">
        <v>0</v>
      </c>
      <c r="AK100" s="383">
        <v>10000</v>
      </c>
      <c r="AL100" s="383">
        <v>1500</v>
      </c>
      <c r="AM100" s="383">
        <v>28000</v>
      </c>
      <c r="AN100" s="383">
        <v>2000</v>
      </c>
      <c r="AO100" s="383">
        <v>18000</v>
      </c>
      <c r="AP100" s="383">
        <v>3911.7</v>
      </c>
      <c r="AQ100" s="383">
        <v>6068.35</v>
      </c>
      <c r="AR100" s="383">
        <v>25075</v>
      </c>
      <c r="AS100" s="383">
        <v>29182.95</v>
      </c>
      <c r="AT100" s="383">
        <v>0</v>
      </c>
      <c r="AU100" s="383">
        <v>7361</v>
      </c>
      <c r="AV100" s="383">
        <v>4500</v>
      </c>
      <c r="AW100" s="383">
        <v>0</v>
      </c>
      <c r="AX100" s="383">
        <v>31319</v>
      </c>
      <c r="AY100" s="383">
        <v>56000</v>
      </c>
      <c r="AZ100" s="383">
        <v>44561.35</v>
      </c>
      <c r="BA100" s="383">
        <v>21890</v>
      </c>
      <c r="BB100" s="383">
        <v>0</v>
      </c>
      <c r="BC100" s="383">
        <v>0</v>
      </c>
      <c r="BD100" s="383">
        <v>0</v>
      </c>
      <c r="BE100" s="383">
        <f t="shared" si="14"/>
        <v>1123153.9436365061</v>
      </c>
      <c r="BF100" s="383">
        <f t="shared" si="15"/>
        <v>-105617.55189594615</v>
      </c>
      <c r="BG100" s="383">
        <v>216653.4700000002</v>
      </c>
      <c r="BH100" s="383">
        <f t="shared" si="16"/>
        <v>111035.91810405406</v>
      </c>
      <c r="BI100" s="383">
        <v>0</v>
      </c>
      <c r="BJ100" s="383">
        <v>0</v>
      </c>
      <c r="BK100" s="383">
        <f t="shared" si="17"/>
        <v>0</v>
      </c>
      <c r="BL100" s="383">
        <v>0</v>
      </c>
      <c r="BM100" s="383">
        <v>0</v>
      </c>
      <c r="BN100" s="383">
        <f t="shared" si="18"/>
        <v>0</v>
      </c>
      <c r="BO100" s="383">
        <f t="shared" si="19"/>
        <v>0</v>
      </c>
      <c r="BP100" s="383">
        <v>0</v>
      </c>
      <c r="BQ100" s="383">
        <f t="shared" si="20"/>
        <v>0</v>
      </c>
      <c r="BR100" s="383">
        <v>0</v>
      </c>
      <c r="BS100" s="383">
        <v>111035.91810405406</v>
      </c>
      <c r="BT100" s="383">
        <v>0</v>
      </c>
      <c r="BU100" s="383">
        <f t="shared" si="21"/>
        <v>111035.91810405406</v>
      </c>
      <c r="BV100" s="383">
        <v>0</v>
      </c>
      <c r="BW100" s="383">
        <v>0</v>
      </c>
      <c r="BX100" s="383">
        <v>0</v>
      </c>
      <c r="BY100" s="383">
        <f t="shared" si="22"/>
        <v>0</v>
      </c>
      <c r="BZ100" s="383">
        <v>0</v>
      </c>
      <c r="CA100" s="383">
        <v>0</v>
      </c>
      <c r="CB100" s="383">
        <v>0</v>
      </c>
      <c r="CC100" s="383">
        <v>0</v>
      </c>
      <c r="CD100" s="383">
        <f t="shared" si="23"/>
        <v>0</v>
      </c>
      <c r="CE100" s="383">
        <f t="shared" si="24"/>
        <v>0</v>
      </c>
      <c r="CF100" s="383">
        <v>0</v>
      </c>
      <c r="CG100" s="383">
        <f t="shared" si="25"/>
        <v>0</v>
      </c>
      <c r="CH100" s="383">
        <f>VLOOKUP($B100,'Data - CFR 202526'!$B$4:$CJ$127,85,0)</f>
        <v>0</v>
      </c>
      <c r="CI100" s="383">
        <f>VLOOKUP($B100,'Data - CFR 202526'!$B$4:$CJ$127,86,0)</f>
        <v>0</v>
      </c>
      <c r="CJ100" s="383">
        <f>VLOOKUP($B100,'Data - CFR 202526'!$B$4:$CJ$127,87,0)</f>
        <v>0</v>
      </c>
    </row>
    <row r="101" spans="1:88" ht="13.8">
      <c r="A101" s="252" t="s">
        <v>1525</v>
      </c>
      <c r="B101" s="288">
        <v>3358</v>
      </c>
      <c r="C101" s="288" t="s">
        <v>802</v>
      </c>
      <c r="D101" s="248" t="s">
        <v>704</v>
      </c>
      <c r="E101" s="384"/>
      <c r="F101" s="383">
        <v>1216453.9169297039</v>
      </c>
      <c r="G101" s="383">
        <v>0</v>
      </c>
      <c r="H101" s="383">
        <v>23303</v>
      </c>
      <c r="I101" s="383">
        <v>0</v>
      </c>
      <c r="J101" s="383">
        <v>98330</v>
      </c>
      <c r="K101" s="383">
        <v>32272</v>
      </c>
      <c r="L101" s="383">
        <v>0</v>
      </c>
      <c r="M101" s="383">
        <v>25000</v>
      </c>
      <c r="N101" s="383">
        <v>105334</v>
      </c>
      <c r="O101" s="383">
        <v>0</v>
      </c>
      <c r="P101" s="383">
        <v>0</v>
      </c>
      <c r="Q101" s="383">
        <v>0</v>
      </c>
      <c r="R101" s="383">
        <v>0</v>
      </c>
      <c r="S101" s="383">
        <v>5000</v>
      </c>
      <c r="T101" s="383">
        <v>0</v>
      </c>
      <c r="U101" s="383">
        <v>0</v>
      </c>
      <c r="V101" s="383">
        <v>0</v>
      </c>
      <c r="W101" s="383">
        <v>0</v>
      </c>
      <c r="X101" s="383">
        <v>0</v>
      </c>
      <c r="Y101" s="383">
        <f t="shared" si="13"/>
        <v>1505692.9169297039</v>
      </c>
      <c r="Z101" s="383">
        <v>745336.0532053333</v>
      </c>
      <c r="AA101" s="383">
        <v>0</v>
      </c>
      <c r="AB101" s="383">
        <v>287885.09477508208</v>
      </c>
      <c r="AC101" s="383">
        <v>49736.445693910886</v>
      </c>
      <c r="AD101" s="383">
        <v>95247.172376989809</v>
      </c>
      <c r="AE101" s="383">
        <v>0</v>
      </c>
      <c r="AF101" s="383">
        <v>8863.4153889520167</v>
      </c>
      <c r="AG101" s="383">
        <v>1700</v>
      </c>
      <c r="AH101" s="383">
        <v>3000</v>
      </c>
      <c r="AI101" s="383">
        <v>5174</v>
      </c>
      <c r="AJ101" s="383">
        <v>0</v>
      </c>
      <c r="AK101" s="383">
        <v>20000</v>
      </c>
      <c r="AL101" s="383">
        <v>4500</v>
      </c>
      <c r="AM101" s="383">
        <v>3000</v>
      </c>
      <c r="AN101" s="383">
        <v>4000</v>
      </c>
      <c r="AO101" s="383">
        <v>24000</v>
      </c>
      <c r="AP101" s="383">
        <v>6882</v>
      </c>
      <c r="AQ101" s="383">
        <v>12370</v>
      </c>
      <c r="AR101" s="383">
        <v>47147</v>
      </c>
      <c r="AS101" s="383">
        <v>45662</v>
      </c>
      <c r="AT101" s="383">
        <v>0</v>
      </c>
      <c r="AU101" s="383">
        <v>11395</v>
      </c>
      <c r="AV101" s="383">
        <v>6500</v>
      </c>
      <c r="AW101" s="383">
        <v>0</v>
      </c>
      <c r="AX101" s="383">
        <v>30402</v>
      </c>
      <c r="AY101" s="383">
        <v>8500</v>
      </c>
      <c r="AZ101" s="383">
        <v>37300</v>
      </c>
      <c r="BA101" s="383">
        <v>38917</v>
      </c>
      <c r="BB101" s="383">
        <v>0</v>
      </c>
      <c r="BC101" s="383">
        <v>0</v>
      </c>
      <c r="BD101" s="383">
        <v>0</v>
      </c>
      <c r="BE101" s="383">
        <f t="shared" si="14"/>
        <v>1497517.1814402682</v>
      </c>
      <c r="BF101" s="383">
        <f t="shared" si="15"/>
        <v>8175.7354894357268</v>
      </c>
      <c r="BG101" s="383">
        <v>-1766.2300000005853</v>
      </c>
      <c r="BH101" s="383">
        <f t="shared" si="16"/>
        <v>6409.5054894351415</v>
      </c>
      <c r="BI101" s="383">
        <v>85000</v>
      </c>
      <c r="BJ101" s="383">
        <v>11800</v>
      </c>
      <c r="BK101" s="383">
        <f t="shared" si="17"/>
        <v>96800</v>
      </c>
      <c r="BL101" s="383">
        <v>80512.794725702508</v>
      </c>
      <c r="BM101" s="383">
        <v>3750</v>
      </c>
      <c r="BN101" s="383">
        <f t="shared" si="18"/>
        <v>84262.794725702508</v>
      </c>
      <c r="BO101" s="383">
        <f t="shared" si="19"/>
        <v>12537.205274297492</v>
      </c>
      <c r="BP101" s="383">
        <v>-12387.320000000009</v>
      </c>
      <c r="BQ101" s="383">
        <f t="shared" si="20"/>
        <v>149.88527429748319</v>
      </c>
      <c r="BR101" s="383">
        <v>0</v>
      </c>
      <c r="BS101" s="383">
        <v>6409.5054894351415</v>
      </c>
      <c r="BT101" s="383">
        <v>149.88527429748319</v>
      </c>
      <c r="BU101" s="383">
        <f t="shared" si="21"/>
        <v>6559.3907637326247</v>
      </c>
      <c r="BV101" s="383">
        <v>0</v>
      </c>
      <c r="BW101" s="383">
        <v>0</v>
      </c>
      <c r="BX101" s="383">
        <v>0</v>
      </c>
      <c r="BY101" s="383">
        <f t="shared" si="22"/>
        <v>0</v>
      </c>
      <c r="BZ101" s="383">
        <v>0</v>
      </c>
      <c r="CA101" s="383">
        <v>0</v>
      </c>
      <c r="CB101" s="383">
        <v>0</v>
      </c>
      <c r="CC101" s="383">
        <v>0</v>
      </c>
      <c r="CD101" s="383">
        <f t="shared" si="23"/>
        <v>0</v>
      </c>
      <c r="CE101" s="383">
        <f t="shared" si="24"/>
        <v>0</v>
      </c>
      <c r="CF101" s="383">
        <v>0</v>
      </c>
      <c r="CG101" s="383">
        <f t="shared" si="25"/>
        <v>0</v>
      </c>
      <c r="CH101" s="383">
        <f>VLOOKUP($B101,'Data - CFR 202526'!$B$4:$CJ$127,85,0)</f>
        <v>0</v>
      </c>
      <c r="CI101" s="383">
        <f>VLOOKUP($B101,'Data - CFR 202526'!$B$4:$CJ$127,86,0)</f>
        <v>0</v>
      </c>
      <c r="CJ101" s="383">
        <f>VLOOKUP($B101,'Data - CFR 202526'!$B$4:$CJ$127,87,0)</f>
        <v>0</v>
      </c>
    </row>
    <row r="102" spans="1:88" ht="13.8">
      <c r="A102" s="252" t="s">
        <v>1525</v>
      </c>
      <c r="B102" s="288">
        <v>3029</v>
      </c>
      <c r="C102" s="288" t="s">
        <v>803</v>
      </c>
      <c r="D102" s="248" t="s">
        <v>704</v>
      </c>
      <c r="E102" s="384"/>
      <c r="F102" s="383">
        <v>853613.72033841209</v>
      </c>
      <c r="G102" s="383">
        <v>0</v>
      </c>
      <c r="H102" s="383">
        <v>30313</v>
      </c>
      <c r="I102" s="383">
        <v>0</v>
      </c>
      <c r="J102" s="383">
        <v>24800</v>
      </c>
      <c r="K102" s="383">
        <v>45800</v>
      </c>
      <c r="L102" s="383">
        <v>0</v>
      </c>
      <c r="M102" s="383">
        <v>3550</v>
      </c>
      <c r="N102" s="383">
        <v>11600</v>
      </c>
      <c r="O102" s="383">
        <v>19000</v>
      </c>
      <c r="P102" s="383">
        <v>0</v>
      </c>
      <c r="Q102" s="383">
        <v>0</v>
      </c>
      <c r="R102" s="383">
        <v>9150.5</v>
      </c>
      <c r="S102" s="383">
        <v>5000</v>
      </c>
      <c r="T102" s="383">
        <v>0</v>
      </c>
      <c r="U102" s="383">
        <v>0</v>
      </c>
      <c r="V102" s="383">
        <v>0</v>
      </c>
      <c r="W102" s="383">
        <v>0</v>
      </c>
      <c r="X102" s="383">
        <v>0</v>
      </c>
      <c r="Y102" s="383">
        <f t="shared" si="13"/>
        <v>1002827.2203384121</v>
      </c>
      <c r="Z102" s="383">
        <v>528117.399768</v>
      </c>
      <c r="AA102" s="383">
        <v>3000</v>
      </c>
      <c r="AB102" s="383">
        <v>215039.67629496264</v>
      </c>
      <c r="AC102" s="383">
        <v>12298.143593753197</v>
      </c>
      <c r="AD102" s="383">
        <v>52592.197824023155</v>
      </c>
      <c r="AE102" s="383">
        <v>1412.204638749567</v>
      </c>
      <c r="AF102" s="383">
        <v>11555.064756011134</v>
      </c>
      <c r="AG102" s="383">
        <v>4430</v>
      </c>
      <c r="AH102" s="383">
        <v>3000</v>
      </c>
      <c r="AI102" s="383">
        <v>3666</v>
      </c>
      <c r="AJ102" s="383">
        <v>0</v>
      </c>
      <c r="AK102" s="383">
        <v>14152</v>
      </c>
      <c r="AL102" s="383">
        <v>1727.04</v>
      </c>
      <c r="AM102" s="383">
        <v>5800</v>
      </c>
      <c r="AN102" s="383">
        <v>3000</v>
      </c>
      <c r="AO102" s="383">
        <v>36300</v>
      </c>
      <c r="AP102" s="383">
        <v>19656</v>
      </c>
      <c r="AQ102" s="383">
        <v>4469</v>
      </c>
      <c r="AR102" s="383">
        <v>37297.08</v>
      </c>
      <c r="AS102" s="383">
        <v>22768</v>
      </c>
      <c r="AT102" s="383">
        <v>0</v>
      </c>
      <c r="AU102" s="383">
        <v>5108</v>
      </c>
      <c r="AV102" s="383">
        <v>4373.1899999999996</v>
      </c>
      <c r="AW102" s="383">
        <v>2600</v>
      </c>
      <c r="AX102" s="383">
        <v>57875.3</v>
      </c>
      <c r="AY102" s="383">
        <v>9522</v>
      </c>
      <c r="AZ102" s="383">
        <v>13478</v>
      </c>
      <c r="BA102" s="383">
        <v>15619.6</v>
      </c>
      <c r="BB102" s="383">
        <v>0</v>
      </c>
      <c r="BC102" s="383">
        <v>1827.84</v>
      </c>
      <c r="BD102" s="383">
        <v>4634</v>
      </c>
      <c r="BE102" s="383">
        <f t="shared" si="14"/>
        <v>1095317.7368754998</v>
      </c>
      <c r="BF102" s="383">
        <f t="shared" si="15"/>
        <v>-92490.516537087737</v>
      </c>
      <c r="BG102" s="383">
        <v>-148501.93999999971</v>
      </c>
      <c r="BH102" s="383">
        <f t="shared" si="16"/>
        <v>-240992.45653708745</v>
      </c>
      <c r="BI102" s="383">
        <v>0</v>
      </c>
      <c r="BJ102" s="383">
        <v>0</v>
      </c>
      <c r="BK102" s="383">
        <f t="shared" si="17"/>
        <v>0</v>
      </c>
      <c r="BL102" s="383">
        <v>0</v>
      </c>
      <c r="BM102" s="383">
        <v>0</v>
      </c>
      <c r="BN102" s="383">
        <f t="shared" si="18"/>
        <v>0</v>
      </c>
      <c r="BO102" s="383">
        <f t="shared" si="19"/>
        <v>0</v>
      </c>
      <c r="BP102" s="383">
        <v>0</v>
      </c>
      <c r="BQ102" s="383">
        <f t="shared" si="20"/>
        <v>0</v>
      </c>
      <c r="BR102" s="383">
        <v>0</v>
      </c>
      <c r="BS102" s="383">
        <v>-240992.45653708745</v>
      </c>
      <c r="BT102" s="383">
        <v>0</v>
      </c>
      <c r="BU102" s="383">
        <f t="shared" si="21"/>
        <v>-240992.45653708745</v>
      </c>
      <c r="BV102" s="383">
        <v>5845</v>
      </c>
      <c r="BW102" s="383">
        <v>0</v>
      </c>
      <c r="BX102" s="383">
        <v>0</v>
      </c>
      <c r="BY102" s="383">
        <f t="shared" si="22"/>
        <v>5845</v>
      </c>
      <c r="BZ102" s="383">
        <v>0</v>
      </c>
      <c r="CA102" s="383">
        <v>3969</v>
      </c>
      <c r="CB102" s="383">
        <v>0</v>
      </c>
      <c r="CC102" s="383">
        <v>5995.57</v>
      </c>
      <c r="CD102" s="383">
        <f t="shared" si="23"/>
        <v>9964.57</v>
      </c>
      <c r="CE102" s="383">
        <f t="shared" si="24"/>
        <v>-4119.57</v>
      </c>
      <c r="CF102" s="383">
        <v>8973.6099999999988</v>
      </c>
      <c r="CG102" s="383">
        <f t="shared" si="25"/>
        <v>4854.0399999999991</v>
      </c>
      <c r="CH102" s="383">
        <f>VLOOKUP($B102,'Data - CFR 202526'!$B$4:$CJ$127,85,0)</f>
        <v>8380.17</v>
      </c>
      <c r="CI102" s="383">
        <f>VLOOKUP($B102,'Data - CFR 202526'!$B$4:$CJ$127,86,0)</f>
        <v>593.44000000000005</v>
      </c>
      <c r="CJ102" s="383">
        <f>VLOOKUP($B102,'Data - CFR 202526'!$B$4:$CJ$127,87,0)</f>
        <v>8973.61</v>
      </c>
    </row>
    <row r="103" spans="1:88" ht="13.8">
      <c r="A103" s="252" t="s">
        <v>1525</v>
      </c>
      <c r="B103" s="288">
        <v>2084</v>
      </c>
      <c r="C103" s="288" t="s">
        <v>804</v>
      </c>
      <c r="D103" s="248" t="s">
        <v>704</v>
      </c>
      <c r="E103" s="384"/>
      <c r="F103" s="383">
        <v>1089911.7537204591</v>
      </c>
      <c r="G103" s="383">
        <v>0</v>
      </c>
      <c r="H103" s="383">
        <v>36975</v>
      </c>
      <c r="I103" s="383">
        <v>0</v>
      </c>
      <c r="J103" s="383">
        <v>66240</v>
      </c>
      <c r="K103" s="383">
        <v>38894</v>
      </c>
      <c r="L103" s="383">
        <v>0</v>
      </c>
      <c r="M103" s="383">
        <v>4000</v>
      </c>
      <c r="N103" s="383">
        <v>3500</v>
      </c>
      <c r="O103" s="383">
        <v>16965</v>
      </c>
      <c r="P103" s="383">
        <v>0</v>
      </c>
      <c r="Q103" s="383">
        <v>0</v>
      </c>
      <c r="R103" s="383">
        <v>0</v>
      </c>
      <c r="S103" s="383">
        <v>0</v>
      </c>
      <c r="T103" s="383">
        <v>0</v>
      </c>
      <c r="U103" s="383">
        <v>0</v>
      </c>
      <c r="V103" s="383">
        <v>0</v>
      </c>
      <c r="W103" s="383">
        <v>0</v>
      </c>
      <c r="X103" s="383">
        <v>0</v>
      </c>
      <c r="Y103" s="383">
        <f t="shared" si="13"/>
        <v>1256485.7537204591</v>
      </c>
      <c r="Z103" s="383">
        <v>666742.36854400008</v>
      </c>
      <c r="AA103" s="383">
        <v>2000</v>
      </c>
      <c r="AB103" s="383">
        <v>250054.51095699013</v>
      </c>
      <c r="AC103" s="383">
        <v>22719.949390457383</v>
      </c>
      <c r="AD103" s="383">
        <v>50406.087522379908</v>
      </c>
      <c r="AE103" s="383">
        <v>0</v>
      </c>
      <c r="AF103" s="383">
        <v>20970.192993680223</v>
      </c>
      <c r="AG103" s="383">
        <v>6248</v>
      </c>
      <c r="AH103" s="383">
        <v>5166</v>
      </c>
      <c r="AI103" s="383">
        <v>4862</v>
      </c>
      <c r="AJ103" s="383">
        <v>300</v>
      </c>
      <c r="AK103" s="383">
        <v>7000</v>
      </c>
      <c r="AL103" s="383">
        <v>4041</v>
      </c>
      <c r="AM103" s="383">
        <v>3461</v>
      </c>
      <c r="AN103" s="383">
        <v>4068</v>
      </c>
      <c r="AO103" s="383">
        <v>20000</v>
      </c>
      <c r="AP103" s="383">
        <v>21879</v>
      </c>
      <c r="AQ103" s="383">
        <v>4187</v>
      </c>
      <c r="AR103" s="383">
        <v>11841</v>
      </c>
      <c r="AS103" s="383">
        <v>26832</v>
      </c>
      <c r="AT103" s="383">
        <v>0</v>
      </c>
      <c r="AU103" s="383">
        <v>8112</v>
      </c>
      <c r="AV103" s="383">
        <v>5083</v>
      </c>
      <c r="AW103" s="383">
        <v>0</v>
      </c>
      <c r="AX103" s="383">
        <v>66131</v>
      </c>
      <c r="AY103" s="383">
        <v>8000</v>
      </c>
      <c r="AZ103" s="383">
        <v>17300</v>
      </c>
      <c r="BA103" s="383">
        <v>13049</v>
      </c>
      <c r="BB103" s="383">
        <v>0</v>
      </c>
      <c r="BC103" s="383">
        <v>0</v>
      </c>
      <c r="BD103" s="383">
        <v>5350</v>
      </c>
      <c r="BE103" s="383">
        <f t="shared" si="14"/>
        <v>1255803.1094075078</v>
      </c>
      <c r="BF103" s="383">
        <f t="shared" si="15"/>
        <v>682.64431295124814</v>
      </c>
      <c r="BG103" s="383">
        <v>-50103.639999999723</v>
      </c>
      <c r="BH103" s="383">
        <f t="shared" si="16"/>
        <v>-49420.995687048475</v>
      </c>
      <c r="BI103" s="383">
        <v>0</v>
      </c>
      <c r="BJ103" s="383">
        <v>0</v>
      </c>
      <c r="BK103" s="383">
        <f t="shared" si="17"/>
        <v>0</v>
      </c>
      <c r="BL103" s="383">
        <v>0</v>
      </c>
      <c r="BM103" s="383">
        <v>0</v>
      </c>
      <c r="BN103" s="383">
        <f t="shared" si="18"/>
        <v>0</v>
      </c>
      <c r="BO103" s="383">
        <f t="shared" si="19"/>
        <v>0</v>
      </c>
      <c r="BP103" s="383">
        <v>0</v>
      </c>
      <c r="BQ103" s="383">
        <f t="shared" si="20"/>
        <v>0</v>
      </c>
      <c r="BR103" s="383">
        <v>0</v>
      </c>
      <c r="BS103" s="383">
        <v>-49420.995687048475</v>
      </c>
      <c r="BT103" s="383">
        <v>0</v>
      </c>
      <c r="BU103" s="383">
        <f t="shared" si="21"/>
        <v>-49420.995687048475</v>
      </c>
      <c r="BV103" s="383">
        <v>6025</v>
      </c>
      <c r="BW103" s="383">
        <v>0</v>
      </c>
      <c r="BX103" s="383">
        <v>0</v>
      </c>
      <c r="BY103" s="383">
        <f t="shared" si="22"/>
        <v>6025</v>
      </c>
      <c r="BZ103" s="383">
        <v>0</v>
      </c>
      <c r="CA103" s="383">
        <v>8834.6</v>
      </c>
      <c r="CB103" s="383">
        <v>0</v>
      </c>
      <c r="CC103" s="383">
        <v>0</v>
      </c>
      <c r="CD103" s="383">
        <f t="shared" si="23"/>
        <v>8834.6</v>
      </c>
      <c r="CE103" s="383">
        <f t="shared" si="24"/>
        <v>-2809.6000000000004</v>
      </c>
      <c r="CF103" s="383">
        <v>2809.6000000000058</v>
      </c>
      <c r="CG103" s="383">
        <f t="shared" si="25"/>
        <v>5.4569682106375694E-12</v>
      </c>
      <c r="CH103" s="383">
        <f>VLOOKUP($B103,'Data - CFR 202526'!$B$4:$CJ$127,85,0)</f>
        <v>497.19999999999982</v>
      </c>
      <c r="CI103" s="383">
        <f>VLOOKUP($B103,'Data - CFR 202526'!$B$4:$CJ$127,86,0)</f>
        <v>2312.4000000000087</v>
      </c>
      <c r="CJ103" s="383">
        <f>VLOOKUP($B103,'Data - CFR 202526'!$B$4:$CJ$127,87,0)</f>
        <v>2809.6000000000085</v>
      </c>
    </row>
    <row r="104" spans="1:88" ht="13.8">
      <c r="A104" s="252" t="s">
        <v>1525</v>
      </c>
      <c r="B104" s="288">
        <v>2443</v>
      </c>
      <c r="C104" s="288" t="s">
        <v>805</v>
      </c>
      <c r="D104" s="248" t="s">
        <v>704</v>
      </c>
      <c r="E104" s="384"/>
      <c r="F104" s="383">
        <v>2033646.5257974721</v>
      </c>
      <c r="G104" s="383">
        <v>0</v>
      </c>
      <c r="H104" s="383">
        <v>79780</v>
      </c>
      <c r="I104" s="383">
        <v>0</v>
      </c>
      <c r="J104" s="383">
        <v>85040</v>
      </c>
      <c r="K104" s="383">
        <v>90205</v>
      </c>
      <c r="L104" s="383">
        <v>0</v>
      </c>
      <c r="M104" s="383">
        <v>43000</v>
      </c>
      <c r="N104" s="383">
        <v>3000</v>
      </c>
      <c r="O104" s="383">
        <v>0</v>
      </c>
      <c r="P104" s="383">
        <v>0</v>
      </c>
      <c r="Q104" s="383">
        <v>0</v>
      </c>
      <c r="R104" s="383">
        <v>0</v>
      </c>
      <c r="S104" s="383">
        <v>8500</v>
      </c>
      <c r="T104" s="383">
        <v>0</v>
      </c>
      <c r="U104" s="383">
        <v>0</v>
      </c>
      <c r="V104" s="383">
        <v>0</v>
      </c>
      <c r="W104" s="383">
        <v>0</v>
      </c>
      <c r="X104" s="383">
        <v>0</v>
      </c>
      <c r="Y104" s="383">
        <f t="shared" si="13"/>
        <v>2343171.5257974723</v>
      </c>
      <c r="Z104" s="383">
        <v>1194011.8735088871</v>
      </c>
      <c r="AA104" s="383">
        <v>4000</v>
      </c>
      <c r="AB104" s="383">
        <v>560581.68058507645</v>
      </c>
      <c r="AC104" s="383">
        <v>64056.142036061116</v>
      </c>
      <c r="AD104" s="383">
        <v>63339.035753911252</v>
      </c>
      <c r="AE104" s="383">
        <v>0</v>
      </c>
      <c r="AF104" s="383">
        <v>48350.900842417599</v>
      </c>
      <c r="AG104" s="383">
        <v>8575</v>
      </c>
      <c r="AH104" s="383">
        <v>5000</v>
      </c>
      <c r="AI104" s="383">
        <v>0</v>
      </c>
      <c r="AJ104" s="383">
        <v>0</v>
      </c>
      <c r="AK104" s="383">
        <v>13000</v>
      </c>
      <c r="AL104" s="383">
        <v>2000</v>
      </c>
      <c r="AM104" s="383">
        <v>5000</v>
      </c>
      <c r="AN104" s="383">
        <v>11000</v>
      </c>
      <c r="AO104" s="383">
        <v>33000</v>
      </c>
      <c r="AP104" s="383">
        <v>56055</v>
      </c>
      <c r="AQ104" s="383">
        <v>12375</v>
      </c>
      <c r="AR104" s="383">
        <v>31625</v>
      </c>
      <c r="AS104" s="383">
        <v>45610</v>
      </c>
      <c r="AT104" s="383">
        <v>0</v>
      </c>
      <c r="AU104" s="383">
        <v>17725</v>
      </c>
      <c r="AV104" s="383">
        <v>11018</v>
      </c>
      <c r="AW104" s="383">
        <v>0</v>
      </c>
      <c r="AX104" s="383">
        <v>106120</v>
      </c>
      <c r="AY104" s="383">
        <v>11680</v>
      </c>
      <c r="AZ104" s="383">
        <v>29805</v>
      </c>
      <c r="BA104" s="383">
        <v>40681</v>
      </c>
      <c r="BB104" s="383">
        <v>0</v>
      </c>
      <c r="BC104" s="383">
        <v>3449</v>
      </c>
      <c r="BD104" s="383">
        <v>7622</v>
      </c>
      <c r="BE104" s="383">
        <f t="shared" si="14"/>
        <v>2385679.6327263536</v>
      </c>
      <c r="BF104" s="383">
        <f t="shared" si="15"/>
        <v>-42508.106928881258</v>
      </c>
      <c r="BG104" s="383">
        <v>84389.150000000081</v>
      </c>
      <c r="BH104" s="383">
        <f t="shared" si="16"/>
        <v>41881.043071118824</v>
      </c>
      <c r="BI104" s="383">
        <v>0</v>
      </c>
      <c r="BJ104" s="383">
        <v>0</v>
      </c>
      <c r="BK104" s="383">
        <f t="shared" si="17"/>
        <v>0</v>
      </c>
      <c r="BL104" s="383">
        <v>0</v>
      </c>
      <c r="BM104" s="383">
        <v>0</v>
      </c>
      <c r="BN104" s="383">
        <f t="shared" si="18"/>
        <v>0</v>
      </c>
      <c r="BO104" s="383">
        <f t="shared" si="19"/>
        <v>0</v>
      </c>
      <c r="BP104" s="383">
        <v>0</v>
      </c>
      <c r="BQ104" s="383">
        <f t="shared" si="20"/>
        <v>0</v>
      </c>
      <c r="BR104" s="383">
        <v>0</v>
      </c>
      <c r="BS104" s="383">
        <v>41881.043071118824</v>
      </c>
      <c r="BT104" s="383">
        <v>0</v>
      </c>
      <c r="BU104" s="383">
        <f t="shared" si="21"/>
        <v>41881.043071118824</v>
      </c>
      <c r="BV104" s="383">
        <v>8343</v>
      </c>
      <c r="BW104" s="383">
        <v>0</v>
      </c>
      <c r="BX104" s="383">
        <v>0</v>
      </c>
      <c r="BY104" s="383">
        <f t="shared" si="22"/>
        <v>8343</v>
      </c>
      <c r="BZ104" s="383">
        <v>0</v>
      </c>
      <c r="CA104" s="383">
        <v>6044.74</v>
      </c>
      <c r="CB104" s="383">
        <v>0</v>
      </c>
      <c r="CC104" s="383">
        <v>15538.74</v>
      </c>
      <c r="CD104" s="383">
        <f t="shared" si="23"/>
        <v>21583.48</v>
      </c>
      <c r="CE104" s="383">
        <f t="shared" si="24"/>
        <v>-13240.48</v>
      </c>
      <c r="CF104" s="383">
        <v>13240.480000000003</v>
      </c>
      <c r="CG104" s="383">
        <f t="shared" si="25"/>
        <v>0</v>
      </c>
      <c r="CH104" s="383">
        <f>VLOOKUP($B104,'Data - CFR 202526'!$B$4:$CJ$127,85,0)</f>
        <v>7195.7400000000016</v>
      </c>
      <c r="CI104" s="383">
        <f>VLOOKUP($B104,'Data - CFR 202526'!$B$4:$CJ$127,86,0)</f>
        <v>6044.74</v>
      </c>
      <c r="CJ104" s="383">
        <f>VLOOKUP($B104,'Data - CFR 202526'!$B$4:$CJ$127,87,0)</f>
        <v>13240.480000000001</v>
      </c>
    </row>
    <row r="105" spans="1:88" ht="13.8">
      <c r="A105" s="252" t="s">
        <v>1525</v>
      </c>
      <c r="B105" s="288">
        <v>3052</v>
      </c>
      <c r="C105" s="288" t="s">
        <v>806</v>
      </c>
      <c r="D105" s="248" t="s">
        <v>704</v>
      </c>
      <c r="E105" s="384"/>
      <c r="F105" s="383">
        <v>1655695.973257256</v>
      </c>
      <c r="G105" s="383">
        <v>0</v>
      </c>
      <c r="H105" s="383">
        <v>133528.10999999999</v>
      </c>
      <c r="I105" s="383">
        <v>0</v>
      </c>
      <c r="J105" s="383">
        <v>83230</v>
      </c>
      <c r="K105" s="383">
        <v>58724</v>
      </c>
      <c r="L105" s="383">
        <v>0</v>
      </c>
      <c r="M105" s="383">
        <v>8000</v>
      </c>
      <c r="N105" s="383">
        <v>82000</v>
      </c>
      <c r="O105" s="383">
        <v>25500</v>
      </c>
      <c r="P105" s="383">
        <v>2250</v>
      </c>
      <c r="Q105" s="383">
        <v>0</v>
      </c>
      <c r="R105" s="383">
        <v>1300</v>
      </c>
      <c r="S105" s="383">
        <v>600</v>
      </c>
      <c r="T105" s="383">
        <v>0</v>
      </c>
      <c r="U105" s="383">
        <v>0</v>
      </c>
      <c r="V105" s="383">
        <v>0</v>
      </c>
      <c r="W105" s="383">
        <v>0</v>
      </c>
      <c r="X105" s="383">
        <v>0</v>
      </c>
      <c r="Y105" s="383">
        <f t="shared" si="13"/>
        <v>2050828.0832572561</v>
      </c>
      <c r="Z105" s="383">
        <v>933605.87609744351</v>
      </c>
      <c r="AA105" s="383">
        <v>7000</v>
      </c>
      <c r="AB105" s="383">
        <v>516396.45909714582</v>
      </c>
      <c r="AC105" s="383">
        <v>83306.535363194445</v>
      </c>
      <c r="AD105" s="383">
        <v>72254.919736526645</v>
      </c>
      <c r="AE105" s="383">
        <v>55287.870178765632</v>
      </c>
      <c r="AF105" s="383">
        <v>0</v>
      </c>
      <c r="AG105" s="383">
        <v>7050</v>
      </c>
      <c r="AH105" s="383">
        <v>4000</v>
      </c>
      <c r="AI105" s="383">
        <v>7098</v>
      </c>
      <c r="AJ105" s="383">
        <v>517</v>
      </c>
      <c r="AK105" s="383">
        <v>20000</v>
      </c>
      <c r="AL105" s="383">
        <v>5600</v>
      </c>
      <c r="AM105" s="383">
        <v>8600</v>
      </c>
      <c r="AN105" s="383">
        <v>5600</v>
      </c>
      <c r="AO105" s="383">
        <v>19800</v>
      </c>
      <c r="AP105" s="383">
        <v>34545</v>
      </c>
      <c r="AQ105" s="383">
        <v>12420</v>
      </c>
      <c r="AR105" s="383">
        <v>84634.3</v>
      </c>
      <c r="AS105" s="383">
        <v>32800</v>
      </c>
      <c r="AT105" s="383">
        <v>0</v>
      </c>
      <c r="AU105" s="383">
        <v>17100</v>
      </c>
      <c r="AV105" s="383">
        <v>7770</v>
      </c>
      <c r="AW105" s="383">
        <v>23603</v>
      </c>
      <c r="AX105" s="383">
        <v>33650</v>
      </c>
      <c r="AY105" s="383">
        <v>5000</v>
      </c>
      <c r="AZ105" s="383">
        <v>6630</v>
      </c>
      <c r="BA105" s="383">
        <v>24577.62</v>
      </c>
      <c r="BB105" s="383">
        <v>0</v>
      </c>
      <c r="BC105" s="383">
        <v>2700</v>
      </c>
      <c r="BD105" s="383">
        <v>45653</v>
      </c>
      <c r="BE105" s="383">
        <f t="shared" si="14"/>
        <v>2077199.5804730763</v>
      </c>
      <c r="BF105" s="383">
        <f t="shared" si="15"/>
        <v>-26371.497215820244</v>
      </c>
      <c r="BG105" s="383">
        <v>152843.70999999976</v>
      </c>
      <c r="BH105" s="383">
        <f t="shared" si="16"/>
        <v>126472.21278417952</v>
      </c>
      <c r="BI105" s="383">
        <v>185000</v>
      </c>
      <c r="BJ105" s="383">
        <v>15000</v>
      </c>
      <c r="BK105" s="383">
        <f t="shared" si="17"/>
        <v>200000</v>
      </c>
      <c r="BL105" s="383">
        <v>172022.5236404872</v>
      </c>
      <c r="BM105" s="383">
        <v>23092.48</v>
      </c>
      <c r="BN105" s="383">
        <f t="shared" si="18"/>
        <v>195115.00364048721</v>
      </c>
      <c r="BO105" s="383">
        <f t="shared" si="19"/>
        <v>4884.996359512792</v>
      </c>
      <c r="BP105" s="383">
        <v>33869.820000000007</v>
      </c>
      <c r="BQ105" s="383">
        <f t="shared" si="20"/>
        <v>38754.816359512799</v>
      </c>
      <c r="BR105" s="383">
        <v>0</v>
      </c>
      <c r="BS105" s="383">
        <v>126472.21278417952</v>
      </c>
      <c r="BT105" s="383">
        <v>38754.816359512799</v>
      </c>
      <c r="BU105" s="383">
        <f t="shared" si="21"/>
        <v>165227.02914369231</v>
      </c>
      <c r="BV105" s="383">
        <v>6869</v>
      </c>
      <c r="BW105" s="383">
        <v>0</v>
      </c>
      <c r="BX105" s="383">
        <v>0</v>
      </c>
      <c r="BY105" s="383">
        <f t="shared" si="22"/>
        <v>6869</v>
      </c>
      <c r="BZ105" s="383">
        <v>0</v>
      </c>
      <c r="CA105" s="383">
        <v>10390.25</v>
      </c>
      <c r="CB105" s="383">
        <v>0</v>
      </c>
      <c r="CC105" s="383">
        <v>0</v>
      </c>
      <c r="CD105" s="383">
        <f t="shared" si="23"/>
        <v>10390.25</v>
      </c>
      <c r="CE105" s="383">
        <f t="shared" si="24"/>
        <v>-3521.25</v>
      </c>
      <c r="CF105" s="383">
        <v>3521.25</v>
      </c>
      <c r="CG105" s="383">
        <f t="shared" si="25"/>
        <v>0</v>
      </c>
      <c r="CH105" s="383">
        <f>VLOOKUP($B105,'Data - CFR 202526'!$B$4:$CJ$127,85,0)</f>
        <v>3521.25</v>
      </c>
      <c r="CI105" s="383">
        <f>VLOOKUP($B105,'Data - CFR 202526'!$B$4:$CJ$127,86,0)</f>
        <v>0</v>
      </c>
      <c r="CJ105" s="383">
        <f>VLOOKUP($B105,'Data - CFR 202526'!$B$4:$CJ$127,87,0)</f>
        <v>3521.25</v>
      </c>
    </row>
    <row r="106" spans="1:88" ht="13.8">
      <c r="A106" s="252" t="s">
        <v>1525</v>
      </c>
      <c r="B106" s="288">
        <v>2046</v>
      </c>
      <c r="C106" s="288" t="s">
        <v>807</v>
      </c>
      <c r="D106" s="248" t="s">
        <v>704</v>
      </c>
      <c r="E106" s="384"/>
      <c r="F106" s="383">
        <v>1654582.0000025521</v>
      </c>
      <c r="G106" s="383">
        <v>0</v>
      </c>
      <c r="H106" s="383">
        <v>67662</v>
      </c>
      <c r="I106" s="383">
        <v>0</v>
      </c>
      <c r="J106" s="383">
        <v>36680</v>
      </c>
      <c r="K106" s="383">
        <v>67841</v>
      </c>
      <c r="L106" s="383">
        <v>0</v>
      </c>
      <c r="M106" s="383">
        <v>3740</v>
      </c>
      <c r="N106" s="383">
        <v>112320</v>
      </c>
      <c r="O106" s="383">
        <v>24500</v>
      </c>
      <c r="P106" s="383">
        <v>0</v>
      </c>
      <c r="Q106" s="383">
        <v>0</v>
      </c>
      <c r="R106" s="383">
        <v>20340</v>
      </c>
      <c r="S106" s="383">
        <v>0</v>
      </c>
      <c r="T106" s="383">
        <v>0</v>
      </c>
      <c r="U106" s="383">
        <v>0</v>
      </c>
      <c r="V106" s="383">
        <v>0</v>
      </c>
      <c r="W106" s="383">
        <v>0</v>
      </c>
      <c r="X106" s="383">
        <v>0</v>
      </c>
      <c r="Y106" s="383">
        <f t="shared" si="13"/>
        <v>1987665.0000025521</v>
      </c>
      <c r="Z106" s="383">
        <v>1130979.9436484172</v>
      </c>
      <c r="AA106" s="383">
        <v>12500</v>
      </c>
      <c r="AB106" s="383">
        <v>305674.36865368346</v>
      </c>
      <c r="AC106" s="383">
        <v>82603.215323752476</v>
      </c>
      <c r="AD106" s="383">
        <v>105164.24521382229</v>
      </c>
      <c r="AE106" s="383">
        <v>0</v>
      </c>
      <c r="AF106" s="383">
        <v>38373.687194696831</v>
      </c>
      <c r="AG106" s="383">
        <v>8800</v>
      </c>
      <c r="AH106" s="383">
        <v>13000</v>
      </c>
      <c r="AI106" s="383">
        <v>8138</v>
      </c>
      <c r="AJ106" s="383">
        <v>1444</v>
      </c>
      <c r="AK106" s="383">
        <v>12000</v>
      </c>
      <c r="AL106" s="383">
        <v>3240</v>
      </c>
      <c r="AM106" s="383">
        <v>6650</v>
      </c>
      <c r="AN106" s="383">
        <v>5000</v>
      </c>
      <c r="AO106" s="383">
        <v>24000</v>
      </c>
      <c r="AP106" s="383">
        <v>46795</v>
      </c>
      <c r="AQ106" s="383">
        <v>9133</v>
      </c>
      <c r="AR106" s="383">
        <v>78477</v>
      </c>
      <c r="AS106" s="383">
        <v>33828</v>
      </c>
      <c r="AT106" s="383">
        <v>0</v>
      </c>
      <c r="AU106" s="383">
        <v>7020</v>
      </c>
      <c r="AV106" s="383">
        <v>9662.25</v>
      </c>
      <c r="AW106" s="383">
        <v>0</v>
      </c>
      <c r="AX106" s="383">
        <v>81815</v>
      </c>
      <c r="AY106" s="383">
        <v>3500</v>
      </c>
      <c r="AZ106" s="383">
        <v>5500</v>
      </c>
      <c r="BA106" s="383">
        <v>18410</v>
      </c>
      <c r="BB106" s="383">
        <v>0</v>
      </c>
      <c r="BC106" s="383">
        <v>1835</v>
      </c>
      <c r="BD106" s="383">
        <v>4350</v>
      </c>
      <c r="BE106" s="383">
        <f t="shared" si="14"/>
        <v>2057892.7100343723</v>
      </c>
      <c r="BF106" s="383">
        <f t="shared" si="15"/>
        <v>-70227.710031820228</v>
      </c>
      <c r="BG106" s="383">
        <v>120819.45999999944</v>
      </c>
      <c r="BH106" s="383">
        <f t="shared" si="16"/>
        <v>50591.749968179211</v>
      </c>
      <c r="BI106" s="383">
        <v>131250</v>
      </c>
      <c r="BJ106" s="383">
        <v>145000</v>
      </c>
      <c r="BK106" s="383">
        <f t="shared" si="17"/>
        <v>276250</v>
      </c>
      <c r="BL106" s="383">
        <v>206256.90540912107</v>
      </c>
      <c r="BM106" s="383">
        <v>89500</v>
      </c>
      <c r="BN106" s="383">
        <f t="shared" si="18"/>
        <v>295756.90540912107</v>
      </c>
      <c r="BO106" s="383">
        <f t="shared" si="19"/>
        <v>-19506.905409121071</v>
      </c>
      <c r="BP106" s="383">
        <v>51309.25</v>
      </c>
      <c r="BQ106" s="383">
        <f t="shared" si="20"/>
        <v>31802.344590878929</v>
      </c>
      <c r="BR106" s="383">
        <v>0</v>
      </c>
      <c r="BS106" s="383">
        <v>50591.749968179211</v>
      </c>
      <c r="BT106" s="383">
        <v>31802.344590878929</v>
      </c>
      <c r="BU106" s="383">
        <f t="shared" si="21"/>
        <v>82394.09455905814</v>
      </c>
      <c r="BV106" s="383">
        <v>7510</v>
      </c>
      <c r="BW106" s="383">
        <v>0</v>
      </c>
      <c r="BX106" s="383">
        <v>0</v>
      </c>
      <c r="BY106" s="383">
        <f t="shared" si="22"/>
        <v>7510</v>
      </c>
      <c r="BZ106" s="383">
        <v>0</v>
      </c>
      <c r="CA106" s="383">
        <v>8244.64</v>
      </c>
      <c r="CB106" s="383">
        <v>0</v>
      </c>
      <c r="CC106" s="383">
        <v>0</v>
      </c>
      <c r="CD106" s="383">
        <f t="shared" si="23"/>
        <v>8244.64</v>
      </c>
      <c r="CE106" s="383">
        <f t="shared" si="24"/>
        <v>-734.63999999999942</v>
      </c>
      <c r="CF106" s="383">
        <v>734.64000000000124</v>
      </c>
      <c r="CG106" s="383">
        <f t="shared" si="25"/>
        <v>1.8189894035458565E-12</v>
      </c>
      <c r="CH106" s="383">
        <f>VLOOKUP($B106,'Data - CFR 202526'!$B$4:$CJ$127,85,0)</f>
        <v>734.64000000000124</v>
      </c>
      <c r="CI106" s="383">
        <f>VLOOKUP($B106,'Data - CFR 202526'!$B$4:$CJ$127,86,0)</f>
        <v>0</v>
      </c>
      <c r="CJ106" s="383">
        <f>VLOOKUP($B106,'Data - CFR 202526'!$B$4:$CJ$127,87,0)</f>
        <v>734.64000000000124</v>
      </c>
    </row>
    <row r="107" spans="1:88" ht="13.8">
      <c r="A107" s="252" t="s">
        <v>1525</v>
      </c>
      <c r="B107" s="288">
        <v>3325</v>
      </c>
      <c r="C107" s="288" t="s">
        <v>808</v>
      </c>
      <c r="D107" s="248" t="s">
        <v>704</v>
      </c>
      <c r="E107" s="384"/>
      <c r="F107" s="383">
        <v>1024667.5951448351</v>
      </c>
      <c r="G107" s="383">
        <v>0</v>
      </c>
      <c r="H107" s="383">
        <v>64816</v>
      </c>
      <c r="I107" s="383">
        <v>0</v>
      </c>
      <c r="J107" s="383">
        <v>86800</v>
      </c>
      <c r="K107" s="383">
        <v>35627</v>
      </c>
      <c r="L107" s="383">
        <v>1000</v>
      </c>
      <c r="M107" s="383">
        <v>5900</v>
      </c>
      <c r="N107" s="383">
        <v>121502.43</v>
      </c>
      <c r="O107" s="383">
        <v>0</v>
      </c>
      <c r="P107" s="383">
        <v>0</v>
      </c>
      <c r="Q107" s="383">
        <v>0</v>
      </c>
      <c r="R107" s="383">
        <v>16820</v>
      </c>
      <c r="S107" s="383">
        <v>5000</v>
      </c>
      <c r="T107" s="383">
        <v>0</v>
      </c>
      <c r="U107" s="383">
        <v>0</v>
      </c>
      <c r="V107" s="383">
        <v>0</v>
      </c>
      <c r="W107" s="383">
        <v>0</v>
      </c>
      <c r="X107" s="383">
        <v>0</v>
      </c>
      <c r="Y107" s="383">
        <f t="shared" si="13"/>
        <v>1362133.025144835</v>
      </c>
      <c r="Z107" s="383">
        <v>706052.8722186666</v>
      </c>
      <c r="AA107" s="383">
        <v>2500</v>
      </c>
      <c r="AB107" s="383">
        <v>265208.5559948078</v>
      </c>
      <c r="AC107" s="383">
        <v>0</v>
      </c>
      <c r="AD107" s="383">
        <v>79415.442649161894</v>
      </c>
      <c r="AE107" s="383">
        <v>0</v>
      </c>
      <c r="AF107" s="383">
        <v>43981.066843440938</v>
      </c>
      <c r="AG107" s="383">
        <v>400</v>
      </c>
      <c r="AH107" s="383">
        <v>4000</v>
      </c>
      <c r="AI107" s="383">
        <v>4375</v>
      </c>
      <c r="AJ107" s="383">
        <v>0</v>
      </c>
      <c r="AK107" s="383">
        <v>10000</v>
      </c>
      <c r="AL107" s="383">
        <v>3550</v>
      </c>
      <c r="AM107" s="383">
        <v>38000</v>
      </c>
      <c r="AN107" s="383">
        <v>4000</v>
      </c>
      <c r="AO107" s="383">
        <v>26000</v>
      </c>
      <c r="AP107" s="383">
        <v>5096</v>
      </c>
      <c r="AQ107" s="383">
        <v>5826</v>
      </c>
      <c r="AR107" s="383">
        <v>22053</v>
      </c>
      <c r="AS107" s="383">
        <v>33961</v>
      </c>
      <c r="AT107" s="383">
        <v>0</v>
      </c>
      <c r="AU107" s="383">
        <v>7845</v>
      </c>
      <c r="AV107" s="383">
        <v>5390.82</v>
      </c>
      <c r="AW107" s="383">
        <v>2200</v>
      </c>
      <c r="AX107" s="383">
        <v>49337</v>
      </c>
      <c r="AY107" s="383">
        <v>2000</v>
      </c>
      <c r="AZ107" s="383">
        <v>2825</v>
      </c>
      <c r="BA107" s="383">
        <v>33185</v>
      </c>
      <c r="BB107" s="383">
        <v>0</v>
      </c>
      <c r="BC107" s="383">
        <v>0</v>
      </c>
      <c r="BD107" s="383">
        <v>4650</v>
      </c>
      <c r="BE107" s="383">
        <f t="shared" si="14"/>
        <v>1361851.7577060773</v>
      </c>
      <c r="BF107" s="383">
        <f t="shared" si="15"/>
        <v>281.26743875769898</v>
      </c>
      <c r="BG107" s="383">
        <v>28076.560000000587</v>
      </c>
      <c r="BH107" s="383">
        <f t="shared" si="16"/>
        <v>28357.827438758286</v>
      </c>
      <c r="BI107" s="383">
        <v>53000</v>
      </c>
      <c r="BJ107" s="383">
        <v>7500</v>
      </c>
      <c r="BK107" s="383">
        <f t="shared" si="17"/>
        <v>60500</v>
      </c>
      <c r="BL107" s="383">
        <v>51844.25913026878</v>
      </c>
      <c r="BM107" s="383">
        <v>10700</v>
      </c>
      <c r="BN107" s="383">
        <f t="shared" si="18"/>
        <v>62544.25913026878</v>
      </c>
      <c r="BO107" s="383">
        <f t="shared" si="19"/>
        <v>-2044.2591302687797</v>
      </c>
      <c r="BP107" s="383">
        <v>4558.2400000000134</v>
      </c>
      <c r="BQ107" s="383">
        <f t="shared" si="20"/>
        <v>2513.9808697312337</v>
      </c>
      <c r="BR107" s="383">
        <v>0</v>
      </c>
      <c r="BS107" s="383">
        <v>28357.827438758286</v>
      </c>
      <c r="BT107" s="383">
        <v>2513.9808697312337</v>
      </c>
      <c r="BU107" s="383">
        <f t="shared" si="21"/>
        <v>30871.808308489519</v>
      </c>
      <c r="BV107" s="383">
        <v>0</v>
      </c>
      <c r="BW107" s="383">
        <v>0</v>
      </c>
      <c r="BX107" s="383">
        <v>0</v>
      </c>
      <c r="BY107" s="383">
        <f t="shared" si="22"/>
        <v>0</v>
      </c>
      <c r="BZ107" s="383">
        <v>0</v>
      </c>
      <c r="CA107" s="383">
        <v>0</v>
      </c>
      <c r="CB107" s="383">
        <v>0</v>
      </c>
      <c r="CC107" s="383">
        <v>0</v>
      </c>
      <c r="CD107" s="383">
        <f t="shared" si="23"/>
        <v>0</v>
      </c>
      <c r="CE107" s="383">
        <f t="shared" si="24"/>
        <v>0</v>
      </c>
      <c r="CF107" s="383">
        <v>0</v>
      </c>
      <c r="CG107" s="383">
        <f t="shared" si="25"/>
        <v>0</v>
      </c>
      <c r="CH107" s="383">
        <f>VLOOKUP($B107,'Data - CFR 202526'!$B$4:$CJ$127,85,0)</f>
        <v>0</v>
      </c>
      <c r="CI107" s="383">
        <f>VLOOKUP($B107,'Data - CFR 202526'!$B$4:$CJ$127,86,0)</f>
        <v>0</v>
      </c>
      <c r="CJ107" s="383">
        <f>VLOOKUP($B107,'Data - CFR 202526'!$B$4:$CJ$127,87,0)</f>
        <v>0</v>
      </c>
    </row>
    <row r="108" spans="1:88" ht="13.8">
      <c r="A108" s="252" t="s">
        <v>1525</v>
      </c>
      <c r="B108" s="288">
        <v>1001</v>
      </c>
      <c r="C108" s="288" t="s">
        <v>809</v>
      </c>
      <c r="D108" s="248" t="s">
        <v>720</v>
      </c>
      <c r="E108" s="384"/>
      <c r="F108" s="383">
        <v>515979</v>
      </c>
      <c r="G108" s="383">
        <v>0</v>
      </c>
      <c r="H108" s="383">
        <v>25000</v>
      </c>
      <c r="I108" s="383">
        <v>0</v>
      </c>
      <c r="J108" s="383">
        <v>0</v>
      </c>
      <c r="K108" s="383">
        <v>0</v>
      </c>
      <c r="L108" s="383">
        <v>6789.8</v>
      </c>
      <c r="M108" s="383">
        <v>5830.35</v>
      </c>
      <c r="N108" s="383">
        <v>20124</v>
      </c>
      <c r="O108" s="383">
        <v>46382.3</v>
      </c>
      <c r="P108" s="383">
        <v>0</v>
      </c>
      <c r="Q108" s="383">
        <v>0</v>
      </c>
      <c r="R108" s="383">
        <v>32000</v>
      </c>
      <c r="S108" s="383">
        <v>0</v>
      </c>
      <c r="T108" s="383">
        <v>0</v>
      </c>
      <c r="U108" s="383">
        <v>0</v>
      </c>
      <c r="V108" s="383">
        <v>0</v>
      </c>
      <c r="W108" s="383">
        <v>0</v>
      </c>
      <c r="X108" s="383">
        <v>0</v>
      </c>
      <c r="Y108" s="383">
        <f t="shared" si="13"/>
        <v>652105.45000000007</v>
      </c>
      <c r="Z108" s="383">
        <v>184463.87849066668</v>
      </c>
      <c r="AA108" s="383">
        <v>0</v>
      </c>
      <c r="AB108" s="383">
        <v>297021.98200704815</v>
      </c>
      <c r="AC108" s="383">
        <v>0</v>
      </c>
      <c r="AD108" s="383">
        <v>26051.548863202035</v>
      </c>
      <c r="AE108" s="383">
        <v>57220.243334817489</v>
      </c>
      <c r="AF108" s="383">
        <v>4259.0383952131324</v>
      </c>
      <c r="AG108" s="383">
        <v>2472</v>
      </c>
      <c r="AH108" s="383">
        <v>800</v>
      </c>
      <c r="AI108" s="383">
        <v>1496</v>
      </c>
      <c r="AJ108" s="383">
        <v>1150</v>
      </c>
      <c r="AK108" s="383">
        <v>14200</v>
      </c>
      <c r="AL108" s="383">
        <v>1159</v>
      </c>
      <c r="AM108" s="383">
        <v>18104.43</v>
      </c>
      <c r="AN108" s="383">
        <v>3234.38</v>
      </c>
      <c r="AO108" s="383">
        <v>12000</v>
      </c>
      <c r="AP108" s="383">
        <v>10942.07</v>
      </c>
      <c r="AQ108" s="383">
        <v>2766.49</v>
      </c>
      <c r="AR108" s="383">
        <v>3000</v>
      </c>
      <c r="AS108" s="383">
        <v>8553.380000000001</v>
      </c>
      <c r="AT108" s="383">
        <v>0</v>
      </c>
      <c r="AU108" s="383">
        <v>1200</v>
      </c>
      <c r="AV108" s="383">
        <v>1992.16</v>
      </c>
      <c r="AW108" s="383">
        <v>2000</v>
      </c>
      <c r="AX108" s="383">
        <v>15374.7</v>
      </c>
      <c r="AY108" s="383">
        <v>0</v>
      </c>
      <c r="AZ108" s="383">
        <v>0</v>
      </c>
      <c r="BA108" s="383">
        <v>9535.77</v>
      </c>
      <c r="BB108" s="383">
        <v>0</v>
      </c>
      <c r="BC108" s="383">
        <v>0</v>
      </c>
      <c r="BD108" s="383">
        <v>0</v>
      </c>
      <c r="BE108" s="383">
        <f t="shared" si="14"/>
        <v>678997.07109094749</v>
      </c>
      <c r="BF108" s="383">
        <f t="shared" si="15"/>
        <v>-26891.621090947418</v>
      </c>
      <c r="BG108" s="383">
        <v>-171255.6799999997</v>
      </c>
      <c r="BH108" s="383">
        <f t="shared" si="16"/>
        <v>-198147.30109094712</v>
      </c>
      <c r="BI108" s="383">
        <v>70000</v>
      </c>
      <c r="BJ108" s="383">
        <v>0</v>
      </c>
      <c r="BK108" s="383">
        <f t="shared" si="17"/>
        <v>70000</v>
      </c>
      <c r="BL108" s="383">
        <v>44268.83109</v>
      </c>
      <c r="BM108" s="383">
        <v>24733.43</v>
      </c>
      <c r="BN108" s="383">
        <f t="shared" si="18"/>
        <v>69002.26109</v>
      </c>
      <c r="BO108" s="383">
        <f t="shared" si="19"/>
        <v>997.73891000000003</v>
      </c>
      <c r="BP108" s="383">
        <v>-823.4099999999944</v>
      </c>
      <c r="BQ108" s="383">
        <f t="shared" si="20"/>
        <v>174.32891000000564</v>
      </c>
      <c r="BR108" s="383">
        <v>0</v>
      </c>
      <c r="BS108" s="383">
        <v>-198147.30109094712</v>
      </c>
      <c r="BT108" s="383">
        <v>174.32891000000564</v>
      </c>
      <c r="BU108" s="383">
        <f t="shared" si="21"/>
        <v>-197972.97218094711</v>
      </c>
      <c r="BV108" s="383">
        <v>4471</v>
      </c>
      <c r="BW108" s="383">
        <v>0</v>
      </c>
      <c r="BX108" s="383">
        <v>0</v>
      </c>
      <c r="BY108" s="383">
        <f t="shared" si="22"/>
        <v>4471</v>
      </c>
      <c r="BZ108" s="383">
        <v>0</v>
      </c>
      <c r="CA108" s="383">
        <v>6000</v>
      </c>
      <c r="CB108" s="383">
        <v>0</v>
      </c>
      <c r="CC108" s="383">
        <v>938</v>
      </c>
      <c r="CD108" s="383">
        <f t="shared" si="23"/>
        <v>6938</v>
      </c>
      <c r="CE108" s="383">
        <f t="shared" si="24"/>
        <v>-2467</v>
      </c>
      <c r="CF108" s="383">
        <v>32356.510000000002</v>
      </c>
      <c r="CG108" s="383">
        <f t="shared" si="25"/>
        <v>29889.510000000002</v>
      </c>
      <c r="CH108" s="383">
        <f>VLOOKUP($B108,'Data - CFR 202526'!$B$4:$CJ$127,85,0)</f>
        <v>32356.510000000002</v>
      </c>
      <c r="CI108" s="383">
        <f>VLOOKUP($B108,'Data - CFR 202526'!$B$4:$CJ$127,86,0)</f>
        <v>0</v>
      </c>
      <c r="CJ108" s="383">
        <f>VLOOKUP($B108,'Data - CFR 202526'!$B$4:$CJ$127,87,0)</f>
        <v>32356.510000000002</v>
      </c>
    </row>
    <row r="109" spans="1:88" ht="13.8">
      <c r="A109" s="252" t="s">
        <v>1525</v>
      </c>
      <c r="B109" s="288">
        <v>2123</v>
      </c>
      <c r="C109" s="288" t="s">
        <v>810</v>
      </c>
      <c r="D109" s="248" t="s">
        <v>704</v>
      </c>
      <c r="E109" s="384"/>
      <c r="F109" s="383">
        <v>1442994.5580025641</v>
      </c>
      <c r="G109" s="383">
        <v>0</v>
      </c>
      <c r="H109" s="383">
        <v>110400</v>
      </c>
      <c r="I109" s="383">
        <v>0</v>
      </c>
      <c r="J109" s="383">
        <v>128600</v>
      </c>
      <c r="K109" s="383">
        <v>40595</v>
      </c>
      <c r="L109" s="383">
        <v>0</v>
      </c>
      <c r="M109" s="383">
        <v>74151</v>
      </c>
      <c r="N109" s="383">
        <v>26378.1</v>
      </c>
      <c r="O109" s="383">
        <v>15210</v>
      </c>
      <c r="P109" s="383">
        <v>0</v>
      </c>
      <c r="Q109" s="383">
        <v>0</v>
      </c>
      <c r="R109" s="383">
        <v>0</v>
      </c>
      <c r="S109" s="383">
        <v>0</v>
      </c>
      <c r="T109" s="383">
        <v>0</v>
      </c>
      <c r="U109" s="383">
        <v>0</v>
      </c>
      <c r="V109" s="383">
        <v>0</v>
      </c>
      <c r="W109" s="383">
        <v>0</v>
      </c>
      <c r="X109" s="383">
        <v>0</v>
      </c>
      <c r="Y109" s="383">
        <f t="shared" si="13"/>
        <v>1838328.6580025642</v>
      </c>
      <c r="Z109" s="383">
        <v>770265.27784693334</v>
      </c>
      <c r="AA109" s="383">
        <v>0</v>
      </c>
      <c r="AB109" s="383">
        <v>451689.7798322211</v>
      </c>
      <c r="AC109" s="383">
        <v>124056.37354150528</v>
      </c>
      <c r="AD109" s="383">
        <v>87356.504288379438</v>
      </c>
      <c r="AE109" s="383">
        <v>0</v>
      </c>
      <c r="AF109" s="383">
        <v>56717.871131194537</v>
      </c>
      <c r="AG109" s="383">
        <v>6300</v>
      </c>
      <c r="AH109" s="383">
        <v>5000</v>
      </c>
      <c r="AI109" s="383">
        <v>5500</v>
      </c>
      <c r="AJ109" s="383">
        <v>130</v>
      </c>
      <c r="AK109" s="383">
        <v>32900</v>
      </c>
      <c r="AL109" s="383">
        <v>3900</v>
      </c>
      <c r="AM109" s="383">
        <v>5700</v>
      </c>
      <c r="AN109" s="383">
        <v>18300</v>
      </c>
      <c r="AO109" s="383">
        <v>43330</v>
      </c>
      <c r="AP109" s="383">
        <v>38955</v>
      </c>
      <c r="AQ109" s="383">
        <v>15400</v>
      </c>
      <c r="AR109" s="383">
        <v>26572</v>
      </c>
      <c r="AS109" s="383">
        <v>37100</v>
      </c>
      <c r="AT109" s="383">
        <v>0</v>
      </c>
      <c r="AU109" s="383">
        <v>7348</v>
      </c>
      <c r="AV109" s="383">
        <v>8540</v>
      </c>
      <c r="AW109" s="383">
        <v>1500</v>
      </c>
      <c r="AX109" s="383">
        <v>82996.03</v>
      </c>
      <c r="AY109" s="383">
        <v>0</v>
      </c>
      <c r="AZ109" s="383">
        <v>13500</v>
      </c>
      <c r="BA109" s="383">
        <v>32642.77</v>
      </c>
      <c r="BB109" s="383">
        <v>0</v>
      </c>
      <c r="BC109" s="383">
        <v>0</v>
      </c>
      <c r="BD109" s="383">
        <v>12236</v>
      </c>
      <c r="BE109" s="383">
        <f t="shared" si="14"/>
        <v>1887935.6066402337</v>
      </c>
      <c r="BF109" s="383">
        <f t="shared" si="15"/>
        <v>-49606.94863766944</v>
      </c>
      <c r="BG109" s="383">
        <v>38388.800000000047</v>
      </c>
      <c r="BH109" s="383">
        <f t="shared" si="16"/>
        <v>-11218.148637669394</v>
      </c>
      <c r="BI109" s="383">
        <v>136461</v>
      </c>
      <c r="BJ109" s="383">
        <v>11100</v>
      </c>
      <c r="BK109" s="383">
        <f t="shared" si="17"/>
        <v>147561</v>
      </c>
      <c r="BL109" s="383">
        <v>144867.1262020391</v>
      </c>
      <c r="BM109" s="383">
        <v>2628</v>
      </c>
      <c r="BN109" s="383">
        <f t="shared" si="18"/>
        <v>147495.1262020391</v>
      </c>
      <c r="BO109" s="383">
        <f t="shared" si="19"/>
        <v>65.873797960899537</v>
      </c>
      <c r="BP109" s="383">
        <v>11157.73000000001</v>
      </c>
      <c r="BQ109" s="383">
        <f t="shared" si="20"/>
        <v>11223.60379796091</v>
      </c>
      <c r="BR109" s="383">
        <v>0</v>
      </c>
      <c r="BS109" s="383">
        <v>-11218.148637669394</v>
      </c>
      <c r="BT109" s="383">
        <v>11223.60379796091</v>
      </c>
      <c r="BU109" s="383">
        <f t="shared" si="21"/>
        <v>5.4551602915162221</v>
      </c>
      <c r="BV109" s="383">
        <v>6613.15</v>
      </c>
      <c r="BW109" s="383">
        <v>0</v>
      </c>
      <c r="BX109" s="383">
        <v>0</v>
      </c>
      <c r="BY109" s="383">
        <f t="shared" si="22"/>
        <v>6613.15</v>
      </c>
      <c r="BZ109" s="383">
        <v>0</v>
      </c>
      <c r="CA109" s="383">
        <v>8099.78</v>
      </c>
      <c r="CB109" s="383">
        <v>0</v>
      </c>
      <c r="CC109" s="383">
        <v>0</v>
      </c>
      <c r="CD109" s="383">
        <f t="shared" si="23"/>
        <v>8099.78</v>
      </c>
      <c r="CE109" s="383">
        <f t="shared" si="24"/>
        <v>-1486.63</v>
      </c>
      <c r="CF109" s="383">
        <v>1486.6299999999987</v>
      </c>
      <c r="CG109" s="383">
        <f t="shared" si="25"/>
        <v>0</v>
      </c>
      <c r="CH109" s="383">
        <f>VLOOKUP($B109,'Data - CFR 202526'!$B$4:$CJ$127,85,0)</f>
        <v>1486.6299999999987</v>
      </c>
      <c r="CI109" s="383">
        <f>VLOOKUP($B109,'Data - CFR 202526'!$B$4:$CJ$127,86,0)</f>
        <v>0</v>
      </c>
      <c r="CJ109" s="383">
        <f>VLOOKUP($B109,'Data - CFR 202526'!$B$4:$CJ$127,87,0)</f>
        <v>1486.6299999999987</v>
      </c>
    </row>
    <row r="110" spans="1:88" ht="13.8">
      <c r="A110" s="252" t="s">
        <v>1525</v>
      </c>
      <c r="B110" s="288">
        <v>2260</v>
      </c>
      <c r="C110" s="288" t="s">
        <v>811</v>
      </c>
      <c r="D110" s="248" t="s">
        <v>704</v>
      </c>
      <c r="E110" s="384"/>
      <c r="F110" s="383">
        <v>479430.18898639997</v>
      </c>
      <c r="G110" s="383">
        <v>0</v>
      </c>
      <c r="H110" s="383">
        <v>33212</v>
      </c>
      <c r="I110" s="383">
        <v>0</v>
      </c>
      <c r="J110" s="383">
        <v>17050</v>
      </c>
      <c r="K110" s="383">
        <v>23273</v>
      </c>
      <c r="L110" s="383">
        <v>0</v>
      </c>
      <c r="M110" s="383">
        <v>0</v>
      </c>
      <c r="N110" s="383">
        <v>27030</v>
      </c>
      <c r="O110" s="383">
        <v>0</v>
      </c>
      <c r="P110" s="383">
        <v>0</v>
      </c>
      <c r="Q110" s="383">
        <v>0</v>
      </c>
      <c r="R110" s="383">
        <v>0</v>
      </c>
      <c r="S110" s="383">
        <v>0</v>
      </c>
      <c r="T110" s="383">
        <v>0</v>
      </c>
      <c r="U110" s="383">
        <v>0</v>
      </c>
      <c r="V110" s="383">
        <v>0</v>
      </c>
      <c r="W110" s="383">
        <v>0</v>
      </c>
      <c r="X110" s="383">
        <v>0</v>
      </c>
      <c r="Y110" s="383">
        <f t="shared" si="13"/>
        <v>579995.18898639991</v>
      </c>
      <c r="Z110" s="383">
        <v>243924.60880133335</v>
      </c>
      <c r="AA110" s="383">
        <v>4500</v>
      </c>
      <c r="AB110" s="383">
        <v>138667.16981156752</v>
      </c>
      <c r="AC110" s="383">
        <v>0</v>
      </c>
      <c r="AD110" s="383">
        <v>50012.132429342419</v>
      </c>
      <c r="AE110" s="383">
        <v>3678.7895228056204</v>
      </c>
      <c r="AF110" s="383">
        <v>29647.664449394171</v>
      </c>
      <c r="AG110" s="383">
        <v>3742</v>
      </c>
      <c r="AH110" s="383">
        <v>2800</v>
      </c>
      <c r="AI110" s="383">
        <v>1400</v>
      </c>
      <c r="AJ110" s="383">
        <v>0</v>
      </c>
      <c r="AK110" s="383">
        <v>8500</v>
      </c>
      <c r="AL110" s="383">
        <v>2500</v>
      </c>
      <c r="AM110" s="383">
        <v>21000</v>
      </c>
      <c r="AN110" s="383">
        <v>1700</v>
      </c>
      <c r="AO110" s="383">
        <v>19800</v>
      </c>
      <c r="AP110" s="383">
        <v>12487</v>
      </c>
      <c r="AQ110" s="383">
        <v>2016</v>
      </c>
      <c r="AR110" s="383">
        <v>20706</v>
      </c>
      <c r="AS110" s="383">
        <v>21400</v>
      </c>
      <c r="AT110" s="383">
        <v>0</v>
      </c>
      <c r="AU110" s="383">
        <v>4575</v>
      </c>
      <c r="AV110" s="383">
        <v>2034</v>
      </c>
      <c r="AW110" s="383">
        <v>2771</v>
      </c>
      <c r="AX110" s="383">
        <v>13563</v>
      </c>
      <c r="AY110" s="383">
        <v>2300</v>
      </c>
      <c r="AZ110" s="383">
        <v>8810</v>
      </c>
      <c r="BA110" s="383">
        <v>9681</v>
      </c>
      <c r="BB110" s="383">
        <v>0</v>
      </c>
      <c r="BC110" s="383">
        <v>0</v>
      </c>
      <c r="BD110" s="383">
        <v>0</v>
      </c>
      <c r="BE110" s="383">
        <f t="shared" si="14"/>
        <v>632215.36501444306</v>
      </c>
      <c r="BF110" s="383">
        <f t="shared" si="15"/>
        <v>-52220.176028043148</v>
      </c>
      <c r="BG110" s="383">
        <v>71721.970000000103</v>
      </c>
      <c r="BH110" s="383">
        <f t="shared" si="16"/>
        <v>19501.793971956955</v>
      </c>
      <c r="BI110" s="383">
        <v>0</v>
      </c>
      <c r="BJ110" s="383">
        <v>0</v>
      </c>
      <c r="BK110" s="383">
        <f t="shared" si="17"/>
        <v>0</v>
      </c>
      <c r="BL110" s="383">
        <v>0</v>
      </c>
      <c r="BM110" s="383">
        <v>0</v>
      </c>
      <c r="BN110" s="383">
        <f t="shared" si="18"/>
        <v>0</v>
      </c>
      <c r="BO110" s="383">
        <f t="shared" si="19"/>
        <v>0</v>
      </c>
      <c r="BP110" s="383">
        <v>0</v>
      </c>
      <c r="BQ110" s="383">
        <f t="shared" si="20"/>
        <v>0</v>
      </c>
      <c r="BR110" s="383">
        <v>0</v>
      </c>
      <c r="BS110" s="383">
        <v>19501.793971956955</v>
      </c>
      <c r="BT110" s="383">
        <v>0</v>
      </c>
      <c r="BU110" s="383">
        <f t="shared" si="21"/>
        <v>19501.793971956955</v>
      </c>
      <c r="BV110" s="383">
        <v>4585</v>
      </c>
      <c r="BW110" s="383">
        <v>0</v>
      </c>
      <c r="BX110" s="383">
        <v>0</v>
      </c>
      <c r="BY110" s="383">
        <f t="shared" si="22"/>
        <v>4585</v>
      </c>
      <c r="BZ110" s="383">
        <v>0</v>
      </c>
      <c r="CA110" s="383">
        <v>7441.88</v>
      </c>
      <c r="CB110" s="383">
        <v>0</v>
      </c>
      <c r="CC110" s="383">
        <v>0</v>
      </c>
      <c r="CD110" s="383">
        <f t="shared" si="23"/>
        <v>7441.88</v>
      </c>
      <c r="CE110" s="383">
        <f t="shared" si="24"/>
        <v>-2856.88</v>
      </c>
      <c r="CF110" s="383">
        <v>2856.88</v>
      </c>
      <c r="CG110" s="383">
        <f t="shared" si="25"/>
        <v>0</v>
      </c>
      <c r="CH110" s="383">
        <f>VLOOKUP($B110,'Data - CFR 202526'!$B$4:$CJ$127,85,0)</f>
        <v>2856.88</v>
      </c>
      <c r="CI110" s="383">
        <f>VLOOKUP($B110,'Data - CFR 202526'!$B$4:$CJ$127,86,0)</f>
        <v>0</v>
      </c>
      <c r="CJ110" s="383">
        <f>VLOOKUP($B110,'Data - CFR 202526'!$B$4:$CJ$127,87,0)</f>
        <v>2856.88</v>
      </c>
    </row>
    <row r="111" spans="1:88" ht="13.8">
      <c r="A111" s="252" t="s">
        <v>1525</v>
      </c>
      <c r="B111" s="288">
        <v>3058</v>
      </c>
      <c r="C111" s="288" t="s">
        <v>812</v>
      </c>
      <c r="D111" s="248" t="s">
        <v>704</v>
      </c>
      <c r="E111" s="384"/>
      <c r="F111" s="383">
        <v>1742184.5859994718</v>
      </c>
      <c r="G111" s="383">
        <v>0</v>
      </c>
      <c r="H111" s="383">
        <v>100383.2</v>
      </c>
      <c r="I111" s="383">
        <v>0</v>
      </c>
      <c r="J111" s="383">
        <v>119640</v>
      </c>
      <c r="K111" s="383">
        <v>69276</v>
      </c>
      <c r="L111" s="383">
        <v>0</v>
      </c>
      <c r="M111" s="383">
        <v>950</v>
      </c>
      <c r="N111" s="383">
        <v>39800</v>
      </c>
      <c r="O111" s="383">
        <v>32800</v>
      </c>
      <c r="P111" s="383">
        <v>3649.95</v>
      </c>
      <c r="Q111" s="383">
        <v>210.6</v>
      </c>
      <c r="R111" s="383">
        <v>13802</v>
      </c>
      <c r="S111" s="383">
        <v>7000</v>
      </c>
      <c r="T111" s="383">
        <v>0</v>
      </c>
      <c r="U111" s="383">
        <v>0</v>
      </c>
      <c r="V111" s="383">
        <v>0</v>
      </c>
      <c r="W111" s="383">
        <v>0</v>
      </c>
      <c r="X111" s="383">
        <v>0</v>
      </c>
      <c r="Y111" s="383">
        <f t="shared" si="13"/>
        <v>2129696.3359994721</v>
      </c>
      <c r="Z111" s="383">
        <v>913584.49958909908</v>
      </c>
      <c r="AA111" s="383">
        <v>0</v>
      </c>
      <c r="AB111" s="383">
        <v>571651.1960781829</v>
      </c>
      <c r="AC111" s="383">
        <v>74631.907939999001</v>
      </c>
      <c r="AD111" s="383">
        <v>101103.13404816799</v>
      </c>
      <c r="AE111" s="383">
        <v>60659.32772971013</v>
      </c>
      <c r="AF111" s="383">
        <v>75639.866183349382</v>
      </c>
      <c r="AG111" s="383">
        <v>9800</v>
      </c>
      <c r="AH111" s="383">
        <v>8000</v>
      </c>
      <c r="AI111" s="383">
        <v>8008</v>
      </c>
      <c r="AJ111" s="383">
        <v>3900</v>
      </c>
      <c r="AK111" s="383">
        <v>24750</v>
      </c>
      <c r="AL111" s="383">
        <v>4500</v>
      </c>
      <c r="AM111" s="383">
        <v>6550</v>
      </c>
      <c r="AN111" s="383">
        <v>10000</v>
      </c>
      <c r="AO111" s="383">
        <v>28575</v>
      </c>
      <c r="AP111" s="383">
        <v>38220</v>
      </c>
      <c r="AQ111" s="383">
        <v>15150</v>
      </c>
      <c r="AR111" s="383">
        <v>72618.14</v>
      </c>
      <c r="AS111" s="383">
        <v>35550</v>
      </c>
      <c r="AT111" s="383">
        <v>0</v>
      </c>
      <c r="AU111" s="383">
        <v>16017</v>
      </c>
      <c r="AV111" s="383">
        <v>8721.44</v>
      </c>
      <c r="AW111" s="383">
        <v>300</v>
      </c>
      <c r="AX111" s="383">
        <v>61160</v>
      </c>
      <c r="AY111" s="383">
        <v>9803.369999999999</v>
      </c>
      <c r="AZ111" s="383">
        <v>0</v>
      </c>
      <c r="BA111" s="383">
        <v>19020.36</v>
      </c>
      <c r="BB111" s="383">
        <v>0</v>
      </c>
      <c r="BC111" s="383">
        <v>2003.81</v>
      </c>
      <c r="BD111" s="383">
        <v>4000</v>
      </c>
      <c r="BE111" s="383">
        <f t="shared" si="14"/>
        <v>2183917.0515685081</v>
      </c>
      <c r="BF111" s="383">
        <f t="shared" si="15"/>
        <v>-54220.715569036081</v>
      </c>
      <c r="BG111" s="383">
        <v>118935</v>
      </c>
      <c r="BH111" s="383">
        <f t="shared" si="16"/>
        <v>64714.284430963919</v>
      </c>
      <c r="BI111" s="383">
        <v>143000</v>
      </c>
      <c r="BJ111" s="383">
        <v>12000</v>
      </c>
      <c r="BK111" s="383">
        <f t="shared" si="17"/>
        <v>155000</v>
      </c>
      <c r="BL111" s="383">
        <v>140364.29289225678</v>
      </c>
      <c r="BM111" s="383">
        <v>21400</v>
      </c>
      <c r="BN111" s="383">
        <f t="shared" si="18"/>
        <v>161764.29289225678</v>
      </c>
      <c r="BO111" s="383">
        <f t="shared" si="19"/>
        <v>-6764.2928922567808</v>
      </c>
      <c r="BP111" s="383">
        <v>46449.779999999992</v>
      </c>
      <c r="BQ111" s="383">
        <f t="shared" si="20"/>
        <v>39685.487107743211</v>
      </c>
      <c r="BR111" s="383">
        <v>0</v>
      </c>
      <c r="BS111" s="383">
        <v>64714.284430963919</v>
      </c>
      <c r="BT111" s="383">
        <v>39685.487107743211</v>
      </c>
      <c r="BU111" s="383">
        <f t="shared" si="21"/>
        <v>104399.77153870714</v>
      </c>
      <c r="BV111" s="383">
        <v>7634</v>
      </c>
      <c r="BW111" s="383">
        <v>0</v>
      </c>
      <c r="BX111" s="383">
        <v>0</v>
      </c>
      <c r="BY111" s="383">
        <f t="shared" si="22"/>
        <v>7634</v>
      </c>
      <c r="BZ111" s="383">
        <v>0</v>
      </c>
      <c r="CA111" s="383">
        <v>2911.53</v>
      </c>
      <c r="CB111" s="383">
        <v>0</v>
      </c>
      <c r="CC111" s="383">
        <v>7634</v>
      </c>
      <c r="CD111" s="383">
        <f t="shared" si="23"/>
        <v>10545.53</v>
      </c>
      <c r="CE111" s="383">
        <f t="shared" si="24"/>
        <v>-2911.5300000000007</v>
      </c>
      <c r="CF111" s="383">
        <v>2911.5299999999988</v>
      </c>
      <c r="CG111" s="383">
        <f t="shared" si="25"/>
        <v>0</v>
      </c>
      <c r="CH111" s="383">
        <f>VLOOKUP($B111,'Data - CFR 202526'!$B$4:$CJ$127,85,0)</f>
        <v>2911.5299999999988</v>
      </c>
      <c r="CI111" s="383">
        <f>VLOOKUP($B111,'Data - CFR 202526'!$B$4:$CJ$127,86,0)</f>
        <v>0</v>
      </c>
      <c r="CJ111" s="383">
        <f>VLOOKUP($B111,'Data - CFR 202526'!$B$4:$CJ$127,87,0)</f>
        <v>2911.5299999999988</v>
      </c>
    </row>
    <row r="112" spans="1:88" ht="13.8">
      <c r="A112" s="252" t="s">
        <v>1525</v>
      </c>
      <c r="B112" s="288">
        <v>2335</v>
      </c>
      <c r="C112" s="288" t="s">
        <v>813</v>
      </c>
      <c r="D112" s="248" t="s">
        <v>704</v>
      </c>
      <c r="E112" s="384"/>
      <c r="F112" s="383">
        <v>1032417.1894801891</v>
      </c>
      <c r="G112" s="383">
        <v>0</v>
      </c>
      <c r="H112" s="383">
        <v>44000</v>
      </c>
      <c r="I112" s="383">
        <v>0</v>
      </c>
      <c r="J112" s="383">
        <v>22840</v>
      </c>
      <c r="K112" s="383">
        <v>52397</v>
      </c>
      <c r="L112" s="383">
        <v>0</v>
      </c>
      <c r="M112" s="383">
        <v>2000</v>
      </c>
      <c r="N112" s="383">
        <v>71300</v>
      </c>
      <c r="O112" s="383">
        <v>19000</v>
      </c>
      <c r="P112" s="383">
        <v>10000</v>
      </c>
      <c r="Q112" s="383">
        <v>0</v>
      </c>
      <c r="R112" s="383">
        <v>15200</v>
      </c>
      <c r="S112" s="383">
        <v>0</v>
      </c>
      <c r="T112" s="383">
        <v>0</v>
      </c>
      <c r="U112" s="383">
        <v>0</v>
      </c>
      <c r="V112" s="383">
        <v>0</v>
      </c>
      <c r="W112" s="383">
        <v>0</v>
      </c>
      <c r="X112" s="383">
        <v>0</v>
      </c>
      <c r="Y112" s="383">
        <f t="shared" si="13"/>
        <v>1269154.1894801892</v>
      </c>
      <c r="Z112" s="383">
        <v>592499.43633866671</v>
      </c>
      <c r="AA112" s="383">
        <v>0</v>
      </c>
      <c r="AB112" s="383">
        <v>159096.54321621615</v>
      </c>
      <c r="AC112" s="383">
        <v>11977.449353839493</v>
      </c>
      <c r="AD112" s="383">
        <v>59058.142248442819</v>
      </c>
      <c r="AE112" s="383">
        <v>0</v>
      </c>
      <c r="AF112" s="383">
        <v>69724.156977260645</v>
      </c>
      <c r="AG112" s="383">
        <v>7300</v>
      </c>
      <c r="AH112" s="383">
        <v>6000</v>
      </c>
      <c r="AI112" s="383">
        <v>5000</v>
      </c>
      <c r="AJ112" s="383">
        <v>0</v>
      </c>
      <c r="AK112" s="383">
        <v>13280</v>
      </c>
      <c r="AL112" s="383">
        <v>2000</v>
      </c>
      <c r="AM112" s="383">
        <v>19956.86</v>
      </c>
      <c r="AN112" s="383">
        <v>2000</v>
      </c>
      <c r="AO112" s="383">
        <v>27500</v>
      </c>
      <c r="AP112" s="383">
        <v>21789</v>
      </c>
      <c r="AQ112" s="383">
        <v>7310</v>
      </c>
      <c r="AR112" s="383">
        <v>65036</v>
      </c>
      <c r="AS112" s="383">
        <v>34565</v>
      </c>
      <c r="AT112" s="383">
        <v>0</v>
      </c>
      <c r="AU112" s="383">
        <v>10200</v>
      </c>
      <c r="AV112" s="383">
        <v>5337</v>
      </c>
      <c r="AW112" s="383">
        <v>5800</v>
      </c>
      <c r="AX112" s="383">
        <v>60100</v>
      </c>
      <c r="AY112" s="383">
        <v>18150</v>
      </c>
      <c r="AZ112" s="383">
        <v>29570</v>
      </c>
      <c r="BA112" s="383">
        <v>37205</v>
      </c>
      <c r="BB112" s="383">
        <v>0</v>
      </c>
      <c r="BC112" s="383">
        <v>0</v>
      </c>
      <c r="BD112" s="383">
        <v>0</v>
      </c>
      <c r="BE112" s="383">
        <f t="shared" si="14"/>
        <v>1270454.5881344257</v>
      </c>
      <c r="BF112" s="383">
        <f t="shared" si="15"/>
        <v>-1300.3986542364582</v>
      </c>
      <c r="BG112" s="383">
        <v>24565.980000000767</v>
      </c>
      <c r="BH112" s="383">
        <f t="shared" si="16"/>
        <v>23265.581345764309</v>
      </c>
      <c r="BI112" s="383">
        <v>0</v>
      </c>
      <c r="BJ112" s="383">
        <v>0</v>
      </c>
      <c r="BK112" s="383">
        <f t="shared" si="17"/>
        <v>0</v>
      </c>
      <c r="BL112" s="383">
        <v>0</v>
      </c>
      <c r="BM112" s="383">
        <v>0</v>
      </c>
      <c r="BN112" s="383">
        <f t="shared" si="18"/>
        <v>0</v>
      </c>
      <c r="BO112" s="383">
        <f t="shared" si="19"/>
        <v>0</v>
      </c>
      <c r="BP112" s="383">
        <v>0</v>
      </c>
      <c r="BQ112" s="383">
        <f t="shared" si="20"/>
        <v>0</v>
      </c>
      <c r="BR112" s="383">
        <v>0</v>
      </c>
      <c r="BS112" s="383">
        <v>23265.581345764309</v>
      </c>
      <c r="BT112" s="383">
        <v>0</v>
      </c>
      <c r="BU112" s="383">
        <f t="shared" si="21"/>
        <v>23265.581345764309</v>
      </c>
      <c r="BV112" s="383">
        <v>6306</v>
      </c>
      <c r="BW112" s="383">
        <v>0</v>
      </c>
      <c r="BX112" s="383">
        <v>0</v>
      </c>
      <c r="BY112" s="383">
        <f t="shared" si="22"/>
        <v>6306</v>
      </c>
      <c r="BZ112" s="383">
        <v>0</v>
      </c>
      <c r="CA112" s="383">
        <v>6306</v>
      </c>
      <c r="CB112" s="383">
        <v>0</v>
      </c>
      <c r="CC112" s="383">
        <v>0</v>
      </c>
      <c r="CD112" s="383">
        <f t="shared" si="23"/>
        <v>6306</v>
      </c>
      <c r="CE112" s="383">
        <f t="shared" si="24"/>
        <v>0</v>
      </c>
      <c r="CF112" s="383">
        <v>4445.8700000000026</v>
      </c>
      <c r="CG112" s="383">
        <f t="shared" si="25"/>
        <v>4445.8700000000026</v>
      </c>
      <c r="CH112" s="383">
        <f>VLOOKUP($B112,'Data - CFR 202526'!$B$4:$CJ$127,85,0)</f>
        <v>3794.3500000000022</v>
      </c>
      <c r="CI112" s="383">
        <f>VLOOKUP($B112,'Data - CFR 202526'!$B$4:$CJ$127,86,0)</f>
        <v>651.52</v>
      </c>
      <c r="CJ112" s="383">
        <f>VLOOKUP($B112,'Data - CFR 202526'!$B$4:$CJ$127,87,0)</f>
        <v>4445.8700000000026</v>
      </c>
    </row>
    <row r="113" spans="1:88" ht="13.8">
      <c r="A113" s="252" t="s">
        <v>1525</v>
      </c>
      <c r="B113" s="288">
        <v>3389</v>
      </c>
      <c r="C113" s="288" t="s">
        <v>814</v>
      </c>
      <c r="D113" s="248" t="s">
        <v>704</v>
      </c>
      <c r="E113" s="384"/>
      <c r="F113" s="383">
        <v>1963866.5629271197</v>
      </c>
      <c r="G113" s="383">
        <v>0</v>
      </c>
      <c r="H113" s="383">
        <v>88200</v>
      </c>
      <c r="I113" s="383">
        <v>0</v>
      </c>
      <c r="J113" s="383">
        <v>101790</v>
      </c>
      <c r="K113" s="383">
        <v>65317</v>
      </c>
      <c r="L113" s="383">
        <v>0</v>
      </c>
      <c r="M113" s="383">
        <v>3000</v>
      </c>
      <c r="N113" s="383">
        <v>144500</v>
      </c>
      <c r="O113" s="383">
        <v>31000</v>
      </c>
      <c r="P113" s="383">
        <v>0</v>
      </c>
      <c r="Q113" s="383">
        <v>0</v>
      </c>
      <c r="R113" s="383">
        <v>2000</v>
      </c>
      <c r="S113" s="383">
        <v>0</v>
      </c>
      <c r="T113" s="383">
        <v>0</v>
      </c>
      <c r="U113" s="383">
        <v>0</v>
      </c>
      <c r="V113" s="383">
        <v>0</v>
      </c>
      <c r="W113" s="383">
        <v>0</v>
      </c>
      <c r="X113" s="383">
        <v>0</v>
      </c>
      <c r="Y113" s="383">
        <f t="shared" si="13"/>
        <v>2399673.5629271194</v>
      </c>
      <c r="Z113" s="383">
        <v>1239233.7215004887</v>
      </c>
      <c r="AA113" s="383">
        <v>0</v>
      </c>
      <c r="AB113" s="383">
        <v>455959.9629761767</v>
      </c>
      <c r="AC113" s="383">
        <v>35737.482901275987</v>
      </c>
      <c r="AD113" s="383">
        <v>96747.367234441626</v>
      </c>
      <c r="AE113" s="383">
        <v>0</v>
      </c>
      <c r="AF113" s="383">
        <v>104385.82577373178</v>
      </c>
      <c r="AG113" s="383">
        <v>1200</v>
      </c>
      <c r="AH113" s="383">
        <v>6500</v>
      </c>
      <c r="AI113" s="383">
        <v>0</v>
      </c>
      <c r="AJ113" s="383">
        <v>0</v>
      </c>
      <c r="AK113" s="383">
        <v>25000</v>
      </c>
      <c r="AL113" s="383">
        <v>3000</v>
      </c>
      <c r="AM113" s="383">
        <v>49497</v>
      </c>
      <c r="AN113" s="383">
        <v>2600</v>
      </c>
      <c r="AO113" s="383">
        <v>35500</v>
      </c>
      <c r="AP113" s="383">
        <v>10545</v>
      </c>
      <c r="AQ113" s="383">
        <v>13800</v>
      </c>
      <c r="AR113" s="383">
        <v>48628</v>
      </c>
      <c r="AS113" s="383">
        <v>63830</v>
      </c>
      <c r="AT113" s="383">
        <v>0</v>
      </c>
      <c r="AU113" s="383">
        <v>10570</v>
      </c>
      <c r="AV113" s="383">
        <v>10000</v>
      </c>
      <c r="AW113" s="383">
        <v>8000</v>
      </c>
      <c r="AX113" s="383">
        <v>131112</v>
      </c>
      <c r="AY113" s="383">
        <v>0</v>
      </c>
      <c r="AZ113" s="383">
        <v>18300</v>
      </c>
      <c r="BA113" s="383">
        <v>55816</v>
      </c>
      <c r="BB113" s="383">
        <v>0</v>
      </c>
      <c r="BC113" s="383">
        <v>0</v>
      </c>
      <c r="BD113" s="383">
        <v>4000</v>
      </c>
      <c r="BE113" s="383">
        <f t="shared" si="14"/>
        <v>2429962.360386115</v>
      </c>
      <c r="BF113" s="383">
        <f t="shared" si="15"/>
        <v>-30288.797458995599</v>
      </c>
      <c r="BG113" s="383">
        <v>41538.079999999405</v>
      </c>
      <c r="BH113" s="383">
        <f t="shared" si="16"/>
        <v>11249.282541003806</v>
      </c>
      <c r="BI113" s="383">
        <v>145000</v>
      </c>
      <c r="BJ113" s="383">
        <v>8000</v>
      </c>
      <c r="BK113" s="383">
        <f t="shared" si="17"/>
        <v>153000</v>
      </c>
      <c r="BL113" s="383">
        <v>148807.58384902548</v>
      </c>
      <c r="BM113" s="383">
        <v>12200</v>
      </c>
      <c r="BN113" s="383">
        <f t="shared" si="18"/>
        <v>161007.58384902548</v>
      </c>
      <c r="BO113" s="383">
        <f t="shared" si="19"/>
        <v>-8007.5838490254828</v>
      </c>
      <c r="BP113" s="383">
        <v>66538.27</v>
      </c>
      <c r="BQ113" s="383">
        <f t="shared" si="20"/>
        <v>58530.686150974521</v>
      </c>
      <c r="BR113" s="383">
        <v>0</v>
      </c>
      <c r="BS113" s="383">
        <v>11249.282541003806</v>
      </c>
      <c r="BT113" s="383">
        <v>58530.686150974521</v>
      </c>
      <c r="BU113" s="383">
        <f t="shared" si="21"/>
        <v>69779.968691978327</v>
      </c>
      <c r="BV113" s="383">
        <v>0</v>
      </c>
      <c r="BW113" s="383">
        <v>0</v>
      </c>
      <c r="BX113" s="383">
        <v>0</v>
      </c>
      <c r="BY113" s="383">
        <f t="shared" si="22"/>
        <v>0</v>
      </c>
      <c r="BZ113" s="383">
        <v>0</v>
      </c>
      <c r="CA113" s="383">
        <v>0</v>
      </c>
      <c r="CB113" s="383">
        <v>0</v>
      </c>
      <c r="CC113" s="383">
        <v>0</v>
      </c>
      <c r="CD113" s="383">
        <f t="shared" si="23"/>
        <v>0</v>
      </c>
      <c r="CE113" s="383">
        <f t="shared" si="24"/>
        <v>0</v>
      </c>
      <c r="CF113" s="383">
        <v>0</v>
      </c>
      <c r="CG113" s="383">
        <f t="shared" si="25"/>
        <v>0</v>
      </c>
      <c r="CH113" s="383">
        <f>VLOOKUP($B113,'Data - CFR 202526'!$B$4:$CJ$127,85,0)</f>
        <v>0</v>
      </c>
      <c r="CI113" s="383">
        <f>VLOOKUP($B113,'Data - CFR 202526'!$B$4:$CJ$127,86,0)</f>
        <v>0</v>
      </c>
      <c r="CJ113" s="383">
        <f>VLOOKUP($B113,'Data - CFR 202526'!$B$4:$CJ$127,87,0)</f>
        <v>0</v>
      </c>
    </row>
    <row r="114" spans="1:88" ht="13.8">
      <c r="A114" s="252" t="s">
        <v>1525</v>
      </c>
      <c r="B114" s="290">
        <v>2001</v>
      </c>
      <c r="C114" s="290" t="s">
        <v>815</v>
      </c>
      <c r="D114" s="248" t="s">
        <v>704</v>
      </c>
      <c r="E114" s="384"/>
      <c r="F114" s="383">
        <v>2506561.9999956195</v>
      </c>
      <c r="G114" s="383">
        <v>0</v>
      </c>
      <c r="H114" s="383">
        <v>109469</v>
      </c>
      <c r="I114" s="383">
        <v>0</v>
      </c>
      <c r="J114" s="383">
        <v>142130</v>
      </c>
      <c r="K114" s="383">
        <v>104415</v>
      </c>
      <c r="L114" s="383">
        <v>0</v>
      </c>
      <c r="M114" s="383">
        <v>14000</v>
      </c>
      <c r="N114" s="383">
        <v>77010</v>
      </c>
      <c r="O114" s="383">
        <v>41353</v>
      </c>
      <c r="P114" s="383">
        <v>2400</v>
      </c>
      <c r="Q114" s="383">
        <v>0</v>
      </c>
      <c r="R114" s="383">
        <v>0</v>
      </c>
      <c r="S114" s="383">
        <v>19500</v>
      </c>
      <c r="T114" s="383">
        <v>0</v>
      </c>
      <c r="U114" s="383">
        <v>0</v>
      </c>
      <c r="V114" s="383">
        <v>0</v>
      </c>
      <c r="W114" s="383">
        <v>0</v>
      </c>
      <c r="X114" s="383">
        <v>0</v>
      </c>
      <c r="Y114" s="383">
        <f t="shared" si="13"/>
        <v>3016838.9999956195</v>
      </c>
      <c r="Z114" s="383">
        <v>1601633.3017983385</v>
      </c>
      <c r="AA114" s="383">
        <v>22500</v>
      </c>
      <c r="AB114" s="383">
        <v>589721.69818163547</v>
      </c>
      <c r="AC114" s="383">
        <v>73586.584730685077</v>
      </c>
      <c r="AD114" s="383">
        <v>146340.16011057736</v>
      </c>
      <c r="AE114" s="383">
        <v>0</v>
      </c>
      <c r="AF114" s="383">
        <v>96124.335975291746</v>
      </c>
      <c r="AG114" s="383">
        <v>15925</v>
      </c>
      <c r="AH114" s="383">
        <v>7500</v>
      </c>
      <c r="AI114" s="383">
        <v>8660</v>
      </c>
      <c r="AJ114" s="383">
        <v>1700</v>
      </c>
      <c r="AK114" s="383">
        <v>37000</v>
      </c>
      <c r="AL114" s="383">
        <v>1700</v>
      </c>
      <c r="AM114" s="383">
        <v>6620</v>
      </c>
      <c r="AN114" s="383">
        <v>7500</v>
      </c>
      <c r="AO114" s="383">
        <v>81000</v>
      </c>
      <c r="AP114" s="383">
        <v>36750</v>
      </c>
      <c r="AQ114" s="383">
        <v>10850</v>
      </c>
      <c r="AR114" s="383">
        <v>98199.22</v>
      </c>
      <c r="AS114" s="383">
        <v>39480</v>
      </c>
      <c r="AT114" s="383">
        <v>0</v>
      </c>
      <c r="AU114" s="383">
        <v>8850</v>
      </c>
      <c r="AV114" s="383">
        <v>15228.05</v>
      </c>
      <c r="AW114" s="383">
        <v>0</v>
      </c>
      <c r="AX114" s="383">
        <v>137113</v>
      </c>
      <c r="AY114" s="383">
        <v>10000</v>
      </c>
      <c r="AZ114" s="383">
        <v>12025</v>
      </c>
      <c r="BA114" s="383">
        <v>27674</v>
      </c>
      <c r="BB114" s="383">
        <v>0</v>
      </c>
      <c r="BC114" s="383">
        <v>0</v>
      </c>
      <c r="BD114" s="383">
        <v>0</v>
      </c>
      <c r="BE114" s="383">
        <f t="shared" si="14"/>
        <v>3093680.3507965282</v>
      </c>
      <c r="BF114" s="383">
        <f t="shared" si="15"/>
        <v>-76841.350800908636</v>
      </c>
      <c r="BG114" s="383">
        <v>-308311.97000000125</v>
      </c>
      <c r="BH114" s="383">
        <f t="shared" si="16"/>
        <v>-385153.32080090989</v>
      </c>
      <c r="BI114" s="383">
        <v>183871</v>
      </c>
      <c r="BJ114" s="383">
        <v>15000</v>
      </c>
      <c r="BK114" s="383">
        <f t="shared" si="17"/>
        <v>198871</v>
      </c>
      <c r="BL114" s="383">
        <v>195761.00686753966</v>
      </c>
      <c r="BM114" s="383">
        <v>20500</v>
      </c>
      <c r="BN114" s="383">
        <f t="shared" si="18"/>
        <v>216261.00686753966</v>
      </c>
      <c r="BO114" s="383">
        <f t="shared" si="19"/>
        <v>-17390.006867539661</v>
      </c>
      <c r="BP114" s="383">
        <v>61972.56</v>
      </c>
      <c r="BQ114" s="383">
        <f t="shared" si="20"/>
        <v>44582.553132460336</v>
      </c>
      <c r="BR114" s="383">
        <v>0</v>
      </c>
      <c r="BS114" s="383">
        <v>-385153.32080090989</v>
      </c>
      <c r="BT114" s="383">
        <v>44582.553132460336</v>
      </c>
      <c r="BU114" s="383">
        <f t="shared" si="21"/>
        <v>-340570.76766844955</v>
      </c>
      <c r="BV114" s="383">
        <v>9625</v>
      </c>
      <c r="BW114" s="383">
        <v>0</v>
      </c>
      <c r="BX114" s="383">
        <v>27418</v>
      </c>
      <c r="BY114" s="383">
        <f t="shared" si="22"/>
        <v>37043</v>
      </c>
      <c r="BZ114" s="383">
        <v>0</v>
      </c>
      <c r="CA114" s="383">
        <v>23334</v>
      </c>
      <c r="CB114" s="383">
        <v>0</v>
      </c>
      <c r="CC114" s="383">
        <v>13709</v>
      </c>
      <c r="CD114" s="383">
        <f t="shared" si="23"/>
        <v>37043</v>
      </c>
      <c r="CE114" s="383">
        <f t="shared" si="24"/>
        <v>0</v>
      </c>
      <c r="CF114" s="383">
        <v>39327.46</v>
      </c>
      <c r="CG114" s="383">
        <f t="shared" si="25"/>
        <v>39327.46</v>
      </c>
      <c r="CH114" s="383">
        <f>VLOOKUP($B114,'Data - CFR 202526'!$B$4:$CJ$127,85,0)</f>
        <v>39327.46</v>
      </c>
      <c r="CI114" s="383">
        <f>VLOOKUP($B114,'Data - CFR 202526'!$B$4:$CJ$127,86,0)</f>
        <v>0</v>
      </c>
      <c r="CJ114" s="383">
        <f>VLOOKUP($B114,'Data - CFR 202526'!$B$4:$CJ$127,87,0)</f>
        <v>39327.46</v>
      </c>
    </row>
    <row r="115" spans="1:88" ht="13.8">
      <c r="A115" s="252" t="s">
        <v>1525</v>
      </c>
      <c r="B115" s="288">
        <v>2064</v>
      </c>
      <c r="C115" s="288" t="s">
        <v>816</v>
      </c>
      <c r="D115" s="248" t="s">
        <v>704</v>
      </c>
      <c r="E115" s="384"/>
      <c r="F115" s="383">
        <v>856258.39355430601</v>
      </c>
      <c r="G115" s="383">
        <v>0</v>
      </c>
      <c r="H115" s="383">
        <v>162485</v>
      </c>
      <c r="I115" s="383">
        <v>0</v>
      </c>
      <c r="J115" s="383">
        <v>55390</v>
      </c>
      <c r="K115" s="383">
        <v>24579</v>
      </c>
      <c r="L115" s="383">
        <v>0</v>
      </c>
      <c r="M115" s="383">
        <v>0</v>
      </c>
      <c r="N115" s="383">
        <v>108250</v>
      </c>
      <c r="O115" s="383">
        <v>0</v>
      </c>
      <c r="P115" s="383">
        <v>0</v>
      </c>
      <c r="Q115" s="383">
        <v>0</v>
      </c>
      <c r="R115" s="383">
        <v>4000</v>
      </c>
      <c r="S115" s="383">
        <v>0</v>
      </c>
      <c r="T115" s="383">
        <v>0</v>
      </c>
      <c r="U115" s="383">
        <v>0</v>
      </c>
      <c r="V115" s="383">
        <v>0</v>
      </c>
      <c r="W115" s="383">
        <v>0</v>
      </c>
      <c r="X115" s="383">
        <v>0</v>
      </c>
      <c r="Y115" s="383">
        <f t="shared" si="13"/>
        <v>1210962.3935543061</v>
      </c>
      <c r="Z115" s="383">
        <v>487513.97005866672</v>
      </c>
      <c r="AA115" s="383">
        <v>30000</v>
      </c>
      <c r="AB115" s="383">
        <v>400626.00533153588</v>
      </c>
      <c r="AC115" s="383">
        <v>33888.431280405406</v>
      </c>
      <c r="AD115" s="383">
        <v>49880.596595856558</v>
      </c>
      <c r="AE115" s="383">
        <v>0</v>
      </c>
      <c r="AF115" s="383">
        <v>0</v>
      </c>
      <c r="AG115" s="383">
        <v>6523</v>
      </c>
      <c r="AH115" s="383">
        <v>4000</v>
      </c>
      <c r="AI115" s="383">
        <v>2236</v>
      </c>
      <c r="AJ115" s="383">
        <v>2017</v>
      </c>
      <c r="AK115" s="383">
        <v>10000</v>
      </c>
      <c r="AL115" s="383">
        <v>4000</v>
      </c>
      <c r="AM115" s="383">
        <v>3500</v>
      </c>
      <c r="AN115" s="383">
        <v>1000</v>
      </c>
      <c r="AO115" s="383">
        <v>20000</v>
      </c>
      <c r="AP115" s="383">
        <v>17901</v>
      </c>
      <c r="AQ115" s="383">
        <v>1500</v>
      </c>
      <c r="AR115" s="383">
        <v>73480.210000000006</v>
      </c>
      <c r="AS115" s="383">
        <v>51763</v>
      </c>
      <c r="AT115" s="383">
        <v>0</v>
      </c>
      <c r="AU115" s="383">
        <v>7735</v>
      </c>
      <c r="AV115" s="383">
        <v>3661</v>
      </c>
      <c r="AW115" s="383">
        <v>0</v>
      </c>
      <c r="AX115" s="383">
        <v>39566</v>
      </c>
      <c r="AY115" s="383">
        <v>0</v>
      </c>
      <c r="AZ115" s="383">
        <v>10000</v>
      </c>
      <c r="BA115" s="383">
        <v>10449.84</v>
      </c>
      <c r="BB115" s="383">
        <v>0</v>
      </c>
      <c r="BC115" s="383">
        <v>0</v>
      </c>
      <c r="BD115" s="383">
        <v>1573</v>
      </c>
      <c r="BE115" s="383">
        <f t="shared" si="14"/>
        <v>1272814.0532664645</v>
      </c>
      <c r="BF115" s="383">
        <f t="shared" si="15"/>
        <v>-61851.659712158376</v>
      </c>
      <c r="BG115" s="383">
        <v>183750.6599999996</v>
      </c>
      <c r="BH115" s="383">
        <f t="shared" si="16"/>
        <v>121899.00028784122</v>
      </c>
      <c r="BI115" s="383">
        <v>0</v>
      </c>
      <c r="BJ115" s="383">
        <v>0</v>
      </c>
      <c r="BK115" s="383">
        <f t="shared" si="17"/>
        <v>0</v>
      </c>
      <c r="BL115" s="383">
        <v>0</v>
      </c>
      <c r="BM115" s="383">
        <v>0</v>
      </c>
      <c r="BN115" s="383">
        <f t="shared" si="18"/>
        <v>0</v>
      </c>
      <c r="BO115" s="383">
        <f t="shared" si="19"/>
        <v>0</v>
      </c>
      <c r="BP115" s="383">
        <v>0</v>
      </c>
      <c r="BQ115" s="383">
        <f t="shared" si="20"/>
        <v>0</v>
      </c>
      <c r="BR115" s="383">
        <v>0</v>
      </c>
      <c r="BS115" s="383">
        <v>121899.00028784122</v>
      </c>
      <c r="BT115" s="383">
        <v>0</v>
      </c>
      <c r="BU115" s="383">
        <f t="shared" si="21"/>
        <v>121899.00028784122</v>
      </c>
      <c r="BV115" s="383">
        <v>5103</v>
      </c>
      <c r="BW115" s="383">
        <v>0</v>
      </c>
      <c r="BX115" s="383">
        <v>0</v>
      </c>
      <c r="BY115" s="383">
        <f t="shared" si="22"/>
        <v>5103</v>
      </c>
      <c r="BZ115" s="383">
        <v>0</v>
      </c>
      <c r="CA115" s="383">
        <v>117203.72</v>
      </c>
      <c r="CB115" s="383">
        <v>0</v>
      </c>
      <c r="CC115" s="383">
        <v>0</v>
      </c>
      <c r="CD115" s="383">
        <f t="shared" si="23"/>
        <v>117203.72</v>
      </c>
      <c r="CE115" s="383">
        <f t="shared" si="24"/>
        <v>-112100.72</v>
      </c>
      <c r="CF115" s="383">
        <v>112100.72000000003</v>
      </c>
      <c r="CG115" s="383">
        <f t="shared" si="25"/>
        <v>0</v>
      </c>
      <c r="CH115" s="383">
        <f>VLOOKUP($B115,'Data - CFR 202526'!$B$4:$CJ$127,85,0)</f>
        <v>5346.0599999999995</v>
      </c>
      <c r="CI115" s="383">
        <f>VLOOKUP($B115,'Data - CFR 202526'!$B$4:$CJ$127,86,0)</f>
        <v>106754.66</v>
      </c>
      <c r="CJ115" s="383">
        <f>VLOOKUP($B115,'Data - CFR 202526'!$B$4:$CJ$127,87,0)</f>
        <v>112100.72</v>
      </c>
    </row>
    <row r="116" spans="1:88" ht="13.8">
      <c r="A116" s="252" t="s">
        <v>1525</v>
      </c>
      <c r="B116" s="290">
        <v>2000</v>
      </c>
      <c r="C116" s="290" t="s">
        <v>1375</v>
      </c>
      <c r="D116" s="248" t="s">
        <v>704</v>
      </c>
      <c r="E116" s="384"/>
      <c r="F116" s="383">
        <v>3503826.1103831921</v>
      </c>
      <c r="G116" s="383">
        <v>0</v>
      </c>
      <c r="H116" s="383">
        <v>174922.13</v>
      </c>
      <c r="I116" s="383">
        <v>0</v>
      </c>
      <c r="J116" s="383">
        <v>296980</v>
      </c>
      <c r="K116" s="383">
        <v>100864</v>
      </c>
      <c r="L116" s="383">
        <v>0</v>
      </c>
      <c r="M116" s="383">
        <v>74910</v>
      </c>
      <c r="N116" s="383">
        <v>309640</v>
      </c>
      <c r="O116" s="383">
        <v>53750</v>
      </c>
      <c r="P116" s="383">
        <v>2250</v>
      </c>
      <c r="Q116" s="383">
        <v>0</v>
      </c>
      <c r="R116" s="383">
        <v>9500</v>
      </c>
      <c r="S116" s="383">
        <v>0</v>
      </c>
      <c r="T116" s="383">
        <v>0</v>
      </c>
      <c r="U116" s="383">
        <v>0</v>
      </c>
      <c r="V116" s="383">
        <v>0</v>
      </c>
      <c r="W116" s="383">
        <v>0</v>
      </c>
      <c r="X116" s="383">
        <v>0</v>
      </c>
      <c r="Y116" s="383">
        <f t="shared" si="13"/>
        <v>4526642.240383192</v>
      </c>
      <c r="Z116" s="383">
        <v>2230891.0058572581</v>
      </c>
      <c r="AA116" s="383">
        <v>18435</v>
      </c>
      <c r="AB116" s="383">
        <v>853405.71075680945</v>
      </c>
      <c r="AC116" s="383">
        <v>65801.809890000004</v>
      </c>
      <c r="AD116" s="383">
        <v>309632.75479349197</v>
      </c>
      <c r="AE116" s="383">
        <v>0</v>
      </c>
      <c r="AF116" s="383">
        <v>116326.91386364073</v>
      </c>
      <c r="AG116" s="383">
        <v>21700</v>
      </c>
      <c r="AH116" s="383">
        <v>15000</v>
      </c>
      <c r="AI116" s="383">
        <v>14508</v>
      </c>
      <c r="AJ116" s="383">
        <v>4271</v>
      </c>
      <c r="AK116" s="383">
        <v>75375</v>
      </c>
      <c r="AL116" s="383">
        <v>14460</v>
      </c>
      <c r="AM116" s="383">
        <v>121058</v>
      </c>
      <c r="AN116" s="383">
        <v>19300</v>
      </c>
      <c r="AO116" s="383">
        <v>133000</v>
      </c>
      <c r="AP116" s="383">
        <v>24500</v>
      </c>
      <c r="AQ116" s="383">
        <v>31269</v>
      </c>
      <c r="AR116" s="383">
        <v>61508</v>
      </c>
      <c r="AS116" s="383">
        <v>96149</v>
      </c>
      <c r="AT116" s="383">
        <v>0</v>
      </c>
      <c r="AU116" s="383">
        <v>20332</v>
      </c>
      <c r="AV116" s="383">
        <v>18135.580000000002</v>
      </c>
      <c r="AW116" s="383">
        <v>4610</v>
      </c>
      <c r="AX116" s="383">
        <v>218323</v>
      </c>
      <c r="AY116" s="383">
        <v>36800</v>
      </c>
      <c r="AZ116" s="383">
        <v>102542</v>
      </c>
      <c r="BA116" s="383">
        <v>38343</v>
      </c>
      <c r="BB116" s="383">
        <v>0</v>
      </c>
      <c r="BC116" s="383">
        <v>4966.4799999999996</v>
      </c>
      <c r="BD116" s="383">
        <v>12999.64</v>
      </c>
      <c r="BE116" s="383">
        <f t="shared" si="14"/>
        <v>4683642.8951612012</v>
      </c>
      <c r="BF116" s="383">
        <f t="shared" si="15"/>
        <v>-157000.65477800928</v>
      </c>
      <c r="BG116" s="383">
        <v>161697.0099999996</v>
      </c>
      <c r="BH116" s="383">
        <f t="shared" si="16"/>
        <v>4696.3552219903213</v>
      </c>
      <c r="BI116" s="383">
        <v>81300</v>
      </c>
      <c r="BJ116" s="383">
        <v>48000</v>
      </c>
      <c r="BK116" s="383">
        <f t="shared" si="17"/>
        <v>129300</v>
      </c>
      <c r="BL116" s="383">
        <v>61353.598648837309</v>
      </c>
      <c r="BM116" s="383">
        <v>162130</v>
      </c>
      <c r="BN116" s="383">
        <f t="shared" si="18"/>
        <v>223483.5986488373</v>
      </c>
      <c r="BO116" s="383">
        <f t="shared" si="19"/>
        <v>-94183.598648837302</v>
      </c>
      <c r="BP116" s="383">
        <v>54794.049999999988</v>
      </c>
      <c r="BQ116" s="383">
        <f t="shared" si="20"/>
        <v>-39389.548648837314</v>
      </c>
      <c r="BR116" s="383">
        <v>0</v>
      </c>
      <c r="BS116" s="383">
        <v>4696.3552219903213</v>
      </c>
      <c r="BT116" s="383">
        <v>-39389.548648837314</v>
      </c>
      <c r="BU116" s="383">
        <f t="shared" si="21"/>
        <v>-34693.193426846992</v>
      </c>
      <c r="BV116" s="383">
        <v>15120</v>
      </c>
      <c r="BW116" s="383">
        <v>0</v>
      </c>
      <c r="BX116" s="383">
        <v>0</v>
      </c>
      <c r="BY116" s="383">
        <f t="shared" si="22"/>
        <v>15120</v>
      </c>
      <c r="BZ116" s="383">
        <v>0</v>
      </c>
      <c r="CA116" s="383">
        <v>31610</v>
      </c>
      <c r="CB116" s="383">
        <v>0</v>
      </c>
      <c r="CC116" s="383">
        <v>0</v>
      </c>
      <c r="CD116" s="383">
        <f t="shared" si="23"/>
        <v>31610</v>
      </c>
      <c r="CE116" s="383">
        <f t="shared" si="24"/>
        <v>-16490</v>
      </c>
      <c r="CF116" s="383">
        <v>16490.18</v>
      </c>
      <c r="CG116" s="383">
        <f t="shared" si="25"/>
        <v>0.18000000000029104</v>
      </c>
      <c r="CH116" s="383">
        <f>VLOOKUP($B116,'Data - CFR 202526'!$B$4:$CJ$127,85,0)</f>
        <v>16490.18</v>
      </c>
      <c r="CI116" s="383">
        <f>VLOOKUP($B116,'Data - CFR 202526'!$B$4:$CJ$127,86,0)</f>
        <v>0</v>
      </c>
      <c r="CJ116" s="383">
        <f>VLOOKUP($B116,'Data - CFR 202526'!$B$4:$CJ$127,87,0)</f>
        <v>16490.18</v>
      </c>
    </row>
    <row r="117" spans="1:88" ht="13.8">
      <c r="A117" s="252" t="s">
        <v>1525</v>
      </c>
      <c r="B117" s="288">
        <v>2048</v>
      </c>
      <c r="C117" s="288" t="s">
        <v>818</v>
      </c>
      <c r="D117" s="248" t="s">
        <v>704</v>
      </c>
      <c r="E117" s="384"/>
      <c r="F117" s="383">
        <v>2720089.3251993321</v>
      </c>
      <c r="G117" s="383">
        <v>0</v>
      </c>
      <c r="H117" s="383">
        <v>70157</v>
      </c>
      <c r="I117" s="383">
        <v>0</v>
      </c>
      <c r="J117" s="383">
        <v>153970</v>
      </c>
      <c r="K117" s="383">
        <v>116569</v>
      </c>
      <c r="L117" s="383">
        <v>0</v>
      </c>
      <c r="M117" s="383">
        <v>35000</v>
      </c>
      <c r="N117" s="383">
        <v>9500</v>
      </c>
      <c r="O117" s="383">
        <v>52400</v>
      </c>
      <c r="P117" s="383">
        <v>0</v>
      </c>
      <c r="Q117" s="383">
        <v>0</v>
      </c>
      <c r="R117" s="383">
        <v>43699</v>
      </c>
      <c r="S117" s="383">
        <v>0</v>
      </c>
      <c r="T117" s="383">
        <v>0</v>
      </c>
      <c r="U117" s="383">
        <v>0</v>
      </c>
      <c r="V117" s="383">
        <v>0</v>
      </c>
      <c r="W117" s="383">
        <v>0</v>
      </c>
      <c r="X117" s="383">
        <v>0</v>
      </c>
      <c r="Y117" s="383">
        <f t="shared" si="13"/>
        <v>3201384.3251993321</v>
      </c>
      <c r="Z117" s="383">
        <v>1603075.0039616174</v>
      </c>
      <c r="AA117" s="383">
        <v>0</v>
      </c>
      <c r="AB117" s="383">
        <v>664207.11949146737</v>
      </c>
      <c r="AC117" s="383">
        <v>80582.938586756747</v>
      </c>
      <c r="AD117" s="383">
        <v>168350.05606615619</v>
      </c>
      <c r="AE117" s="383">
        <v>0</v>
      </c>
      <c r="AF117" s="383">
        <v>58214.491120771032</v>
      </c>
      <c r="AG117" s="383">
        <v>12280</v>
      </c>
      <c r="AH117" s="383">
        <v>10000</v>
      </c>
      <c r="AI117" s="383">
        <v>13442</v>
      </c>
      <c r="AJ117" s="383">
        <v>1328</v>
      </c>
      <c r="AK117" s="383">
        <v>25000</v>
      </c>
      <c r="AL117" s="383">
        <v>11085</v>
      </c>
      <c r="AM117" s="383">
        <v>65000</v>
      </c>
      <c r="AN117" s="383">
        <v>5400</v>
      </c>
      <c r="AO117" s="383">
        <v>52500</v>
      </c>
      <c r="AP117" s="383">
        <v>0</v>
      </c>
      <c r="AQ117" s="383">
        <v>18350</v>
      </c>
      <c r="AR117" s="383">
        <v>109061</v>
      </c>
      <c r="AS117" s="383">
        <v>60500</v>
      </c>
      <c r="AT117" s="383">
        <v>0</v>
      </c>
      <c r="AU117" s="383">
        <v>17109</v>
      </c>
      <c r="AV117" s="383">
        <v>15070</v>
      </c>
      <c r="AW117" s="383">
        <v>3500</v>
      </c>
      <c r="AX117" s="383">
        <v>172350</v>
      </c>
      <c r="AY117" s="383">
        <v>33600</v>
      </c>
      <c r="AZ117" s="383">
        <v>18000</v>
      </c>
      <c r="BA117" s="383">
        <v>20755</v>
      </c>
      <c r="BB117" s="383">
        <v>0</v>
      </c>
      <c r="BC117" s="383">
        <v>0</v>
      </c>
      <c r="BD117" s="383">
        <v>0</v>
      </c>
      <c r="BE117" s="383">
        <f t="shared" si="14"/>
        <v>3238759.6092267688</v>
      </c>
      <c r="BF117" s="383">
        <f t="shared" si="15"/>
        <v>-37375.284027436748</v>
      </c>
      <c r="BG117" s="383">
        <v>51342.840000001437</v>
      </c>
      <c r="BH117" s="383">
        <f t="shared" si="16"/>
        <v>13967.555972564689</v>
      </c>
      <c r="BI117" s="383">
        <v>0</v>
      </c>
      <c r="BJ117" s="383">
        <v>0</v>
      </c>
      <c r="BK117" s="383">
        <f t="shared" si="17"/>
        <v>0</v>
      </c>
      <c r="BL117" s="383">
        <v>0</v>
      </c>
      <c r="BM117" s="383">
        <v>0</v>
      </c>
      <c r="BN117" s="383">
        <f t="shared" si="18"/>
        <v>0</v>
      </c>
      <c r="BO117" s="383">
        <f t="shared" si="19"/>
        <v>0</v>
      </c>
      <c r="BP117" s="383">
        <v>0</v>
      </c>
      <c r="BQ117" s="383">
        <f t="shared" si="20"/>
        <v>0</v>
      </c>
      <c r="BR117" s="383">
        <v>0</v>
      </c>
      <c r="BS117" s="383">
        <v>13967.555972564689</v>
      </c>
      <c r="BT117" s="383">
        <v>0</v>
      </c>
      <c r="BU117" s="383">
        <f t="shared" si="21"/>
        <v>13967.555972564689</v>
      </c>
      <c r="BV117" s="383">
        <v>9929</v>
      </c>
      <c r="BW117" s="383">
        <v>0</v>
      </c>
      <c r="BX117" s="383">
        <v>0</v>
      </c>
      <c r="BY117" s="383">
        <f t="shared" si="22"/>
        <v>9929</v>
      </c>
      <c r="BZ117" s="383">
        <v>0</v>
      </c>
      <c r="CA117" s="383">
        <v>12669.98</v>
      </c>
      <c r="CB117" s="383">
        <v>0</v>
      </c>
      <c r="CC117" s="383">
        <v>0</v>
      </c>
      <c r="CD117" s="383">
        <f t="shared" si="23"/>
        <v>12669.98</v>
      </c>
      <c r="CE117" s="383">
        <f t="shared" si="24"/>
        <v>-2740.9799999999996</v>
      </c>
      <c r="CF117" s="383">
        <v>2740.9800000000005</v>
      </c>
      <c r="CG117" s="383">
        <f t="shared" si="25"/>
        <v>0</v>
      </c>
      <c r="CH117" s="383">
        <f>VLOOKUP($B117,'Data - CFR 202526'!$B$4:$CJ$127,85,0)</f>
        <v>2740.9799999999987</v>
      </c>
      <c r="CI117" s="383">
        <f>VLOOKUP($B117,'Data - CFR 202526'!$B$4:$CJ$127,86,0)</f>
        <v>0</v>
      </c>
      <c r="CJ117" s="383">
        <f>VLOOKUP($B117,'Data - CFR 202526'!$B$4:$CJ$127,87,0)</f>
        <v>2740.9799999999987</v>
      </c>
    </row>
    <row r="118" spans="1:88" ht="13.8">
      <c r="A118" s="252" t="s">
        <v>1525</v>
      </c>
      <c r="B118" s="288">
        <v>2232</v>
      </c>
      <c r="C118" s="288" t="s">
        <v>819</v>
      </c>
      <c r="D118" s="248" t="s">
        <v>704</v>
      </c>
      <c r="E118" s="384"/>
      <c r="F118" s="383">
        <v>1336384.9776623659</v>
      </c>
      <c r="G118" s="383">
        <v>0</v>
      </c>
      <c r="H118" s="383">
        <v>107000</v>
      </c>
      <c r="I118" s="383">
        <v>0</v>
      </c>
      <c r="J118" s="383">
        <v>83700</v>
      </c>
      <c r="K118" s="383">
        <v>18340</v>
      </c>
      <c r="L118" s="383">
        <v>0</v>
      </c>
      <c r="M118" s="383">
        <v>25000</v>
      </c>
      <c r="N118" s="383">
        <v>3150</v>
      </c>
      <c r="O118" s="383">
        <v>54000</v>
      </c>
      <c r="P118" s="383">
        <v>200</v>
      </c>
      <c r="Q118" s="383">
        <v>2014</v>
      </c>
      <c r="R118" s="383">
        <v>23761</v>
      </c>
      <c r="S118" s="383">
        <v>1000</v>
      </c>
      <c r="T118" s="383">
        <v>0</v>
      </c>
      <c r="U118" s="383">
        <v>0</v>
      </c>
      <c r="V118" s="383">
        <v>0</v>
      </c>
      <c r="W118" s="383">
        <v>0</v>
      </c>
      <c r="X118" s="383">
        <v>0</v>
      </c>
      <c r="Y118" s="383">
        <f t="shared" si="13"/>
        <v>1654549.9776623659</v>
      </c>
      <c r="Z118" s="383">
        <v>880190.6138729807</v>
      </c>
      <c r="AA118" s="383">
        <v>17000</v>
      </c>
      <c r="AB118" s="383">
        <v>270170.71086359269</v>
      </c>
      <c r="AC118" s="383">
        <v>41876.080079503881</v>
      </c>
      <c r="AD118" s="383">
        <v>67277.285563314479</v>
      </c>
      <c r="AE118" s="383">
        <v>49156.374215349511</v>
      </c>
      <c r="AF118" s="383">
        <v>34964.759948330633</v>
      </c>
      <c r="AG118" s="383">
        <v>8350</v>
      </c>
      <c r="AH118" s="383">
        <v>6500</v>
      </c>
      <c r="AI118" s="383">
        <v>6200</v>
      </c>
      <c r="AJ118" s="383">
        <v>2200</v>
      </c>
      <c r="AK118" s="383">
        <v>10000</v>
      </c>
      <c r="AL118" s="383">
        <v>4200</v>
      </c>
      <c r="AM118" s="383">
        <v>1000</v>
      </c>
      <c r="AN118" s="383">
        <v>2700</v>
      </c>
      <c r="AO118" s="383">
        <v>24500</v>
      </c>
      <c r="AP118" s="383">
        <v>25970</v>
      </c>
      <c r="AQ118" s="383">
        <v>8650</v>
      </c>
      <c r="AR118" s="383">
        <v>57531</v>
      </c>
      <c r="AS118" s="383">
        <v>35071.4</v>
      </c>
      <c r="AT118" s="383">
        <v>0</v>
      </c>
      <c r="AU118" s="383">
        <v>7850</v>
      </c>
      <c r="AV118" s="383">
        <v>6800</v>
      </c>
      <c r="AW118" s="383">
        <v>5000</v>
      </c>
      <c r="AX118" s="383">
        <v>35350</v>
      </c>
      <c r="AY118" s="383">
        <v>0</v>
      </c>
      <c r="AZ118" s="383">
        <v>2600</v>
      </c>
      <c r="BA118" s="383">
        <v>9850</v>
      </c>
      <c r="BB118" s="383">
        <v>0</v>
      </c>
      <c r="BC118" s="383">
        <v>600</v>
      </c>
      <c r="BD118" s="383">
        <v>3282.48</v>
      </c>
      <c r="BE118" s="383">
        <f t="shared" si="14"/>
        <v>1624840.7045430718</v>
      </c>
      <c r="BF118" s="383">
        <f t="shared" si="15"/>
        <v>29709.273119294085</v>
      </c>
      <c r="BG118" s="383">
        <v>2952.9999999999818</v>
      </c>
      <c r="BH118" s="383">
        <f t="shared" si="16"/>
        <v>32662.273119294066</v>
      </c>
      <c r="BI118" s="383">
        <v>0</v>
      </c>
      <c r="BJ118" s="383">
        <v>0</v>
      </c>
      <c r="BK118" s="383">
        <f t="shared" si="17"/>
        <v>0</v>
      </c>
      <c r="BL118" s="383">
        <v>0</v>
      </c>
      <c r="BM118" s="383">
        <v>0</v>
      </c>
      <c r="BN118" s="383">
        <f t="shared" si="18"/>
        <v>0</v>
      </c>
      <c r="BO118" s="383">
        <f t="shared" si="19"/>
        <v>0</v>
      </c>
      <c r="BP118" s="383">
        <v>0</v>
      </c>
      <c r="BQ118" s="383">
        <f t="shared" si="20"/>
        <v>0</v>
      </c>
      <c r="BR118" s="383">
        <v>0</v>
      </c>
      <c r="BS118" s="383">
        <v>32662.273119294066</v>
      </c>
      <c r="BT118" s="383">
        <v>0</v>
      </c>
      <c r="BU118" s="383">
        <f t="shared" si="21"/>
        <v>32662.273119294066</v>
      </c>
      <c r="BV118" s="383">
        <v>6632.5</v>
      </c>
      <c r="BW118" s="383">
        <v>0</v>
      </c>
      <c r="BX118" s="383">
        <v>0</v>
      </c>
      <c r="BY118" s="383">
        <f t="shared" si="22"/>
        <v>6632.5</v>
      </c>
      <c r="BZ118" s="383">
        <v>0</v>
      </c>
      <c r="CA118" s="383">
        <v>0</v>
      </c>
      <c r="CB118" s="383">
        <v>0</v>
      </c>
      <c r="CC118" s="383">
        <v>11604.14</v>
      </c>
      <c r="CD118" s="383">
        <f t="shared" si="23"/>
        <v>11604.14</v>
      </c>
      <c r="CE118" s="383">
        <f t="shared" si="24"/>
        <v>-4971.6399999999994</v>
      </c>
      <c r="CF118" s="383">
        <v>15292.579999999998</v>
      </c>
      <c r="CG118" s="383">
        <f t="shared" si="25"/>
        <v>10320.939999999999</v>
      </c>
      <c r="CH118" s="383">
        <f>VLOOKUP($B118,'Data - CFR 202526'!$B$4:$CJ$127,85,0)</f>
        <v>4971.6399999999994</v>
      </c>
      <c r="CI118" s="383">
        <f>VLOOKUP($B118,'Data - CFR 202526'!$B$4:$CJ$127,86,0)</f>
        <v>10320.94</v>
      </c>
      <c r="CJ118" s="383">
        <f>VLOOKUP($B118,'Data - CFR 202526'!$B$4:$CJ$127,87,0)</f>
        <v>15292.58</v>
      </c>
    </row>
    <row r="119" spans="1:88" ht="13.8">
      <c r="A119" s="252" t="s">
        <v>1525</v>
      </c>
      <c r="B119" s="290">
        <v>3392</v>
      </c>
      <c r="C119" s="290" t="s">
        <v>820</v>
      </c>
      <c r="D119" s="248" t="s">
        <v>704</v>
      </c>
      <c r="E119" s="384"/>
      <c r="F119" s="383">
        <v>1557523.225737425</v>
      </c>
      <c r="G119" s="383">
        <v>0</v>
      </c>
      <c r="H119" s="383">
        <v>43995</v>
      </c>
      <c r="I119" s="383">
        <v>0</v>
      </c>
      <c r="J119" s="383">
        <v>48770</v>
      </c>
      <c r="K119" s="383">
        <v>65495</v>
      </c>
      <c r="L119" s="383">
        <v>0</v>
      </c>
      <c r="M119" s="383">
        <v>25000</v>
      </c>
      <c r="N119" s="383">
        <v>105200</v>
      </c>
      <c r="O119" s="383">
        <v>48000</v>
      </c>
      <c r="P119" s="383">
        <v>0</v>
      </c>
      <c r="Q119" s="383">
        <v>0</v>
      </c>
      <c r="R119" s="383">
        <v>0</v>
      </c>
      <c r="S119" s="383">
        <v>5000</v>
      </c>
      <c r="T119" s="383">
        <v>0</v>
      </c>
      <c r="U119" s="383">
        <v>0</v>
      </c>
      <c r="V119" s="383">
        <v>0</v>
      </c>
      <c r="W119" s="383">
        <v>0</v>
      </c>
      <c r="X119" s="383">
        <v>0</v>
      </c>
      <c r="Y119" s="383">
        <f t="shared" si="13"/>
        <v>1898983.225737425</v>
      </c>
      <c r="Z119" s="383">
        <v>957466.92682237865</v>
      </c>
      <c r="AA119" s="383">
        <v>0</v>
      </c>
      <c r="AB119" s="383">
        <v>299926.45911985432</v>
      </c>
      <c r="AC119" s="383">
        <v>77263.594862212616</v>
      </c>
      <c r="AD119" s="383">
        <v>96384.646952773022</v>
      </c>
      <c r="AE119" s="383">
        <v>61308.884487854957</v>
      </c>
      <c r="AF119" s="383">
        <v>101831.15350039289</v>
      </c>
      <c r="AG119" s="383">
        <v>400</v>
      </c>
      <c r="AH119" s="383">
        <v>9000</v>
      </c>
      <c r="AI119" s="383">
        <v>7066.61</v>
      </c>
      <c r="AJ119" s="383">
        <v>0</v>
      </c>
      <c r="AK119" s="383">
        <v>20000</v>
      </c>
      <c r="AL119" s="383">
        <v>4670</v>
      </c>
      <c r="AM119" s="383">
        <v>6500</v>
      </c>
      <c r="AN119" s="383">
        <v>7000</v>
      </c>
      <c r="AO119" s="383">
        <v>50000</v>
      </c>
      <c r="AP119" s="383">
        <v>7252</v>
      </c>
      <c r="AQ119" s="383">
        <v>29800</v>
      </c>
      <c r="AR119" s="383">
        <v>93080.54</v>
      </c>
      <c r="AS119" s="383">
        <v>28472</v>
      </c>
      <c r="AT119" s="383">
        <v>0</v>
      </c>
      <c r="AU119" s="383">
        <v>16000</v>
      </c>
      <c r="AV119" s="383">
        <v>8528</v>
      </c>
      <c r="AW119" s="383">
        <v>0</v>
      </c>
      <c r="AX119" s="383">
        <v>36400</v>
      </c>
      <c r="AY119" s="383">
        <v>25530</v>
      </c>
      <c r="AZ119" s="383">
        <v>0</v>
      </c>
      <c r="BA119" s="383">
        <v>17742</v>
      </c>
      <c r="BB119" s="383">
        <v>0</v>
      </c>
      <c r="BC119" s="383">
        <v>0</v>
      </c>
      <c r="BD119" s="383">
        <v>0</v>
      </c>
      <c r="BE119" s="383">
        <f t="shared" si="14"/>
        <v>1961622.8157454666</v>
      </c>
      <c r="BF119" s="383">
        <f t="shared" si="15"/>
        <v>-62639.590008041589</v>
      </c>
      <c r="BG119" s="383">
        <v>-216688.21000000162</v>
      </c>
      <c r="BH119" s="383">
        <f t="shared" si="16"/>
        <v>-279327.80000804318</v>
      </c>
      <c r="BI119" s="383">
        <v>103786.87</v>
      </c>
      <c r="BJ119" s="383">
        <v>7600</v>
      </c>
      <c r="BK119" s="383">
        <f t="shared" si="17"/>
        <v>111386.87</v>
      </c>
      <c r="BL119" s="383">
        <v>93619.280514430036</v>
      </c>
      <c r="BM119" s="383">
        <v>11950</v>
      </c>
      <c r="BN119" s="383">
        <f t="shared" si="18"/>
        <v>105569.28051443004</v>
      </c>
      <c r="BO119" s="383">
        <f t="shared" si="19"/>
        <v>5817.5894855699589</v>
      </c>
      <c r="BP119" s="383">
        <v>31014.110000000008</v>
      </c>
      <c r="BQ119" s="383">
        <f t="shared" si="20"/>
        <v>36831.699485569967</v>
      </c>
      <c r="BR119" s="383">
        <v>0</v>
      </c>
      <c r="BS119" s="383">
        <v>-279327.80000804318</v>
      </c>
      <c r="BT119" s="383">
        <v>36831.699485569967</v>
      </c>
      <c r="BU119" s="383">
        <f t="shared" si="21"/>
        <v>-242496.10052247322</v>
      </c>
      <c r="BV119" s="383">
        <v>7465</v>
      </c>
      <c r="BW119" s="383">
        <v>0</v>
      </c>
      <c r="BX119" s="383">
        <v>0</v>
      </c>
      <c r="BY119" s="383">
        <f t="shared" si="22"/>
        <v>7465</v>
      </c>
      <c r="BZ119" s="383">
        <v>0</v>
      </c>
      <c r="CA119" s="383">
        <v>25454.400000000001</v>
      </c>
      <c r="CB119" s="383">
        <v>0</v>
      </c>
      <c r="CC119" s="383">
        <v>2000</v>
      </c>
      <c r="CD119" s="383">
        <f t="shared" si="23"/>
        <v>27454.400000000001</v>
      </c>
      <c r="CE119" s="383">
        <f t="shared" si="24"/>
        <v>-19989.400000000001</v>
      </c>
      <c r="CF119" s="383">
        <v>19989.400000000001</v>
      </c>
      <c r="CG119" s="383">
        <f t="shared" si="25"/>
        <v>0</v>
      </c>
      <c r="CH119" s="383">
        <f>VLOOKUP($B119,'Data - CFR 202526'!$B$4:$CJ$127,85,0)</f>
        <v>19989.400000000001</v>
      </c>
      <c r="CI119" s="383">
        <f>VLOOKUP($B119,'Data - CFR 202526'!$B$4:$CJ$127,86,0)</f>
        <v>0</v>
      </c>
      <c r="CJ119" s="383">
        <f>VLOOKUP($B119,'Data - CFR 202526'!$B$4:$CJ$127,87,0)</f>
        <v>19989.400000000001</v>
      </c>
    </row>
    <row r="120" spans="1:88" ht="13.8">
      <c r="A120" s="252" t="s">
        <v>1525</v>
      </c>
      <c r="B120" s="288">
        <v>3054</v>
      </c>
      <c r="C120" s="288" t="s">
        <v>821</v>
      </c>
      <c r="D120" s="248" t="s">
        <v>704</v>
      </c>
      <c r="E120" s="384"/>
      <c r="F120" s="383">
        <v>795599.08573039004</v>
      </c>
      <c r="G120" s="383">
        <v>0</v>
      </c>
      <c r="H120" s="383">
        <v>52046</v>
      </c>
      <c r="I120" s="383">
        <v>0</v>
      </c>
      <c r="J120" s="383">
        <v>41850</v>
      </c>
      <c r="K120" s="383">
        <v>29673</v>
      </c>
      <c r="L120" s="383">
        <v>4000</v>
      </c>
      <c r="M120" s="383">
        <v>2200</v>
      </c>
      <c r="N120" s="383">
        <v>10120</v>
      </c>
      <c r="O120" s="383">
        <v>11750</v>
      </c>
      <c r="P120" s="383">
        <v>0</v>
      </c>
      <c r="Q120" s="383">
        <v>0</v>
      </c>
      <c r="R120" s="383">
        <v>8450</v>
      </c>
      <c r="S120" s="383">
        <v>0</v>
      </c>
      <c r="T120" s="383">
        <v>0</v>
      </c>
      <c r="U120" s="383">
        <v>0</v>
      </c>
      <c r="V120" s="383">
        <v>0</v>
      </c>
      <c r="W120" s="383">
        <v>0</v>
      </c>
      <c r="X120" s="383">
        <v>0</v>
      </c>
      <c r="Y120" s="383">
        <f t="shared" si="13"/>
        <v>955688.08573039004</v>
      </c>
      <c r="Z120" s="383">
        <v>449626.70083400002</v>
      </c>
      <c r="AA120" s="383">
        <v>4000</v>
      </c>
      <c r="AB120" s="383">
        <v>200463.14860328173</v>
      </c>
      <c r="AC120" s="383">
        <v>28779.15789522362</v>
      </c>
      <c r="AD120" s="383">
        <v>43654.553217091656</v>
      </c>
      <c r="AE120" s="383">
        <v>28418.592406602653</v>
      </c>
      <c r="AF120" s="383">
        <v>5336.7733283681</v>
      </c>
      <c r="AG120" s="383">
        <v>6570</v>
      </c>
      <c r="AH120" s="383">
        <v>4800</v>
      </c>
      <c r="AI120" s="383">
        <v>2750</v>
      </c>
      <c r="AJ120" s="383">
        <v>950</v>
      </c>
      <c r="AK120" s="383">
        <v>10850</v>
      </c>
      <c r="AL120" s="383">
        <v>3000</v>
      </c>
      <c r="AM120" s="383">
        <v>2800</v>
      </c>
      <c r="AN120" s="383">
        <v>3520</v>
      </c>
      <c r="AO120" s="383">
        <v>18250</v>
      </c>
      <c r="AP120" s="383">
        <v>12928.5</v>
      </c>
      <c r="AQ120" s="383">
        <v>4540</v>
      </c>
      <c r="AR120" s="383">
        <v>42161</v>
      </c>
      <c r="AS120" s="383">
        <v>21448</v>
      </c>
      <c r="AT120" s="383">
        <v>0</v>
      </c>
      <c r="AU120" s="383">
        <v>4980</v>
      </c>
      <c r="AV120" s="383">
        <v>3200</v>
      </c>
      <c r="AW120" s="383">
        <v>100</v>
      </c>
      <c r="AX120" s="383">
        <v>18780</v>
      </c>
      <c r="AY120" s="383">
        <v>5000</v>
      </c>
      <c r="AZ120" s="383">
        <v>700</v>
      </c>
      <c r="BA120" s="383">
        <v>13212</v>
      </c>
      <c r="BB120" s="383">
        <v>0</v>
      </c>
      <c r="BC120" s="383">
        <v>0</v>
      </c>
      <c r="BD120" s="383">
        <v>0</v>
      </c>
      <c r="BE120" s="383">
        <f t="shared" si="14"/>
        <v>940818.4262845678</v>
      </c>
      <c r="BF120" s="383">
        <f t="shared" si="15"/>
        <v>14869.659445822239</v>
      </c>
      <c r="BG120" s="383">
        <v>39026.910000000142</v>
      </c>
      <c r="BH120" s="383">
        <f t="shared" si="16"/>
        <v>53896.569445822381</v>
      </c>
      <c r="BI120" s="383">
        <v>0</v>
      </c>
      <c r="BJ120" s="383">
        <v>0</v>
      </c>
      <c r="BK120" s="383">
        <f t="shared" si="17"/>
        <v>0</v>
      </c>
      <c r="BL120" s="383">
        <v>0</v>
      </c>
      <c r="BM120" s="383">
        <v>0</v>
      </c>
      <c r="BN120" s="383">
        <f t="shared" si="18"/>
        <v>0</v>
      </c>
      <c r="BO120" s="383">
        <f t="shared" si="19"/>
        <v>0</v>
      </c>
      <c r="BP120" s="383">
        <v>0</v>
      </c>
      <c r="BQ120" s="383">
        <f t="shared" si="20"/>
        <v>0</v>
      </c>
      <c r="BR120" s="383">
        <v>0</v>
      </c>
      <c r="BS120" s="383">
        <v>53896.569445822381</v>
      </c>
      <c r="BT120" s="383">
        <v>0</v>
      </c>
      <c r="BU120" s="383">
        <f t="shared" si="21"/>
        <v>53896.569445822381</v>
      </c>
      <c r="BV120" s="383">
        <v>5188</v>
      </c>
      <c r="BW120" s="383">
        <v>0</v>
      </c>
      <c r="BX120" s="383">
        <v>0</v>
      </c>
      <c r="BY120" s="383">
        <f t="shared" si="22"/>
        <v>5188</v>
      </c>
      <c r="BZ120" s="383">
        <v>0</v>
      </c>
      <c r="CA120" s="383">
        <v>5602.91</v>
      </c>
      <c r="CB120" s="383">
        <v>0</v>
      </c>
      <c r="CC120" s="383">
        <v>0</v>
      </c>
      <c r="CD120" s="383">
        <f t="shared" si="23"/>
        <v>5602.91</v>
      </c>
      <c r="CE120" s="383">
        <f t="shared" si="24"/>
        <v>-414.90999999999985</v>
      </c>
      <c r="CF120" s="383">
        <v>414.90999999999894</v>
      </c>
      <c r="CG120" s="383">
        <f t="shared" si="25"/>
        <v>-9.0949470177292824E-13</v>
      </c>
      <c r="CH120" s="383">
        <f>VLOOKUP($B120,'Data - CFR 202526'!$B$4:$CJ$127,85,0)</f>
        <v>414.90999999999894</v>
      </c>
      <c r="CI120" s="383">
        <f>VLOOKUP($B120,'Data - CFR 202526'!$B$4:$CJ$127,86,0)</f>
        <v>0</v>
      </c>
      <c r="CJ120" s="383">
        <f>VLOOKUP($B120,'Data - CFR 202526'!$B$4:$CJ$127,87,0)</f>
        <v>414.90999999999894</v>
      </c>
    </row>
    <row r="121" spans="1:88" ht="13.8">
      <c r="A121" s="252" t="s">
        <v>1525</v>
      </c>
      <c r="B121" s="288">
        <v>3032</v>
      </c>
      <c r="C121" s="288" t="s">
        <v>822</v>
      </c>
      <c r="D121" s="248" t="s">
        <v>704</v>
      </c>
      <c r="E121" s="384"/>
      <c r="F121" s="383">
        <v>1040317.2716687899</v>
      </c>
      <c r="G121" s="383">
        <v>0</v>
      </c>
      <c r="H121" s="383">
        <v>62278</v>
      </c>
      <c r="I121" s="383">
        <v>0</v>
      </c>
      <c r="J121" s="383">
        <v>44950</v>
      </c>
      <c r="K121" s="383">
        <v>47409</v>
      </c>
      <c r="L121" s="383">
        <v>0</v>
      </c>
      <c r="M121" s="383">
        <v>11680</v>
      </c>
      <c r="N121" s="383">
        <v>1000</v>
      </c>
      <c r="O121" s="383">
        <v>33847.379999999997</v>
      </c>
      <c r="P121" s="383">
        <v>0</v>
      </c>
      <c r="Q121" s="383">
        <v>0</v>
      </c>
      <c r="R121" s="383">
        <v>0</v>
      </c>
      <c r="S121" s="383">
        <v>0</v>
      </c>
      <c r="T121" s="383">
        <v>0</v>
      </c>
      <c r="U121" s="383">
        <v>0</v>
      </c>
      <c r="V121" s="383">
        <v>0</v>
      </c>
      <c r="W121" s="383">
        <v>0</v>
      </c>
      <c r="X121" s="383">
        <v>0</v>
      </c>
      <c r="Y121" s="383">
        <f t="shared" si="13"/>
        <v>1241481.6516687898</v>
      </c>
      <c r="Z121" s="383">
        <v>674189.12300146674</v>
      </c>
      <c r="AA121" s="383">
        <v>5000</v>
      </c>
      <c r="AB121" s="383">
        <v>252112.07519859818</v>
      </c>
      <c r="AC121" s="383">
        <v>32442.074675418211</v>
      </c>
      <c r="AD121" s="383">
        <v>50203.02761272349</v>
      </c>
      <c r="AE121" s="383">
        <v>0</v>
      </c>
      <c r="AF121" s="383">
        <v>14524.468086136643</v>
      </c>
      <c r="AG121" s="383">
        <v>4644</v>
      </c>
      <c r="AH121" s="383">
        <v>6240</v>
      </c>
      <c r="AI121" s="383">
        <v>4758</v>
      </c>
      <c r="AJ121" s="383">
        <v>679</v>
      </c>
      <c r="AK121" s="383">
        <v>7495.28</v>
      </c>
      <c r="AL121" s="383">
        <v>2932</v>
      </c>
      <c r="AM121" s="383">
        <v>3586.8</v>
      </c>
      <c r="AN121" s="383">
        <v>5500</v>
      </c>
      <c r="AO121" s="383">
        <v>24106.768</v>
      </c>
      <c r="AP121" s="383">
        <v>22205</v>
      </c>
      <c r="AQ121" s="383">
        <v>5741.2</v>
      </c>
      <c r="AR121" s="383">
        <v>32095</v>
      </c>
      <c r="AS121" s="383">
        <v>23264.400000000001</v>
      </c>
      <c r="AT121" s="383">
        <v>0</v>
      </c>
      <c r="AU121" s="383">
        <v>11778.16</v>
      </c>
      <c r="AV121" s="383">
        <v>5574</v>
      </c>
      <c r="AW121" s="383">
        <v>1500</v>
      </c>
      <c r="AX121" s="383">
        <v>83407.58</v>
      </c>
      <c r="AY121" s="383">
        <v>500</v>
      </c>
      <c r="AZ121" s="383">
        <v>0</v>
      </c>
      <c r="BA121" s="383">
        <v>14566.73</v>
      </c>
      <c r="BB121" s="383">
        <v>0</v>
      </c>
      <c r="BC121" s="383">
        <v>0</v>
      </c>
      <c r="BD121" s="383">
        <v>0</v>
      </c>
      <c r="BE121" s="383">
        <f t="shared" si="14"/>
        <v>1289044.6865743431</v>
      </c>
      <c r="BF121" s="383">
        <f t="shared" si="15"/>
        <v>-47563.03490555333</v>
      </c>
      <c r="BG121" s="383">
        <v>79534.790000000081</v>
      </c>
      <c r="BH121" s="383">
        <f t="shared" si="16"/>
        <v>31971.755094446751</v>
      </c>
      <c r="BI121" s="383">
        <v>0</v>
      </c>
      <c r="BJ121" s="383">
        <v>0</v>
      </c>
      <c r="BK121" s="383">
        <f t="shared" si="17"/>
        <v>0</v>
      </c>
      <c r="BL121" s="383">
        <v>0</v>
      </c>
      <c r="BM121" s="383">
        <v>0</v>
      </c>
      <c r="BN121" s="383">
        <f t="shared" si="18"/>
        <v>0</v>
      </c>
      <c r="BO121" s="383">
        <f t="shared" si="19"/>
        <v>0</v>
      </c>
      <c r="BP121" s="383">
        <v>0</v>
      </c>
      <c r="BQ121" s="383">
        <f t="shared" si="20"/>
        <v>0</v>
      </c>
      <c r="BR121" s="383">
        <v>0</v>
      </c>
      <c r="BS121" s="383">
        <v>31971.755094446751</v>
      </c>
      <c r="BT121" s="383">
        <v>0</v>
      </c>
      <c r="BU121" s="383">
        <f t="shared" si="21"/>
        <v>31971.755094446751</v>
      </c>
      <c r="BV121" s="383">
        <v>6081</v>
      </c>
      <c r="BW121" s="383">
        <v>0</v>
      </c>
      <c r="BX121" s="383">
        <v>0</v>
      </c>
      <c r="BY121" s="383">
        <f t="shared" si="22"/>
        <v>6081</v>
      </c>
      <c r="BZ121" s="383">
        <v>0</v>
      </c>
      <c r="CA121" s="383">
        <v>11499.09</v>
      </c>
      <c r="CB121" s="383">
        <v>0</v>
      </c>
      <c r="CC121" s="383">
        <v>1770</v>
      </c>
      <c r="CD121" s="383">
        <f t="shared" si="23"/>
        <v>13269.09</v>
      </c>
      <c r="CE121" s="383">
        <f t="shared" si="24"/>
        <v>-7188.09</v>
      </c>
      <c r="CF121" s="383">
        <v>7188.090000000002</v>
      </c>
      <c r="CG121" s="383">
        <f t="shared" si="25"/>
        <v>0</v>
      </c>
      <c r="CH121" s="383">
        <f>VLOOKUP($B121,'Data - CFR 202526'!$B$4:$CJ$127,85,0)</f>
        <v>7188.090000000002</v>
      </c>
      <c r="CI121" s="383">
        <f>VLOOKUP($B121,'Data - CFR 202526'!$B$4:$CJ$127,86,0)</f>
        <v>0</v>
      </c>
      <c r="CJ121" s="383">
        <f>VLOOKUP($B121,'Data - CFR 202526'!$B$4:$CJ$127,87,0)</f>
        <v>7188.090000000002</v>
      </c>
    </row>
    <row r="122" spans="1:88" ht="13.8">
      <c r="A122" s="252" t="s">
        <v>1525</v>
      </c>
      <c r="B122" s="288">
        <v>2054</v>
      </c>
      <c r="C122" s="288" t="s">
        <v>823</v>
      </c>
      <c r="D122" s="248" t="s">
        <v>704</v>
      </c>
      <c r="E122" s="384"/>
      <c r="F122" s="383">
        <v>2067309.453035414</v>
      </c>
      <c r="G122" s="383">
        <v>0</v>
      </c>
      <c r="H122" s="383">
        <v>135864</v>
      </c>
      <c r="I122" s="383">
        <v>0</v>
      </c>
      <c r="J122" s="383">
        <v>155260</v>
      </c>
      <c r="K122" s="383">
        <v>71584</v>
      </c>
      <c r="L122" s="383">
        <v>0</v>
      </c>
      <c r="M122" s="383">
        <v>3500</v>
      </c>
      <c r="N122" s="383">
        <v>150687</v>
      </c>
      <c r="O122" s="383">
        <v>37500</v>
      </c>
      <c r="P122" s="383">
        <v>0</v>
      </c>
      <c r="Q122" s="383">
        <v>0</v>
      </c>
      <c r="R122" s="383">
        <v>0</v>
      </c>
      <c r="S122" s="383">
        <v>2000</v>
      </c>
      <c r="T122" s="383">
        <v>0</v>
      </c>
      <c r="U122" s="383">
        <v>0</v>
      </c>
      <c r="V122" s="383">
        <v>0</v>
      </c>
      <c r="W122" s="383">
        <v>0</v>
      </c>
      <c r="X122" s="383">
        <v>0</v>
      </c>
      <c r="Y122" s="383">
        <f t="shared" si="13"/>
        <v>2623704.4530354142</v>
      </c>
      <c r="Z122" s="383">
        <v>1316565.9342657456</v>
      </c>
      <c r="AA122" s="383">
        <v>10000</v>
      </c>
      <c r="AB122" s="383">
        <v>433853.51336093643</v>
      </c>
      <c r="AC122" s="383">
        <v>69828.838012343011</v>
      </c>
      <c r="AD122" s="383">
        <v>137759.45718518086</v>
      </c>
      <c r="AE122" s="383">
        <v>0</v>
      </c>
      <c r="AF122" s="383">
        <v>88565.195855182959</v>
      </c>
      <c r="AG122" s="383">
        <v>10062</v>
      </c>
      <c r="AH122" s="383">
        <v>6000</v>
      </c>
      <c r="AI122" s="383">
        <v>0</v>
      </c>
      <c r="AJ122" s="383">
        <v>517</v>
      </c>
      <c r="AK122" s="383">
        <v>25000</v>
      </c>
      <c r="AL122" s="383">
        <v>8400</v>
      </c>
      <c r="AM122" s="383">
        <v>6500</v>
      </c>
      <c r="AN122" s="383">
        <v>9000</v>
      </c>
      <c r="AO122" s="383">
        <v>40000</v>
      </c>
      <c r="AP122" s="383">
        <v>46305</v>
      </c>
      <c r="AQ122" s="383">
        <v>11002.8</v>
      </c>
      <c r="AR122" s="383">
        <v>52473.89</v>
      </c>
      <c r="AS122" s="383">
        <v>54841</v>
      </c>
      <c r="AT122" s="383">
        <v>0</v>
      </c>
      <c r="AU122" s="383">
        <v>11447</v>
      </c>
      <c r="AV122" s="383">
        <v>11715.85</v>
      </c>
      <c r="AW122" s="383">
        <v>23000</v>
      </c>
      <c r="AX122" s="383">
        <v>143296</v>
      </c>
      <c r="AY122" s="383">
        <v>16386</v>
      </c>
      <c r="AZ122" s="383">
        <v>26380</v>
      </c>
      <c r="BA122" s="383">
        <v>23207</v>
      </c>
      <c r="BB122" s="383">
        <v>0</v>
      </c>
      <c r="BC122" s="383">
        <v>0</v>
      </c>
      <c r="BD122" s="383">
        <v>0</v>
      </c>
      <c r="BE122" s="383">
        <f t="shared" si="14"/>
        <v>2582106.4786793888</v>
      </c>
      <c r="BF122" s="383">
        <f t="shared" si="15"/>
        <v>41597.974356025457</v>
      </c>
      <c r="BG122" s="383">
        <v>152612.86000000083</v>
      </c>
      <c r="BH122" s="383">
        <f t="shared" si="16"/>
        <v>194210.83435602629</v>
      </c>
      <c r="BI122" s="383">
        <v>330412</v>
      </c>
      <c r="BJ122" s="383">
        <v>1200</v>
      </c>
      <c r="BK122" s="383">
        <f t="shared" si="17"/>
        <v>331612</v>
      </c>
      <c r="BL122" s="383">
        <v>234488.31548025209</v>
      </c>
      <c r="BM122" s="383">
        <v>67232</v>
      </c>
      <c r="BN122" s="383">
        <f t="shared" si="18"/>
        <v>301720.31548025209</v>
      </c>
      <c r="BO122" s="383">
        <f t="shared" si="19"/>
        <v>29891.684519747912</v>
      </c>
      <c r="BP122" s="383">
        <v>87991.630000000063</v>
      </c>
      <c r="BQ122" s="383">
        <f t="shared" si="20"/>
        <v>117883.31451974798</v>
      </c>
      <c r="BR122" s="383">
        <v>0</v>
      </c>
      <c r="BS122" s="383">
        <v>194210.83435602629</v>
      </c>
      <c r="BT122" s="383">
        <v>117883.31451974798</v>
      </c>
      <c r="BU122" s="383">
        <f t="shared" si="21"/>
        <v>312094.14887577423</v>
      </c>
      <c r="BV122" s="383">
        <v>7870</v>
      </c>
      <c r="BW122" s="383">
        <v>0</v>
      </c>
      <c r="BX122" s="383">
        <v>0</v>
      </c>
      <c r="BY122" s="383">
        <f t="shared" si="22"/>
        <v>7870</v>
      </c>
      <c r="BZ122" s="383">
        <v>0</v>
      </c>
      <c r="CA122" s="383">
        <v>9959.43</v>
      </c>
      <c r="CB122" s="383">
        <v>0</v>
      </c>
      <c r="CC122" s="383">
        <v>0</v>
      </c>
      <c r="CD122" s="383">
        <f t="shared" si="23"/>
        <v>9959.43</v>
      </c>
      <c r="CE122" s="383">
        <f t="shared" si="24"/>
        <v>-2089.4300000000003</v>
      </c>
      <c r="CF122" s="383">
        <v>2089.4300000000007</v>
      </c>
      <c r="CG122" s="383">
        <f t="shared" si="25"/>
        <v>0</v>
      </c>
      <c r="CH122" s="383">
        <f>VLOOKUP($B122,'Data - CFR 202526'!$B$4:$CJ$127,85,0)</f>
        <v>0.65000000000009095</v>
      </c>
      <c r="CI122" s="383">
        <f>VLOOKUP($B122,'Data - CFR 202526'!$B$4:$CJ$127,86,0)</f>
        <v>2088.7799999999997</v>
      </c>
      <c r="CJ122" s="383">
        <f>VLOOKUP($B122,'Data - CFR 202526'!$B$4:$CJ$127,87,0)</f>
        <v>2089.4299999999998</v>
      </c>
    </row>
    <row r="123" spans="1:88" ht="13.8">
      <c r="A123" s="252" t="s">
        <v>1525</v>
      </c>
      <c r="B123" s="288">
        <v>2240</v>
      </c>
      <c r="C123" s="288" t="s">
        <v>824</v>
      </c>
      <c r="D123" s="248" t="s">
        <v>704</v>
      </c>
      <c r="E123" s="384"/>
      <c r="F123" s="383">
        <v>798308.74965046579</v>
      </c>
      <c r="G123" s="383">
        <v>0</v>
      </c>
      <c r="H123" s="383">
        <v>17999.560000000001</v>
      </c>
      <c r="I123" s="383">
        <v>0</v>
      </c>
      <c r="J123" s="383">
        <v>45430</v>
      </c>
      <c r="K123" s="383">
        <v>40591</v>
      </c>
      <c r="L123" s="383">
        <v>0</v>
      </c>
      <c r="M123" s="383">
        <v>21000</v>
      </c>
      <c r="N123" s="383">
        <v>50900</v>
      </c>
      <c r="O123" s="383">
        <v>19200</v>
      </c>
      <c r="P123" s="383">
        <v>2400</v>
      </c>
      <c r="Q123" s="383">
        <v>0</v>
      </c>
      <c r="R123" s="383">
        <v>11500</v>
      </c>
      <c r="S123" s="383">
        <v>16000</v>
      </c>
      <c r="T123" s="383">
        <v>0</v>
      </c>
      <c r="U123" s="383">
        <v>0</v>
      </c>
      <c r="V123" s="383">
        <v>0</v>
      </c>
      <c r="W123" s="383">
        <v>0</v>
      </c>
      <c r="X123" s="383">
        <v>0</v>
      </c>
      <c r="Y123" s="383">
        <f t="shared" si="13"/>
        <v>1023329.3096504658</v>
      </c>
      <c r="Z123" s="383">
        <v>458516.27499584586</v>
      </c>
      <c r="AA123" s="383">
        <v>12000</v>
      </c>
      <c r="AB123" s="383">
        <v>135795.05272321409</v>
      </c>
      <c r="AC123" s="383">
        <v>34737.387798043441</v>
      </c>
      <c r="AD123" s="383">
        <v>48505.618604116426</v>
      </c>
      <c r="AE123" s="383">
        <v>35300.322490758837</v>
      </c>
      <c r="AF123" s="383">
        <v>65506.391799511053</v>
      </c>
      <c r="AG123" s="383">
        <v>3500</v>
      </c>
      <c r="AH123" s="383">
        <v>6000</v>
      </c>
      <c r="AI123" s="383">
        <v>4301.82</v>
      </c>
      <c r="AJ123" s="383">
        <v>0</v>
      </c>
      <c r="AK123" s="383">
        <v>20000</v>
      </c>
      <c r="AL123" s="383">
        <v>2850</v>
      </c>
      <c r="AM123" s="383">
        <v>2300</v>
      </c>
      <c r="AN123" s="383">
        <v>2400</v>
      </c>
      <c r="AO123" s="383">
        <v>27400</v>
      </c>
      <c r="AP123" s="383">
        <v>18122</v>
      </c>
      <c r="AQ123" s="383">
        <v>9500</v>
      </c>
      <c r="AR123" s="383">
        <v>38000</v>
      </c>
      <c r="AS123" s="383">
        <v>29949</v>
      </c>
      <c r="AT123" s="383">
        <v>0</v>
      </c>
      <c r="AU123" s="383">
        <v>6077</v>
      </c>
      <c r="AV123" s="383">
        <v>4853.8999999999996</v>
      </c>
      <c r="AW123" s="383">
        <v>5700</v>
      </c>
      <c r="AX123" s="383">
        <v>20500</v>
      </c>
      <c r="AY123" s="383">
        <v>0</v>
      </c>
      <c r="AZ123" s="383">
        <v>6000</v>
      </c>
      <c r="BA123" s="383">
        <v>22221.919999999998</v>
      </c>
      <c r="BB123" s="383">
        <v>0</v>
      </c>
      <c r="BC123" s="383">
        <v>0</v>
      </c>
      <c r="BD123" s="383">
        <v>0</v>
      </c>
      <c r="BE123" s="383">
        <f t="shared" si="14"/>
        <v>1020036.6884114897</v>
      </c>
      <c r="BF123" s="383">
        <f t="shared" si="15"/>
        <v>3292.6212389761349</v>
      </c>
      <c r="BG123" s="383">
        <v>-28641.970000000234</v>
      </c>
      <c r="BH123" s="383">
        <f t="shared" si="16"/>
        <v>-25349.348761024099</v>
      </c>
      <c r="BI123" s="383">
        <v>88000</v>
      </c>
      <c r="BJ123" s="383">
        <v>13000</v>
      </c>
      <c r="BK123" s="383">
        <f t="shared" si="17"/>
        <v>101000</v>
      </c>
      <c r="BL123" s="383">
        <v>94081.364225433528</v>
      </c>
      <c r="BM123" s="383">
        <v>2350</v>
      </c>
      <c r="BN123" s="383">
        <f t="shared" si="18"/>
        <v>96431.364225433528</v>
      </c>
      <c r="BO123" s="383">
        <f t="shared" si="19"/>
        <v>4568.6357745664718</v>
      </c>
      <c r="BP123" s="383">
        <v>-4586.1700000000083</v>
      </c>
      <c r="BQ123" s="383">
        <f t="shared" si="20"/>
        <v>-17.534225433536449</v>
      </c>
      <c r="BR123" s="383">
        <v>0</v>
      </c>
      <c r="BS123" s="383">
        <v>-25349.348761024099</v>
      </c>
      <c r="BT123" s="383">
        <v>-17.534225433536449</v>
      </c>
      <c r="BU123" s="383">
        <f t="shared" si="21"/>
        <v>-25366.882986457636</v>
      </c>
      <c r="BV123" s="383">
        <v>5564</v>
      </c>
      <c r="BW123" s="383">
        <v>0</v>
      </c>
      <c r="BX123" s="383">
        <v>0</v>
      </c>
      <c r="BY123" s="383">
        <f t="shared" si="22"/>
        <v>5564</v>
      </c>
      <c r="BZ123" s="383">
        <v>0</v>
      </c>
      <c r="CA123" s="383">
        <v>4664</v>
      </c>
      <c r="CB123" s="383">
        <v>0</v>
      </c>
      <c r="CC123" s="383">
        <v>0</v>
      </c>
      <c r="CD123" s="383">
        <f t="shared" si="23"/>
        <v>4664</v>
      </c>
      <c r="CE123" s="383">
        <f t="shared" si="24"/>
        <v>900</v>
      </c>
      <c r="CF123" s="383">
        <v>4663.5499999999984</v>
      </c>
      <c r="CG123" s="383">
        <f t="shared" si="25"/>
        <v>5563.5499999999984</v>
      </c>
      <c r="CH123" s="383">
        <f>VLOOKUP($B123,'Data - CFR 202526'!$B$4:$CJ$127,85,0)</f>
        <v>4663.5499999999984</v>
      </c>
      <c r="CI123" s="383">
        <f>VLOOKUP($B123,'Data - CFR 202526'!$B$4:$CJ$127,86,0)</f>
        <v>0</v>
      </c>
      <c r="CJ123" s="383">
        <f>VLOOKUP($B123,'Data - CFR 202526'!$B$4:$CJ$127,87,0)</f>
        <v>4663.5499999999984</v>
      </c>
    </row>
    <row r="124" spans="1:88" ht="13.8">
      <c r="A124" s="252" t="s">
        <v>1525</v>
      </c>
      <c r="B124" s="288">
        <v>2254</v>
      </c>
      <c r="C124" s="288" t="s">
        <v>825</v>
      </c>
      <c r="D124" s="248" t="s">
        <v>704</v>
      </c>
      <c r="E124" s="384"/>
      <c r="F124" s="383">
        <v>842520.82174344198</v>
      </c>
      <c r="G124" s="383">
        <v>0</v>
      </c>
      <c r="H124" s="383">
        <v>36632</v>
      </c>
      <c r="I124" s="383">
        <v>0</v>
      </c>
      <c r="J124" s="383">
        <v>35240</v>
      </c>
      <c r="K124" s="383">
        <v>69257</v>
      </c>
      <c r="L124" s="383">
        <v>0</v>
      </c>
      <c r="M124" s="383">
        <v>0</v>
      </c>
      <c r="N124" s="383">
        <v>1000</v>
      </c>
      <c r="O124" s="383">
        <v>0</v>
      </c>
      <c r="P124" s="383">
        <v>2250</v>
      </c>
      <c r="Q124" s="383">
        <v>0</v>
      </c>
      <c r="R124" s="383">
        <v>0</v>
      </c>
      <c r="S124" s="383">
        <v>0</v>
      </c>
      <c r="T124" s="383">
        <v>0</v>
      </c>
      <c r="U124" s="383">
        <v>0</v>
      </c>
      <c r="V124" s="383">
        <v>0</v>
      </c>
      <c r="W124" s="383">
        <v>0</v>
      </c>
      <c r="X124" s="383">
        <v>0</v>
      </c>
      <c r="Y124" s="383">
        <f t="shared" si="13"/>
        <v>986899.82174344198</v>
      </c>
      <c r="Z124" s="383">
        <v>508750.42034994985</v>
      </c>
      <c r="AA124" s="383">
        <v>2500</v>
      </c>
      <c r="AB124" s="383">
        <v>266775.804277385</v>
      </c>
      <c r="AC124" s="383">
        <v>28322.669194222814</v>
      </c>
      <c r="AD124" s="383">
        <v>46110.335685504193</v>
      </c>
      <c r="AE124" s="383">
        <v>35091.473930632586</v>
      </c>
      <c r="AF124" s="383">
        <v>17281.218395636461</v>
      </c>
      <c r="AG124" s="383">
        <v>3800</v>
      </c>
      <c r="AH124" s="383">
        <v>2500</v>
      </c>
      <c r="AI124" s="383">
        <v>3614</v>
      </c>
      <c r="AJ124" s="383">
        <v>113</v>
      </c>
      <c r="AK124" s="383">
        <v>6000</v>
      </c>
      <c r="AL124" s="383">
        <v>2300</v>
      </c>
      <c r="AM124" s="383">
        <v>2050</v>
      </c>
      <c r="AN124" s="383">
        <v>3000</v>
      </c>
      <c r="AO124" s="383">
        <v>17000</v>
      </c>
      <c r="AP124" s="383">
        <v>0</v>
      </c>
      <c r="AQ124" s="383">
        <v>2410</v>
      </c>
      <c r="AR124" s="383">
        <v>22614.799999999999</v>
      </c>
      <c r="AS124" s="383">
        <v>19515</v>
      </c>
      <c r="AT124" s="383">
        <v>0</v>
      </c>
      <c r="AU124" s="383">
        <v>10560</v>
      </c>
      <c r="AV124" s="383">
        <v>3778.02</v>
      </c>
      <c r="AW124" s="383">
        <v>0</v>
      </c>
      <c r="AX124" s="383">
        <v>17250</v>
      </c>
      <c r="AY124" s="383">
        <v>0</v>
      </c>
      <c r="AZ124" s="383">
        <v>7600</v>
      </c>
      <c r="BA124" s="383">
        <v>18930.349999999999</v>
      </c>
      <c r="BB124" s="383">
        <v>0</v>
      </c>
      <c r="BC124" s="383">
        <v>0</v>
      </c>
      <c r="BD124" s="383">
        <v>0</v>
      </c>
      <c r="BE124" s="383">
        <f t="shared" si="14"/>
        <v>1047867.0918333309</v>
      </c>
      <c r="BF124" s="383">
        <f t="shared" si="15"/>
        <v>-60967.270089888945</v>
      </c>
      <c r="BG124" s="383">
        <v>87550.489999999758</v>
      </c>
      <c r="BH124" s="383">
        <f t="shared" si="16"/>
        <v>26583.219910110813</v>
      </c>
      <c r="BI124" s="383">
        <v>0</v>
      </c>
      <c r="BJ124" s="383">
        <v>0</v>
      </c>
      <c r="BK124" s="383">
        <f t="shared" si="17"/>
        <v>0</v>
      </c>
      <c r="BL124" s="383">
        <v>0</v>
      </c>
      <c r="BM124" s="383">
        <v>0</v>
      </c>
      <c r="BN124" s="383">
        <f t="shared" si="18"/>
        <v>0</v>
      </c>
      <c r="BO124" s="383">
        <f t="shared" si="19"/>
        <v>0</v>
      </c>
      <c r="BP124" s="383">
        <v>0</v>
      </c>
      <c r="BQ124" s="383">
        <f t="shared" si="20"/>
        <v>0</v>
      </c>
      <c r="BR124" s="383">
        <v>0</v>
      </c>
      <c r="BS124" s="383">
        <v>26583.219910110813</v>
      </c>
      <c r="BT124" s="383">
        <v>0</v>
      </c>
      <c r="BU124" s="383">
        <f t="shared" si="21"/>
        <v>26583.219910110813</v>
      </c>
      <c r="BV124" s="383">
        <v>5710</v>
      </c>
      <c r="BW124" s="383">
        <v>0</v>
      </c>
      <c r="BX124" s="383">
        <v>0</v>
      </c>
      <c r="BY124" s="383">
        <f t="shared" si="22"/>
        <v>5710</v>
      </c>
      <c r="BZ124" s="383">
        <v>0</v>
      </c>
      <c r="CA124" s="383">
        <v>0</v>
      </c>
      <c r="CB124" s="383">
        <v>0</v>
      </c>
      <c r="CC124" s="383">
        <v>5710</v>
      </c>
      <c r="CD124" s="383">
        <f t="shared" si="23"/>
        <v>5710</v>
      </c>
      <c r="CE124" s="383">
        <f t="shared" si="24"/>
        <v>0</v>
      </c>
      <c r="CF124" s="383">
        <v>6139.2100000000009</v>
      </c>
      <c r="CG124" s="383">
        <f t="shared" si="25"/>
        <v>6139.2100000000009</v>
      </c>
      <c r="CH124" s="383">
        <f>VLOOKUP($B124,'Data - CFR 202526'!$B$4:$CJ$127,85,0)</f>
        <v>6139.2100000000009</v>
      </c>
      <c r="CI124" s="383">
        <f>VLOOKUP($B124,'Data - CFR 202526'!$B$4:$CJ$127,86,0)</f>
        <v>0</v>
      </c>
      <c r="CJ124" s="383">
        <f>VLOOKUP($B124,'Data - CFR 202526'!$B$4:$CJ$127,87,0)</f>
        <v>6139.2100000000009</v>
      </c>
    </row>
    <row r="125" spans="1:88">
      <c r="A125" s="247"/>
      <c r="B125" s="384"/>
      <c r="C125" s="246"/>
      <c r="D125" s="246"/>
      <c r="E125" s="384"/>
      <c r="F125" s="385"/>
      <c r="G125" s="385"/>
      <c r="H125" s="385"/>
      <c r="I125" s="385"/>
      <c r="J125" s="385"/>
      <c r="K125" s="385"/>
      <c r="L125" s="385"/>
      <c r="M125" s="385"/>
      <c r="N125" s="385"/>
      <c r="O125" s="385"/>
      <c r="P125" s="385"/>
      <c r="Q125" s="385"/>
      <c r="R125" s="385"/>
      <c r="S125" s="385"/>
      <c r="T125" s="385"/>
      <c r="U125" s="385"/>
      <c r="V125" s="385"/>
      <c r="W125" s="385"/>
      <c r="X125" s="385"/>
      <c r="Y125" s="385"/>
      <c r="Z125" s="385"/>
      <c r="AA125" s="385"/>
      <c r="AB125" s="385"/>
      <c r="AC125" s="385"/>
      <c r="AD125" s="385"/>
      <c r="AE125" s="385"/>
      <c r="AF125" s="385"/>
      <c r="AG125" s="385"/>
      <c r="AH125" s="385"/>
      <c r="AI125" s="385"/>
      <c r="AJ125" s="385"/>
      <c r="AK125" s="385"/>
      <c r="AL125" s="385"/>
      <c r="AM125" s="385"/>
      <c r="AN125" s="385"/>
      <c r="AO125" s="385"/>
      <c r="AP125" s="385"/>
      <c r="AQ125" s="385"/>
      <c r="AR125" s="385"/>
      <c r="AS125" s="385"/>
      <c r="AT125" s="385"/>
      <c r="AU125" s="385"/>
      <c r="AV125" s="385"/>
      <c r="AW125" s="385"/>
      <c r="AX125" s="385"/>
      <c r="AY125" s="385"/>
      <c r="AZ125" s="385"/>
      <c r="BA125" s="385"/>
      <c r="BB125" s="385"/>
      <c r="BC125" s="385"/>
      <c r="BD125" s="385"/>
      <c r="BE125" s="385"/>
      <c r="BF125" s="385"/>
      <c r="BG125" s="385"/>
      <c r="BH125" s="385"/>
      <c r="BI125" s="386"/>
      <c r="BJ125" s="385"/>
      <c r="BK125" s="385"/>
      <c r="BL125" s="385"/>
      <c r="BM125" s="385"/>
      <c r="BN125" s="385"/>
      <c r="BO125" s="385"/>
      <c r="BP125" s="385"/>
      <c r="BQ125" s="385"/>
      <c r="BR125" s="385"/>
      <c r="BS125" s="385"/>
      <c r="BT125" s="385"/>
      <c r="BU125" s="385"/>
      <c r="BV125" s="385"/>
      <c r="BW125" s="385"/>
      <c r="BX125" s="385"/>
      <c r="BY125" s="385"/>
      <c r="BZ125" s="385"/>
      <c r="CA125" s="385"/>
      <c r="CB125" s="385"/>
      <c r="CC125" s="385"/>
      <c r="CD125" s="385"/>
      <c r="CE125" s="385"/>
      <c r="CF125" s="385"/>
      <c r="CG125" s="385"/>
      <c r="CH125" s="385"/>
      <c r="CI125" s="385"/>
      <c r="CJ125" s="385"/>
    </row>
    <row r="126" spans="1:88">
      <c r="A126" s="247"/>
      <c r="B126" s="384"/>
      <c r="C126" s="246"/>
      <c r="D126" s="246"/>
      <c r="E126" s="384"/>
      <c r="F126" s="385"/>
      <c r="G126" s="385"/>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c r="AH126" s="385"/>
      <c r="AI126" s="385"/>
      <c r="AJ126" s="385"/>
      <c r="AK126" s="385"/>
      <c r="AL126" s="385"/>
      <c r="AM126" s="385"/>
      <c r="AN126" s="385"/>
      <c r="AO126" s="385"/>
      <c r="AP126" s="385"/>
      <c r="AQ126" s="385"/>
      <c r="AR126" s="385"/>
      <c r="AS126" s="385"/>
      <c r="AT126" s="385"/>
      <c r="AU126" s="385"/>
      <c r="AV126" s="385"/>
      <c r="AW126" s="385"/>
      <c r="AX126" s="385"/>
      <c r="AY126" s="385"/>
      <c r="AZ126" s="385"/>
      <c r="BA126" s="385"/>
      <c r="BB126" s="385"/>
      <c r="BC126" s="385"/>
      <c r="BD126" s="385"/>
      <c r="BE126" s="385"/>
      <c r="BF126" s="385"/>
      <c r="BG126" s="385"/>
      <c r="BH126" s="385"/>
      <c r="BI126" s="386"/>
      <c r="BJ126" s="385"/>
      <c r="BK126" s="385"/>
      <c r="BL126" s="385"/>
      <c r="BM126" s="385"/>
      <c r="BN126" s="385"/>
      <c r="BO126" s="385"/>
      <c r="BP126" s="385"/>
      <c r="BQ126" s="385"/>
      <c r="BR126" s="385"/>
      <c r="BS126" s="385"/>
      <c r="BT126" s="385"/>
      <c r="BU126" s="385"/>
      <c r="BV126" s="385"/>
      <c r="BW126" s="385"/>
      <c r="BX126" s="385"/>
      <c r="BY126" s="385"/>
      <c r="BZ126" s="385"/>
      <c r="CA126" s="385"/>
      <c r="CB126" s="385"/>
      <c r="CC126" s="385"/>
      <c r="CD126" s="385"/>
      <c r="CE126" s="385"/>
      <c r="CF126" s="385"/>
      <c r="CG126" s="385"/>
      <c r="CH126" s="385"/>
      <c r="CI126" s="385"/>
      <c r="CJ126" s="385"/>
    </row>
    <row r="127" spans="1:88">
      <c r="A127" s="247"/>
      <c r="B127" s="384"/>
      <c r="C127" s="246"/>
      <c r="D127" s="246"/>
      <c r="E127" s="384"/>
      <c r="F127" s="385"/>
      <c r="G127" s="385"/>
      <c r="H127" s="385"/>
      <c r="I127" s="385"/>
      <c r="J127" s="385"/>
      <c r="K127" s="385"/>
      <c r="L127" s="385"/>
      <c r="M127" s="385"/>
      <c r="N127" s="385"/>
      <c r="O127" s="385"/>
      <c r="P127" s="385"/>
      <c r="Q127" s="385"/>
      <c r="R127" s="385"/>
      <c r="S127" s="385"/>
      <c r="T127" s="385"/>
      <c r="U127" s="385"/>
      <c r="V127" s="385"/>
      <c r="W127" s="385"/>
      <c r="X127" s="385"/>
      <c r="Y127" s="385"/>
      <c r="Z127" s="385"/>
      <c r="AA127" s="385"/>
      <c r="AB127" s="385"/>
      <c r="AC127" s="385"/>
      <c r="AD127" s="385"/>
      <c r="AE127" s="385"/>
      <c r="AF127" s="385"/>
      <c r="AG127" s="385"/>
      <c r="AH127" s="385"/>
      <c r="AI127" s="385"/>
      <c r="AJ127" s="385"/>
      <c r="AK127" s="385"/>
      <c r="AL127" s="385"/>
      <c r="AM127" s="385"/>
      <c r="AN127" s="385"/>
      <c r="AO127" s="385"/>
      <c r="AP127" s="385"/>
      <c r="AQ127" s="385"/>
      <c r="AR127" s="385"/>
      <c r="AS127" s="385"/>
      <c r="AT127" s="385"/>
      <c r="AU127" s="385"/>
      <c r="AV127" s="385"/>
      <c r="AW127" s="385"/>
      <c r="AX127" s="385"/>
      <c r="AY127" s="385"/>
      <c r="AZ127" s="385"/>
      <c r="BA127" s="385"/>
      <c r="BB127" s="385"/>
      <c r="BC127" s="385"/>
      <c r="BD127" s="385"/>
      <c r="BE127" s="385"/>
      <c r="BF127" s="385"/>
      <c r="BG127" s="385"/>
      <c r="BH127" s="385"/>
      <c r="BI127" s="386"/>
      <c r="BJ127" s="385"/>
      <c r="BK127" s="385"/>
      <c r="BL127" s="385"/>
      <c r="BM127" s="385"/>
      <c r="BN127" s="385"/>
      <c r="BO127" s="385"/>
      <c r="BP127" s="385"/>
      <c r="BQ127" s="385"/>
      <c r="BR127" s="385"/>
      <c r="BS127" s="385"/>
      <c r="BT127" s="385"/>
      <c r="BU127" s="385"/>
      <c r="BV127" s="385"/>
      <c r="BW127" s="385"/>
      <c r="BX127" s="385"/>
      <c r="BY127" s="385"/>
      <c r="BZ127" s="385"/>
      <c r="CA127" s="385"/>
      <c r="CB127" s="385"/>
      <c r="CC127" s="385"/>
      <c r="CD127" s="385"/>
      <c r="CE127" s="385"/>
      <c r="CF127" s="385"/>
      <c r="CG127" s="385"/>
      <c r="CH127" s="385"/>
      <c r="CI127" s="385"/>
      <c r="CJ127" s="385"/>
    </row>
    <row r="128" spans="1:88">
      <c r="A128" s="247"/>
      <c r="B128" s="384"/>
      <c r="C128" s="246"/>
      <c r="D128" s="246"/>
      <c r="E128" s="384"/>
      <c r="F128" s="385"/>
      <c r="G128" s="385"/>
      <c r="H128" s="385"/>
      <c r="I128" s="385"/>
      <c r="J128" s="385"/>
      <c r="K128" s="385"/>
      <c r="L128" s="385"/>
      <c r="M128" s="385"/>
      <c r="N128" s="385"/>
      <c r="O128" s="385"/>
      <c r="P128" s="385"/>
      <c r="Q128" s="385"/>
      <c r="R128" s="385"/>
      <c r="S128" s="385"/>
      <c r="T128" s="385"/>
      <c r="U128" s="385"/>
      <c r="V128" s="385"/>
      <c r="W128" s="385"/>
      <c r="X128" s="385"/>
      <c r="Y128" s="385"/>
      <c r="Z128" s="385"/>
      <c r="AA128" s="385"/>
      <c r="AB128" s="385"/>
      <c r="AC128" s="385"/>
      <c r="AD128" s="385"/>
      <c r="AE128" s="385"/>
      <c r="AF128" s="385"/>
      <c r="AG128" s="385"/>
      <c r="AH128" s="385"/>
      <c r="AI128" s="385"/>
      <c r="AJ128" s="385"/>
      <c r="AK128" s="385"/>
      <c r="AL128" s="385"/>
      <c r="AM128" s="385"/>
      <c r="AN128" s="385"/>
      <c r="AO128" s="385"/>
      <c r="AP128" s="385"/>
      <c r="AQ128" s="385"/>
      <c r="AR128" s="385"/>
      <c r="AS128" s="385"/>
      <c r="AT128" s="385"/>
      <c r="AU128" s="385"/>
      <c r="AV128" s="385"/>
      <c r="AW128" s="385"/>
      <c r="AX128" s="385"/>
      <c r="AY128" s="385"/>
      <c r="AZ128" s="385"/>
      <c r="BA128" s="385"/>
      <c r="BB128" s="385"/>
      <c r="BC128" s="385"/>
      <c r="BD128" s="385"/>
      <c r="BE128" s="385"/>
      <c r="BF128" s="385"/>
      <c r="BG128" s="385"/>
      <c r="BH128" s="385"/>
      <c r="BI128" s="386"/>
      <c r="BJ128" s="385"/>
      <c r="BK128" s="385"/>
      <c r="BL128" s="385"/>
      <c r="BM128" s="385"/>
      <c r="BN128" s="385"/>
      <c r="BO128" s="385"/>
      <c r="BP128" s="385"/>
      <c r="BQ128" s="385"/>
      <c r="BR128" s="385"/>
      <c r="BS128" s="385"/>
      <c r="BT128" s="385"/>
      <c r="BU128" s="385"/>
      <c r="BV128" s="385"/>
      <c r="BW128" s="385"/>
      <c r="BX128" s="385"/>
      <c r="BY128" s="385"/>
      <c r="BZ128" s="385"/>
      <c r="CA128" s="385"/>
      <c r="CB128" s="385"/>
      <c r="CC128" s="385"/>
      <c r="CD128" s="385"/>
      <c r="CE128" s="385"/>
      <c r="CF128" s="385"/>
      <c r="CG128" s="385"/>
      <c r="CH128" s="385"/>
      <c r="CI128" s="385"/>
      <c r="CJ128" s="385"/>
    </row>
    <row r="129" spans="61:61">
      <c r="BI129" s="386"/>
    </row>
    <row r="130" spans="61:61">
      <c r="BI130" s="386"/>
    </row>
    <row r="131" spans="61:61">
      <c r="BI131" s="386"/>
    </row>
    <row r="132" spans="61:61">
      <c r="BI132" s="386"/>
    </row>
    <row r="133" spans="61:61">
      <c r="BI133" s="386"/>
    </row>
    <row r="134" spans="61:61">
      <c r="BI134" s="386"/>
    </row>
    <row r="135" spans="61:61">
      <c r="BI135" s="386"/>
    </row>
    <row r="136" spans="61:61">
      <c r="BI136" s="386"/>
    </row>
    <row r="137" spans="61:61">
      <c r="BI137" s="386"/>
    </row>
    <row r="138" spans="61:61">
      <c r="BI138" s="386"/>
    </row>
    <row r="139" spans="61:61">
      <c r="BI139" s="386"/>
    </row>
    <row r="140" spans="61:61">
      <c r="BI140" s="386"/>
    </row>
    <row r="141" spans="61:61">
      <c r="BI141" s="386"/>
    </row>
    <row r="142" spans="61:61">
      <c r="BI142" s="386"/>
    </row>
    <row r="143" spans="61:61">
      <c r="BI143" s="386"/>
    </row>
    <row r="144" spans="61:61">
      <c r="BI144" s="386"/>
    </row>
    <row r="145" spans="61:61">
      <c r="BI145" s="386"/>
    </row>
    <row r="146" spans="61:61">
      <c r="BI146" s="386"/>
    </row>
    <row r="147" spans="61:61">
      <c r="BI147" s="386"/>
    </row>
    <row r="148" spans="61:61">
      <c r="BI148" s="386"/>
    </row>
    <row r="149" spans="61:61">
      <c r="BI149" s="386"/>
    </row>
    <row r="150" spans="61:61">
      <c r="BI150" s="386"/>
    </row>
    <row r="151" spans="61:61">
      <c r="BI151" s="386"/>
    </row>
    <row r="152" spans="61:61">
      <c r="BI152" s="386"/>
    </row>
    <row r="153" spans="61:61">
      <c r="BI153" s="386"/>
    </row>
    <row r="154" spans="61:61">
      <c r="BI154" s="386"/>
    </row>
    <row r="155" spans="61:61">
      <c r="BI155" s="386"/>
    </row>
    <row r="156" spans="61:61">
      <c r="BI156" s="386"/>
    </row>
    <row r="157" spans="61:61">
      <c r="BI157" s="386"/>
    </row>
    <row r="158" spans="61:61">
      <c r="BI158" s="386"/>
    </row>
    <row r="159" spans="61:61">
      <c r="BI159" s="386"/>
    </row>
    <row r="160" spans="61:61">
      <c r="BI160" s="386"/>
    </row>
    <row r="161" spans="61:61">
      <c r="BI161" s="386"/>
    </row>
    <row r="162" spans="61:61">
      <c r="BI162" s="386"/>
    </row>
    <row r="163" spans="61:61">
      <c r="BI163" s="386"/>
    </row>
    <row r="164" spans="61:61">
      <c r="BI164" s="386"/>
    </row>
    <row r="165" spans="61:61">
      <c r="BI165" s="386"/>
    </row>
    <row r="166" spans="61:61">
      <c r="BI166" s="386"/>
    </row>
    <row r="167" spans="61:61">
      <c r="BI167" s="386"/>
    </row>
    <row r="168" spans="61:61">
      <c r="BI168" s="386"/>
    </row>
    <row r="169" spans="61:61">
      <c r="BI169" s="386"/>
    </row>
    <row r="170" spans="61:61">
      <c r="BI170" s="386"/>
    </row>
    <row r="171" spans="61:61">
      <c r="BI171" s="386"/>
    </row>
    <row r="172" spans="61:61">
      <c r="BI172" s="386"/>
    </row>
    <row r="173" spans="61:61">
      <c r="BI173" s="386"/>
    </row>
    <row r="174" spans="61:61">
      <c r="BI174" s="386"/>
    </row>
    <row r="175" spans="61:61">
      <c r="BI175" s="386"/>
    </row>
    <row r="176" spans="61:61">
      <c r="BI176" s="386"/>
    </row>
    <row r="177" spans="61:61">
      <c r="BI177" s="386"/>
    </row>
    <row r="178" spans="61:61">
      <c r="BI178" s="386"/>
    </row>
    <row r="179" spans="61:61">
      <c r="BI179" s="386"/>
    </row>
    <row r="180" spans="61:61">
      <c r="BI180" s="386"/>
    </row>
    <row r="181" spans="61:61">
      <c r="BI181" s="386"/>
    </row>
    <row r="182" spans="61:61">
      <c r="BI182" s="386"/>
    </row>
    <row r="183" spans="61:61">
      <c r="BI183" s="386"/>
    </row>
    <row r="184" spans="61:61">
      <c r="BI184" s="386"/>
    </row>
    <row r="185" spans="61:61">
      <c r="BI185" s="386"/>
    </row>
    <row r="186" spans="61:61">
      <c r="BI186" s="386"/>
    </row>
    <row r="187" spans="61:61">
      <c r="BI187" s="386"/>
    </row>
    <row r="188" spans="61:61">
      <c r="BI188" s="386"/>
    </row>
    <row r="189" spans="61:61">
      <c r="BI189" s="386"/>
    </row>
    <row r="190" spans="61:61">
      <c r="BI190" s="386"/>
    </row>
    <row r="191" spans="61:61">
      <c r="BI191" s="386"/>
    </row>
    <row r="192" spans="61:61">
      <c r="BI192" s="386"/>
    </row>
    <row r="193" spans="61:61">
      <c r="BI193" s="386"/>
    </row>
    <row r="194" spans="61:61">
      <c r="BI194" s="386"/>
    </row>
    <row r="195" spans="61:61">
      <c r="BI195" s="386"/>
    </row>
    <row r="196" spans="61:61">
      <c r="BI196" s="386"/>
    </row>
    <row r="197" spans="61:61">
      <c r="BI197" s="386"/>
    </row>
    <row r="198" spans="61:61">
      <c r="BI198" s="386"/>
    </row>
    <row r="199" spans="61:61">
      <c r="BI199" s="386"/>
    </row>
    <row r="200" spans="61:61">
      <c r="BI200" s="386"/>
    </row>
    <row r="201" spans="61:61">
      <c r="BI201" s="386"/>
    </row>
    <row r="202" spans="61:61">
      <c r="BI202" s="386"/>
    </row>
    <row r="203" spans="61:61">
      <c r="BI203" s="386"/>
    </row>
    <row r="204" spans="61:61">
      <c r="BI204" s="386"/>
    </row>
    <row r="205" spans="61:61">
      <c r="BI205" s="386"/>
    </row>
    <row r="206" spans="61:61">
      <c r="BI206" s="386"/>
    </row>
    <row r="207" spans="61:61">
      <c r="BI207" s="386"/>
    </row>
    <row r="208" spans="61:61">
      <c r="BI208" s="386"/>
    </row>
    <row r="209" spans="61:61">
      <c r="BI209" s="386"/>
    </row>
    <row r="210" spans="61:61">
      <c r="BI210" s="386"/>
    </row>
    <row r="211" spans="61:61">
      <c r="BI211" s="386"/>
    </row>
    <row r="212" spans="61:61">
      <c r="BI212" s="386"/>
    </row>
    <row r="213" spans="61:61">
      <c r="BI213" s="386"/>
    </row>
    <row r="214" spans="61:61">
      <c r="BI214" s="386"/>
    </row>
    <row r="215" spans="61:61">
      <c r="BI215" s="386"/>
    </row>
    <row r="216" spans="61:61">
      <c r="BI216" s="386"/>
    </row>
    <row r="217" spans="61:61">
      <c r="BI217" s="386"/>
    </row>
    <row r="218" spans="61:61">
      <c r="BI218" s="386"/>
    </row>
    <row r="219" spans="61:61">
      <c r="BI219" s="386"/>
    </row>
    <row r="220" spans="61:61">
      <c r="BI220" s="386"/>
    </row>
    <row r="221" spans="61:61">
      <c r="BI221" s="386"/>
    </row>
    <row r="222" spans="61:61">
      <c r="BI222" s="386"/>
    </row>
    <row r="223" spans="61:61">
      <c r="BI223" s="386"/>
    </row>
    <row r="224" spans="61:61">
      <c r="BI224" s="386"/>
    </row>
    <row r="225" spans="61:61">
      <c r="BI225" s="386"/>
    </row>
    <row r="226" spans="61:61">
      <c r="BI226" s="386"/>
    </row>
    <row r="227" spans="61:61">
      <c r="BI227" s="386"/>
    </row>
    <row r="228" spans="61:61">
      <c r="BI228" s="386"/>
    </row>
    <row r="229" spans="61:61">
      <c r="BI229" s="386"/>
    </row>
    <row r="230" spans="61:61">
      <c r="BI230" s="386"/>
    </row>
    <row r="231" spans="61:61">
      <c r="BI231" s="386"/>
    </row>
    <row r="232" spans="61:61">
      <c r="BI232" s="386"/>
    </row>
    <row r="233" spans="61:61">
      <c r="BI233" s="386"/>
    </row>
    <row r="234" spans="61:61">
      <c r="BI234" s="386"/>
    </row>
    <row r="235" spans="61:61">
      <c r="BI235" s="386"/>
    </row>
    <row r="236" spans="61:61">
      <c r="BI236" s="386"/>
    </row>
    <row r="237" spans="61:61">
      <c r="BI237" s="386"/>
    </row>
    <row r="238" spans="61:61">
      <c r="BI238" s="386"/>
    </row>
    <row r="239" spans="61:61">
      <c r="BI239" s="386"/>
    </row>
    <row r="240" spans="61:61">
      <c r="BI240" s="386"/>
    </row>
    <row r="241" spans="61:61">
      <c r="BI241" s="386"/>
    </row>
    <row r="242" spans="61:61">
      <c r="BI242" s="386"/>
    </row>
    <row r="243" spans="61:61">
      <c r="BI243" s="386"/>
    </row>
    <row r="244" spans="61:61">
      <c r="BI244" s="386"/>
    </row>
    <row r="245" spans="61:61">
      <c r="BI245" s="386"/>
    </row>
    <row r="246" spans="61:61">
      <c r="BI246" s="386"/>
    </row>
    <row r="247" spans="61:61">
      <c r="BI247" s="386"/>
    </row>
    <row r="248" spans="61:61">
      <c r="BI248" s="386"/>
    </row>
    <row r="249" spans="61:61">
      <c r="BI249" s="386"/>
    </row>
    <row r="250" spans="61:61">
      <c r="BI250" s="386"/>
    </row>
    <row r="251" spans="61:61">
      <c r="BI251" s="386"/>
    </row>
    <row r="252" spans="61:61">
      <c r="BI252" s="386"/>
    </row>
    <row r="253" spans="61:61">
      <c r="BI253" s="386"/>
    </row>
    <row r="254" spans="61:61">
      <c r="BI254" s="386"/>
    </row>
    <row r="255" spans="61:61">
      <c r="BI255" s="386"/>
    </row>
    <row r="256" spans="61:61">
      <c r="BI256" s="386"/>
    </row>
    <row r="257" spans="61:61">
      <c r="BI257" s="386"/>
    </row>
    <row r="258" spans="61:61">
      <c r="BI258" s="386"/>
    </row>
    <row r="259" spans="61:61">
      <c r="BI259" s="386"/>
    </row>
    <row r="260" spans="61:61">
      <c r="BI260" s="386"/>
    </row>
    <row r="261" spans="61:61">
      <c r="BI261" s="386"/>
    </row>
    <row r="262" spans="61:61">
      <c r="BI262" s="386"/>
    </row>
    <row r="263" spans="61:61">
      <c r="BI263" s="386"/>
    </row>
    <row r="264" spans="61:61">
      <c r="BI264" s="386"/>
    </row>
    <row r="265" spans="61:61">
      <c r="BI265" s="386"/>
    </row>
    <row r="266" spans="61:61">
      <c r="BI266" s="386"/>
    </row>
    <row r="267" spans="61:61">
      <c r="BI267" s="386"/>
    </row>
    <row r="268" spans="61:61">
      <c r="BI268" s="386"/>
    </row>
    <row r="269" spans="61:61">
      <c r="BI269" s="386"/>
    </row>
    <row r="270" spans="61:61">
      <c r="BI270" s="386"/>
    </row>
    <row r="271" spans="61:61">
      <c r="BI271" s="386"/>
    </row>
    <row r="272" spans="61:61">
      <c r="BI272" s="386"/>
    </row>
    <row r="273" spans="61:61">
      <c r="BI273" s="386"/>
    </row>
    <row r="274" spans="61:61">
      <c r="BI274" s="386"/>
    </row>
    <row r="275" spans="61:61">
      <c r="BI275" s="386"/>
    </row>
    <row r="276" spans="61:61">
      <c r="BI276" s="386"/>
    </row>
    <row r="277" spans="61:61">
      <c r="BI277" s="386"/>
    </row>
    <row r="278" spans="61:61">
      <c r="BI278" s="386"/>
    </row>
    <row r="279" spans="61:61">
      <c r="BI279" s="386"/>
    </row>
    <row r="280" spans="61:61">
      <c r="BI280" s="386"/>
    </row>
    <row r="281" spans="61:61">
      <c r="BI281" s="386"/>
    </row>
    <row r="282" spans="61:61">
      <c r="BI282" s="386"/>
    </row>
    <row r="283" spans="61:61">
      <c r="BI283" s="386"/>
    </row>
    <row r="284" spans="61:61">
      <c r="BI284" s="386"/>
    </row>
    <row r="285" spans="61:61">
      <c r="BI285" s="386"/>
    </row>
    <row r="286" spans="61:61">
      <c r="BI286" s="386"/>
    </row>
    <row r="287" spans="61:61">
      <c r="BI287" s="386"/>
    </row>
    <row r="288" spans="61:61">
      <c r="BI288" s="386"/>
    </row>
    <row r="289" spans="61:61">
      <c r="BI289" s="386"/>
    </row>
    <row r="290" spans="61:61">
      <c r="BI290" s="386"/>
    </row>
    <row r="291" spans="61:61">
      <c r="BI291" s="386"/>
    </row>
    <row r="292" spans="61:61">
      <c r="BI292" s="386"/>
    </row>
    <row r="293" spans="61:61">
      <c r="BI293" s="386"/>
    </row>
    <row r="294" spans="61:61">
      <c r="BI294" s="386"/>
    </row>
    <row r="295" spans="61:61">
      <c r="BI295" s="386"/>
    </row>
    <row r="296" spans="61:61">
      <c r="BI296" s="386"/>
    </row>
    <row r="297" spans="61:61">
      <c r="BI297" s="386"/>
    </row>
    <row r="298" spans="61:61">
      <c r="BI298" s="386"/>
    </row>
    <row r="299" spans="61:61">
      <c r="BI299" s="386"/>
    </row>
    <row r="300" spans="61:61">
      <c r="BI300" s="386"/>
    </row>
    <row r="301" spans="61:61">
      <c r="BI301" s="386"/>
    </row>
    <row r="302" spans="61:61">
      <c r="BI302" s="386"/>
    </row>
    <row r="303" spans="61:61">
      <c r="BI303" s="386"/>
    </row>
    <row r="304" spans="61:61">
      <c r="BI304" s="386"/>
    </row>
    <row r="305" spans="61:61">
      <c r="BI305" s="386"/>
    </row>
    <row r="306" spans="61:61">
      <c r="BI306" s="386"/>
    </row>
    <row r="307" spans="61:61">
      <c r="BI307" s="386"/>
    </row>
    <row r="308" spans="61:61">
      <c r="BI308" s="386"/>
    </row>
    <row r="309" spans="61:61">
      <c r="BI309" s="386"/>
    </row>
    <row r="310" spans="61:61">
      <c r="BI310" s="386"/>
    </row>
    <row r="311" spans="61:61">
      <c r="BI311" s="386"/>
    </row>
    <row r="312" spans="61:61">
      <c r="BI312" s="386"/>
    </row>
    <row r="313" spans="61:61">
      <c r="BI313" s="386"/>
    </row>
    <row r="314" spans="61:61">
      <c r="BI314" s="386"/>
    </row>
    <row r="315" spans="61:61">
      <c r="BI315" s="386"/>
    </row>
    <row r="316" spans="61:61">
      <c r="BI316" s="386"/>
    </row>
    <row r="317" spans="61:61">
      <c r="BI317" s="386"/>
    </row>
    <row r="318" spans="61:61">
      <c r="BI318" s="386"/>
    </row>
    <row r="319" spans="61:61">
      <c r="BI319" s="386"/>
    </row>
    <row r="320" spans="61:61">
      <c r="BI320" s="386"/>
    </row>
    <row r="321" spans="61:61">
      <c r="BI321" s="386"/>
    </row>
    <row r="322" spans="61:61">
      <c r="BI322" s="386"/>
    </row>
    <row r="323" spans="61:61">
      <c r="BI323" s="386"/>
    </row>
    <row r="324" spans="61:61">
      <c r="BI324" s="386"/>
    </row>
    <row r="325" spans="61:61">
      <c r="BI325" s="386"/>
    </row>
    <row r="326" spans="61:61">
      <c r="BI326" s="386"/>
    </row>
    <row r="327" spans="61:61">
      <c r="BI327" s="386"/>
    </row>
    <row r="328" spans="61:61">
      <c r="BI328" s="386"/>
    </row>
    <row r="329" spans="61:61">
      <c r="BI329" s="386"/>
    </row>
    <row r="330" spans="61:61">
      <c r="BI330" s="386"/>
    </row>
    <row r="331" spans="61:61">
      <c r="BI331" s="386"/>
    </row>
    <row r="332" spans="61:61">
      <c r="BI332" s="386"/>
    </row>
    <row r="333" spans="61:61">
      <c r="BI333" s="386"/>
    </row>
    <row r="334" spans="61:61">
      <c r="BI334" s="386"/>
    </row>
    <row r="335" spans="61:61">
      <c r="BI335" s="386"/>
    </row>
    <row r="336" spans="61:61">
      <c r="BI336" s="386"/>
    </row>
    <row r="337" spans="61:61">
      <c r="BI337" s="386"/>
    </row>
    <row r="338" spans="61:61">
      <c r="BI338" s="386"/>
    </row>
    <row r="339" spans="61:61">
      <c r="BI339" s="386"/>
    </row>
    <row r="340" spans="61:61">
      <c r="BI340" s="386"/>
    </row>
    <row r="341" spans="61:61">
      <c r="BI341" s="386"/>
    </row>
    <row r="342" spans="61:61">
      <c r="BI342" s="386"/>
    </row>
    <row r="343" spans="61:61">
      <c r="BI343" s="386"/>
    </row>
    <row r="344" spans="61:61">
      <c r="BI344" s="386"/>
    </row>
    <row r="345" spans="61:61">
      <c r="BI345" s="386"/>
    </row>
    <row r="346" spans="61:61">
      <c r="BI346" s="386"/>
    </row>
    <row r="347" spans="61:61">
      <c r="BI347" s="386"/>
    </row>
    <row r="348" spans="61:61">
      <c r="BI348" s="386"/>
    </row>
    <row r="349" spans="61:61">
      <c r="BI349" s="386"/>
    </row>
    <row r="350" spans="61:61">
      <c r="BI350" s="386"/>
    </row>
    <row r="351" spans="61:61">
      <c r="BI351" s="386"/>
    </row>
    <row r="352" spans="61:61">
      <c r="BI352" s="386"/>
    </row>
    <row r="353" spans="61:61">
      <c r="BI353" s="386"/>
    </row>
    <row r="354" spans="61:61">
      <c r="BI354" s="386"/>
    </row>
    <row r="355" spans="61:61">
      <c r="BI355" s="386"/>
    </row>
    <row r="356" spans="61:61">
      <c r="BI356" s="386"/>
    </row>
    <row r="357" spans="61:61">
      <c r="BI357" s="386"/>
    </row>
    <row r="358" spans="61:61">
      <c r="BI358" s="386"/>
    </row>
    <row r="359" spans="61:61">
      <c r="BI359" s="386"/>
    </row>
    <row r="360" spans="61:61">
      <c r="BI360" s="386"/>
    </row>
    <row r="361" spans="61:61">
      <c r="BI361" s="386"/>
    </row>
    <row r="362" spans="61:61">
      <c r="BI362" s="386"/>
    </row>
    <row r="363" spans="61:61">
      <c r="BI363" s="386"/>
    </row>
    <row r="364" spans="61:61">
      <c r="BI364" s="386"/>
    </row>
    <row r="365" spans="61:61">
      <c r="BI365" s="386"/>
    </row>
    <row r="366" spans="61:61">
      <c r="BI366" s="386"/>
    </row>
    <row r="367" spans="61:61">
      <c r="BI367" s="386"/>
    </row>
    <row r="368" spans="61:61">
      <c r="BI368" s="386"/>
    </row>
    <row r="369" spans="61:61">
      <c r="BI369" s="386"/>
    </row>
    <row r="370" spans="61:61">
      <c r="BI370" s="386"/>
    </row>
    <row r="371" spans="61:61">
      <c r="BI371" s="386"/>
    </row>
    <row r="372" spans="61:61">
      <c r="BI372" s="386"/>
    </row>
    <row r="373" spans="61:61">
      <c r="BI373" s="386"/>
    </row>
    <row r="374" spans="61:61">
      <c r="BI374" s="386"/>
    </row>
    <row r="375" spans="61:61">
      <c r="BI375" s="386"/>
    </row>
    <row r="376" spans="61:61">
      <c r="BI376" s="386"/>
    </row>
    <row r="377" spans="61:61">
      <c r="BI377" s="386"/>
    </row>
    <row r="378" spans="61:61">
      <c r="BI378" s="386"/>
    </row>
    <row r="379" spans="61:61">
      <c r="BI379" s="386"/>
    </row>
    <row r="380" spans="61:61">
      <c r="BI380" s="386"/>
    </row>
    <row r="381" spans="61:61">
      <c r="BI381" s="386"/>
    </row>
    <row r="382" spans="61:61">
      <c r="BI382" s="386"/>
    </row>
    <row r="383" spans="61:61">
      <c r="BI383" s="386"/>
    </row>
    <row r="384" spans="61:61">
      <c r="BI384" s="386"/>
    </row>
    <row r="385" spans="61:61">
      <c r="BI385" s="386"/>
    </row>
    <row r="386" spans="61:61">
      <c r="BI386" s="386"/>
    </row>
    <row r="387" spans="61:61">
      <c r="BI387" s="386"/>
    </row>
    <row r="388" spans="61:61">
      <c r="BI388" s="386"/>
    </row>
    <row r="389" spans="61:61">
      <c r="BI389" s="386"/>
    </row>
    <row r="390" spans="61:61">
      <c r="BI390" s="386"/>
    </row>
    <row r="391" spans="61:61">
      <c r="BI391" s="386"/>
    </row>
    <row r="392" spans="61:61">
      <c r="BI392" s="386"/>
    </row>
    <row r="393" spans="61:61">
      <c r="BI393" s="386"/>
    </row>
    <row r="394" spans="61:61">
      <c r="BI394" s="386"/>
    </row>
    <row r="395" spans="61:61">
      <c r="BI395" s="386"/>
    </row>
    <row r="396" spans="61:61">
      <c r="BI396" s="386"/>
    </row>
    <row r="397" spans="61:61">
      <c r="BI397" s="386"/>
    </row>
    <row r="398" spans="61:61">
      <c r="BI398" s="386"/>
    </row>
    <row r="399" spans="61:61">
      <c r="BI399" s="386"/>
    </row>
    <row r="400" spans="61:61">
      <c r="BI400" s="386"/>
    </row>
    <row r="401" spans="61:61">
      <c r="BI401" s="386"/>
    </row>
    <row r="402" spans="61:61">
      <c r="BI402" s="386"/>
    </row>
    <row r="403" spans="61:61">
      <c r="BI403" s="386"/>
    </row>
    <row r="404" spans="61:61">
      <c r="BI404" s="386"/>
    </row>
    <row r="405" spans="61:61">
      <c r="BI405" s="386"/>
    </row>
    <row r="406" spans="61:61">
      <c r="BI406" s="386"/>
    </row>
    <row r="407" spans="61:61">
      <c r="BI407" s="386"/>
    </row>
    <row r="408" spans="61:61">
      <c r="BI408" s="386"/>
    </row>
    <row r="409" spans="61:61">
      <c r="BI409" s="386"/>
    </row>
    <row r="410" spans="61:61">
      <c r="BI410" s="386"/>
    </row>
    <row r="411" spans="61:61">
      <c r="BI411" s="386"/>
    </row>
    <row r="412" spans="61:61">
      <c r="BI412" s="386"/>
    </row>
    <row r="413" spans="61:61">
      <c r="BI413" s="386"/>
    </row>
    <row r="414" spans="61:61">
      <c r="BI414" s="386"/>
    </row>
    <row r="415" spans="61:61">
      <c r="BI415" s="386"/>
    </row>
    <row r="416" spans="61:61">
      <c r="BI416" s="386"/>
    </row>
    <row r="417" spans="61:61">
      <c r="BI417" s="386"/>
    </row>
    <row r="418" spans="61:61">
      <c r="BI418" s="386"/>
    </row>
    <row r="419" spans="61:61">
      <c r="BI419" s="386"/>
    </row>
    <row r="420" spans="61:61">
      <c r="BI420" s="386"/>
    </row>
    <row r="421" spans="61:61">
      <c r="BI421" s="386"/>
    </row>
    <row r="422" spans="61:61">
      <c r="BI422" s="386"/>
    </row>
    <row r="423" spans="61:61">
      <c r="BI423" s="386"/>
    </row>
    <row r="424" spans="61:61">
      <c r="BI424" s="386"/>
    </row>
    <row r="425" spans="61:61">
      <c r="BI425" s="386"/>
    </row>
    <row r="426" spans="61:61">
      <c r="BI426" s="386"/>
    </row>
    <row r="427" spans="61:61">
      <c r="BI427" s="386"/>
    </row>
    <row r="428" spans="61:61">
      <c r="BI428" s="386"/>
    </row>
    <row r="429" spans="61:61">
      <c r="BI429" s="386"/>
    </row>
    <row r="430" spans="61:61">
      <c r="BI430" s="386"/>
    </row>
    <row r="431" spans="61:61">
      <c r="BI431" s="386"/>
    </row>
    <row r="432" spans="61:61">
      <c r="BI432" s="386"/>
    </row>
    <row r="433" spans="61:61">
      <c r="BI433" s="386"/>
    </row>
    <row r="434" spans="61:61">
      <c r="BI434" s="386"/>
    </row>
    <row r="435" spans="61:61">
      <c r="BI435" s="386"/>
    </row>
    <row r="436" spans="61:61">
      <c r="BI436" s="386"/>
    </row>
    <row r="437" spans="61:61">
      <c r="BI437" s="386"/>
    </row>
    <row r="438" spans="61:61">
      <c r="BI438" s="386"/>
    </row>
    <row r="439" spans="61:61">
      <c r="BI439" s="386"/>
    </row>
    <row r="440" spans="61:61">
      <c r="BI440" s="386"/>
    </row>
    <row r="441" spans="61:61">
      <c r="BI441" s="386"/>
    </row>
    <row r="442" spans="61:61">
      <c r="BI442" s="386"/>
    </row>
    <row r="443" spans="61:61">
      <c r="BI443" s="386"/>
    </row>
    <row r="444" spans="61:61">
      <c r="BI444" s="386"/>
    </row>
    <row r="445" spans="61:61">
      <c r="BI445" s="386"/>
    </row>
    <row r="446" spans="61:61">
      <c r="BI446" s="386"/>
    </row>
    <row r="447" spans="61:61">
      <c r="BI447" s="386"/>
    </row>
    <row r="448" spans="61:61">
      <c r="BI448" s="386"/>
    </row>
    <row r="449" spans="61:61">
      <c r="BI449" s="386"/>
    </row>
    <row r="450" spans="61:61">
      <c r="BI450" s="386"/>
    </row>
    <row r="451" spans="61:61">
      <c r="BI451" s="386"/>
    </row>
    <row r="452" spans="61:61">
      <c r="BI452" s="386"/>
    </row>
    <row r="453" spans="61:61">
      <c r="BI453" s="386"/>
    </row>
    <row r="454" spans="61:61">
      <c r="BI454" s="386"/>
    </row>
    <row r="455" spans="61:61">
      <c r="BI455" s="386"/>
    </row>
    <row r="456" spans="61:61">
      <c r="BI456" s="386"/>
    </row>
    <row r="457" spans="61:61">
      <c r="BI457" s="386"/>
    </row>
    <row r="458" spans="61:61">
      <c r="BI458" s="386"/>
    </row>
    <row r="459" spans="61:61">
      <c r="BI459" s="386"/>
    </row>
    <row r="460" spans="61:61">
      <c r="BI460" s="386"/>
    </row>
    <row r="461" spans="61:61">
      <c r="BI461" s="386"/>
    </row>
    <row r="462" spans="61:61">
      <c r="BI462" s="386"/>
    </row>
    <row r="463" spans="61:61">
      <c r="BI463" s="386"/>
    </row>
    <row r="464" spans="61:61">
      <c r="BI464" s="386"/>
    </row>
    <row r="465" spans="61:61">
      <c r="BI465" s="386"/>
    </row>
    <row r="466" spans="61:61">
      <c r="BI466" s="386"/>
    </row>
    <row r="467" spans="61:61">
      <c r="BI467" s="386"/>
    </row>
    <row r="468" spans="61:61">
      <c r="BI468" s="386"/>
    </row>
    <row r="469" spans="61:61">
      <c r="BI469" s="386"/>
    </row>
    <row r="470" spans="61:61">
      <c r="BI470" s="386"/>
    </row>
    <row r="471" spans="61:61">
      <c r="BI471" s="386"/>
    </row>
    <row r="472" spans="61:61">
      <c r="BI472" s="386"/>
    </row>
    <row r="473" spans="61:61">
      <c r="BI473" s="386"/>
    </row>
    <row r="474" spans="61:61">
      <c r="BI474" s="386"/>
    </row>
    <row r="475" spans="61:61">
      <c r="BI475" s="386"/>
    </row>
    <row r="476" spans="61:61">
      <c r="BI476" s="386"/>
    </row>
    <row r="477" spans="61:61">
      <c r="BI477" s="386"/>
    </row>
    <row r="478" spans="61:61">
      <c r="BI478" s="386"/>
    </row>
    <row r="479" spans="61:61">
      <c r="BI479" s="386"/>
    </row>
    <row r="480" spans="61:61">
      <c r="BI480" s="386"/>
    </row>
    <row r="481" spans="61:61">
      <c r="BI481" s="386"/>
    </row>
    <row r="482" spans="61:61">
      <c r="BI482" s="386"/>
    </row>
    <row r="483" spans="61:61">
      <c r="BI483" s="386"/>
    </row>
    <row r="484" spans="61:61">
      <c r="BI484" s="386"/>
    </row>
    <row r="485" spans="61:61">
      <c r="BI485" s="386"/>
    </row>
    <row r="486" spans="61:61">
      <c r="BI486" s="386"/>
    </row>
    <row r="487" spans="61:61">
      <c r="BI487" s="386"/>
    </row>
    <row r="488" spans="61:61">
      <c r="BI488" s="386"/>
    </row>
    <row r="489" spans="61:61">
      <c r="BI489" s="386"/>
    </row>
    <row r="490" spans="61:61">
      <c r="BI490" s="386"/>
    </row>
    <row r="491" spans="61:61">
      <c r="BI491" s="386"/>
    </row>
    <row r="492" spans="61:61">
      <c r="BI492" s="386"/>
    </row>
    <row r="493" spans="61:61">
      <c r="BI493" s="386"/>
    </row>
    <row r="494" spans="61:61">
      <c r="BI494" s="386"/>
    </row>
    <row r="495" spans="61:61">
      <c r="BI495" s="386"/>
    </row>
    <row r="496" spans="61:61">
      <c r="BI496" s="386"/>
    </row>
    <row r="497" spans="61:61">
      <c r="BI497" s="386"/>
    </row>
    <row r="498" spans="61:61">
      <c r="BI498" s="386"/>
    </row>
    <row r="499" spans="61:61">
      <c r="BI499" s="386"/>
    </row>
    <row r="500" spans="61:61">
      <c r="BI500" s="386"/>
    </row>
    <row r="501" spans="61:61">
      <c r="BI501" s="386"/>
    </row>
    <row r="502" spans="61:61">
      <c r="BI502" s="386"/>
    </row>
    <row r="503" spans="61:61">
      <c r="BI503" s="386"/>
    </row>
    <row r="504" spans="61:61">
      <c r="BI504" s="386"/>
    </row>
    <row r="505" spans="61:61">
      <c r="BI505" s="386"/>
    </row>
    <row r="506" spans="61:61">
      <c r="BI506" s="386"/>
    </row>
    <row r="507" spans="61:61">
      <c r="BI507" s="386"/>
    </row>
    <row r="508" spans="61:61">
      <c r="BI508" s="386"/>
    </row>
    <row r="509" spans="61:61">
      <c r="BI509" s="386"/>
    </row>
    <row r="510" spans="61:61">
      <c r="BI510" s="386"/>
    </row>
    <row r="511" spans="61:61">
      <c r="BI511" s="386"/>
    </row>
    <row r="512" spans="61:61">
      <c r="BI512" s="386"/>
    </row>
    <row r="513" spans="61:61">
      <c r="BI513" s="386"/>
    </row>
    <row r="514" spans="61:61">
      <c r="BI514" s="386"/>
    </row>
    <row r="515" spans="61:61">
      <c r="BI515" s="386"/>
    </row>
    <row r="516" spans="61:61">
      <c r="BI516" s="386"/>
    </row>
    <row r="517" spans="61:61">
      <c r="BI517" s="386"/>
    </row>
    <row r="518" spans="61:61">
      <c r="BI518" s="386"/>
    </row>
    <row r="519" spans="61:61">
      <c r="BI519" s="386"/>
    </row>
    <row r="520" spans="61:61">
      <c r="BI520" s="386"/>
    </row>
    <row r="521" spans="61:61">
      <c r="BI521" s="386"/>
    </row>
    <row r="522" spans="61:61">
      <c r="BI522" s="386"/>
    </row>
    <row r="523" spans="61:61">
      <c r="BI523" s="386"/>
    </row>
    <row r="524" spans="61:61">
      <c r="BI524" s="386"/>
    </row>
    <row r="525" spans="61:61">
      <c r="BI525" s="386"/>
    </row>
    <row r="526" spans="61:61">
      <c r="BI526" s="386"/>
    </row>
    <row r="527" spans="61:61">
      <c r="BI527" s="386"/>
    </row>
    <row r="528" spans="61:61">
      <c r="BI528" s="386"/>
    </row>
    <row r="529" spans="61:61">
      <c r="BI529" s="386"/>
    </row>
    <row r="530" spans="61:61">
      <c r="BI530" s="386"/>
    </row>
    <row r="531" spans="61:61">
      <c r="BI531" s="386"/>
    </row>
    <row r="532" spans="61:61">
      <c r="BI532" s="386"/>
    </row>
    <row r="533" spans="61:61">
      <c r="BI533" s="386"/>
    </row>
    <row r="534" spans="61:61">
      <c r="BI534" s="386"/>
    </row>
    <row r="535" spans="61:61">
      <c r="BI535" s="386"/>
    </row>
    <row r="536" spans="61:61">
      <c r="BI536" s="386"/>
    </row>
    <row r="537" spans="61:61">
      <c r="BI537" s="386"/>
    </row>
    <row r="538" spans="61:61">
      <c r="BI538" s="386"/>
    </row>
    <row r="539" spans="61:61">
      <c r="BI539" s="386"/>
    </row>
    <row r="540" spans="61:61">
      <c r="BI540" s="386"/>
    </row>
    <row r="541" spans="61:61">
      <c r="BI541" s="386"/>
    </row>
    <row r="542" spans="61:61">
      <c r="BI542" s="386"/>
    </row>
    <row r="543" spans="61:61">
      <c r="BI543" s="386"/>
    </row>
    <row r="544" spans="61:61">
      <c r="BI544" s="386"/>
    </row>
    <row r="545" spans="61:61">
      <c r="BI545" s="386"/>
    </row>
    <row r="546" spans="61:61">
      <c r="BI546" s="386"/>
    </row>
    <row r="547" spans="61:61">
      <c r="BI547" s="386"/>
    </row>
    <row r="548" spans="61:61">
      <c r="BI548" s="386"/>
    </row>
    <row r="549" spans="61:61">
      <c r="BI549" s="386"/>
    </row>
    <row r="550" spans="61:61">
      <c r="BI550" s="386"/>
    </row>
    <row r="551" spans="61:61">
      <c r="BI551" s="386"/>
    </row>
    <row r="552" spans="61:61">
      <c r="BI552" s="386"/>
    </row>
    <row r="553" spans="61:61">
      <c r="BI553" s="386"/>
    </row>
    <row r="554" spans="61:61">
      <c r="BI554" s="386"/>
    </row>
    <row r="555" spans="61:61">
      <c r="BI555" s="386"/>
    </row>
    <row r="556" spans="61:61">
      <c r="BI556" s="386"/>
    </row>
    <row r="557" spans="61:61">
      <c r="BI557" s="386"/>
    </row>
    <row r="558" spans="61:61">
      <c r="BI558" s="386"/>
    </row>
    <row r="559" spans="61:61">
      <c r="BI559" s="386"/>
    </row>
    <row r="560" spans="61:61">
      <c r="BI560" s="386"/>
    </row>
    <row r="561" spans="61:61">
      <c r="BI561" s="386"/>
    </row>
    <row r="562" spans="61:61">
      <c r="BI562" s="386"/>
    </row>
    <row r="563" spans="61:61">
      <c r="BI563" s="386"/>
    </row>
    <row r="564" spans="61:61">
      <c r="BI564" s="386"/>
    </row>
    <row r="565" spans="61:61">
      <c r="BI565" s="386"/>
    </row>
    <row r="566" spans="61:61">
      <c r="BI566" s="386"/>
    </row>
    <row r="567" spans="61:61">
      <c r="BI567" s="386"/>
    </row>
    <row r="568" spans="61:61">
      <c r="BI568" s="386"/>
    </row>
    <row r="569" spans="61:61">
      <c r="BI569" s="386"/>
    </row>
    <row r="570" spans="61:61">
      <c r="BI570" s="386"/>
    </row>
    <row r="571" spans="61:61">
      <c r="BI571" s="386"/>
    </row>
    <row r="572" spans="61:61">
      <c r="BI572" s="386"/>
    </row>
    <row r="573" spans="61:61">
      <c r="BI573" s="386"/>
    </row>
    <row r="574" spans="61:61">
      <c r="BI574" s="386"/>
    </row>
    <row r="575" spans="61:61">
      <c r="BI575" s="386"/>
    </row>
    <row r="576" spans="61:61">
      <c r="BI576" s="386"/>
    </row>
    <row r="577" spans="61:61">
      <c r="BI577" s="386"/>
    </row>
    <row r="578" spans="61:61">
      <c r="BI578" s="386"/>
    </row>
    <row r="579" spans="61:61">
      <c r="BI579" s="386"/>
    </row>
    <row r="580" spans="61:61">
      <c r="BI580" s="386"/>
    </row>
    <row r="581" spans="61:61">
      <c r="BI581" s="386"/>
    </row>
    <row r="582" spans="61:61">
      <c r="BI582" s="386"/>
    </row>
    <row r="583" spans="61:61">
      <c r="BI583" s="386"/>
    </row>
    <row r="584" spans="61:61">
      <c r="BI584" s="386"/>
    </row>
    <row r="585" spans="61:61">
      <c r="BI585" s="386"/>
    </row>
    <row r="586" spans="61:61">
      <c r="BI586" s="386"/>
    </row>
    <row r="587" spans="61:61">
      <c r="BI587" s="386"/>
    </row>
    <row r="588" spans="61:61">
      <c r="BI588" s="386"/>
    </row>
    <row r="589" spans="61:61">
      <c r="BI589" s="386"/>
    </row>
    <row r="590" spans="61:61">
      <c r="BI590" s="386"/>
    </row>
    <row r="591" spans="61:61">
      <c r="BI591" s="386"/>
    </row>
    <row r="592" spans="61:61">
      <c r="BI592" s="386"/>
    </row>
    <row r="593" spans="61:61">
      <c r="BI593" s="386"/>
    </row>
    <row r="594" spans="61:61">
      <c r="BI594" s="386"/>
    </row>
    <row r="595" spans="61:61">
      <c r="BI595" s="386"/>
    </row>
    <row r="596" spans="61:61">
      <c r="BI596" s="386"/>
    </row>
    <row r="597" spans="61:61">
      <c r="BI597" s="386"/>
    </row>
    <row r="598" spans="61:61">
      <c r="BI598" s="386"/>
    </row>
    <row r="599" spans="61:61">
      <c r="BI599" s="386"/>
    </row>
    <row r="600" spans="61:61">
      <c r="BI600" s="386"/>
    </row>
    <row r="601" spans="61:61">
      <c r="BI601" s="386"/>
    </row>
    <row r="602" spans="61:61">
      <c r="BI602" s="386"/>
    </row>
    <row r="603" spans="61:61">
      <c r="BI603" s="386"/>
    </row>
    <row r="604" spans="61:61">
      <c r="BI604" s="386"/>
    </row>
    <row r="605" spans="61:61">
      <c r="BI605" s="386"/>
    </row>
    <row r="606" spans="61:61">
      <c r="BI606" s="386"/>
    </row>
    <row r="607" spans="61:61">
      <c r="BI607" s="386"/>
    </row>
    <row r="608" spans="61:61">
      <c r="BI608" s="386"/>
    </row>
    <row r="609" spans="61:61">
      <c r="BI609" s="386"/>
    </row>
    <row r="610" spans="61:61">
      <c r="BI610" s="386"/>
    </row>
    <row r="611" spans="61:61">
      <c r="BI611" s="386"/>
    </row>
    <row r="612" spans="61:61">
      <c r="BI612" s="386"/>
    </row>
    <row r="613" spans="61:61">
      <c r="BI613" s="386"/>
    </row>
    <row r="614" spans="61:61">
      <c r="BI614" s="386"/>
    </row>
    <row r="615" spans="61:61">
      <c r="BI615" s="386"/>
    </row>
    <row r="616" spans="61:61">
      <c r="BI616" s="386"/>
    </row>
    <row r="617" spans="61:61">
      <c r="BI617" s="386"/>
    </row>
    <row r="618" spans="61:61">
      <c r="BI618" s="386"/>
    </row>
    <row r="619" spans="61:61">
      <c r="BI619" s="386"/>
    </row>
    <row r="620" spans="61:61">
      <c r="BI620" s="386"/>
    </row>
    <row r="621" spans="61:61">
      <c r="BI621" s="386"/>
    </row>
    <row r="622" spans="61:61">
      <c r="BI622" s="386"/>
    </row>
    <row r="623" spans="61:61">
      <c r="BI623" s="386"/>
    </row>
    <row r="624" spans="61:61">
      <c r="BI624" s="386"/>
    </row>
    <row r="625" spans="61:61">
      <c r="BI625" s="386"/>
    </row>
    <row r="626" spans="61:61">
      <c r="BI626" s="386"/>
    </row>
    <row r="627" spans="61:61">
      <c r="BI627" s="386"/>
    </row>
    <row r="628" spans="61:61">
      <c r="BI628" s="386"/>
    </row>
    <row r="629" spans="61:61">
      <c r="BI629" s="386"/>
    </row>
    <row r="630" spans="61:61">
      <c r="BI630" s="386"/>
    </row>
    <row r="631" spans="61:61">
      <c r="BI631" s="386"/>
    </row>
    <row r="632" spans="61:61">
      <c r="BI632" s="386"/>
    </row>
    <row r="633" spans="61:61">
      <c r="BI633" s="386"/>
    </row>
    <row r="634" spans="61:61">
      <c r="BI634" s="386"/>
    </row>
    <row r="635" spans="61:61">
      <c r="BI635" s="386"/>
    </row>
    <row r="636" spans="61:61">
      <c r="BI636" s="386"/>
    </row>
    <row r="637" spans="61:61">
      <c r="BI637" s="386"/>
    </row>
    <row r="638" spans="61:61">
      <c r="BI638" s="386"/>
    </row>
    <row r="639" spans="61:61">
      <c r="BI639" s="386"/>
    </row>
    <row r="640" spans="61:61">
      <c r="BI640" s="386"/>
    </row>
    <row r="641" spans="61:61">
      <c r="BI641" s="386"/>
    </row>
    <row r="642" spans="61:61">
      <c r="BI642" s="386"/>
    </row>
    <row r="643" spans="61:61">
      <c r="BI643" s="386"/>
    </row>
    <row r="644" spans="61:61">
      <c r="BI644" s="386"/>
    </row>
    <row r="645" spans="61:61">
      <c r="BI645" s="386"/>
    </row>
    <row r="646" spans="61:61">
      <c r="BI646" s="386"/>
    </row>
    <row r="647" spans="61:61">
      <c r="BI647" s="386"/>
    </row>
    <row r="648" spans="61:61">
      <c r="BI648" s="386"/>
    </row>
    <row r="649" spans="61:61">
      <c r="BI649" s="386"/>
    </row>
    <row r="650" spans="61:61">
      <c r="BI650" s="386"/>
    </row>
    <row r="651" spans="61:61">
      <c r="BI651" s="386"/>
    </row>
    <row r="652" spans="61:61">
      <c r="BI652" s="386"/>
    </row>
    <row r="653" spans="61:61">
      <c r="BI653" s="386"/>
    </row>
    <row r="654" spans="61:61">
      <c r="BI654" s="386"/>
    </row>
    <row r="655" spans="61:61">
      <c r="BI655" s="386"/>
    </row>
    <row r="656" spans="61:61">
      <c r="BI656" s="386"/>
    </row>
    <row r="657" spans="61:61">
      <c r="BI657" s="386"/>
    </row>
    <row r="658" spans="61:61">
      <c r="BI658" s="386"/>
    </row>
    <row r="659" spans="61:61">
      <c r="BI659" s="386"/>
    </row>
    <row r="660" spans="61:61">
      <c r="BI660" s="386"/>
    </row>
    <row r="661" spans="61:61">
      <c r="BI661" s="386"/>
    </row>
    <row r="662" spans="61:61">
      <c r="BI662" s="386"/>
    </row>
    <row r="663" spans="61:61">
      <c r="BI663" s="386"/>
    </row>
    <row r="664" spans="61:61">
      <c r="BI664" s="386"/>
    </row>
    <row r="665" spans="61:61">
      <c r="BI665" s="386"/>
    </row>
    <row r="666" spans="61:61">
      <c r="BI666" s="386"/>
    </row>
    <row r="667" spans="61:61">
      <c r="BI667" s="386"/>
    </row>
    <row r="668" spans="61:61">
      <c r="BI668" s="386"/>
    </row>
    <row r="669" spans="61:61">
      <c r="BI669" s="386"/>
    </row>
    <row r="670" spans="61:61">
      <c r="BI670" s="386"/>
    </row>
    <row r="671" spans="61:61">
      <c r="BI671" s="386"/>
    </row>
    <row r="672" spans="61:61">
      <c r="BI672" s="386"/>
    </row>
    <row r="673" spans="61:61">
      <c r="BI673" s="386"/>
    </row>
    <row r="674" spans="61:61">
      <c r="BI674" s="386"/>
    </row>
    <row r="675" spans="61:61">
      <c r="BI675" s="386"/>
    </row>
    <row r="676" spans="61:61">
      <c r="BI676" s="386"/>
    </row>
    <row r="677" spans="61:61">
      <c r="BI677" s="386"/>
    </row>
    <row r="678" spans="61:61">
      <c r="BI678" s="386"/>
    </row>
    <row r="679" spans="61:61">
      <c r="BI679" s="386"/>
    </row>
    <row r="680" spans="61:61">
      <c r="BI680" s="386"/>
    </row>
    <row r="681" spans="61:61">
      <c r="BI681" s="386"/>
    </row>
    <row r="682" spans="61:61">
      <c r="BI682" s="386"/>
    </row>
    <row r="683" spans="61:61">
      <c r="BI683" s="386"/>
    </row>
    <row r="684" spans="61:61">
      <c r="BI684" s="386"/>
    </row>
    <row r="685" spans="61:61">
      <c r="BI685" s="386"/>
    </row>
    <row r="686" spans="61:61">
      <c r="BI686" s="386"/>
    </row>
    <row r="687" spans="61:61">
      <c r="BI687" s="386"/>
    </row>
    <row r="688" spans="61:61">
      <c r="BI688" s="386"/>
    </row>
    <row r="689" spans="61:61">
      <c r="BI689" s="386"/>
    </row>
    <row r="690" spans="61:61">
      <c r="BI690" s="386"/>
    </row>
    <row r="691" spans="61:61">
      <c r="BI691" s="386"/>
    </row>
    <row r="692" spans="61:61">
      <c r="BI692" s="386"/>
    </row>
    <row r="693" spans="61:61">
      <c r="BI693" s="386"/>
    </row>
    <row r="694" spans="61:61">
      <c r="BI694" s="386"/>
    </row>
    <row r="695" spans="61:61">
      <c r="BI695" s="386"/>
    </row>
    <row r="696" spans="61:61">
      <c r="BI696" s="386"/>
    </row>
    <row r="697" spans="61:61">
      <c r="BI697" s="386"/>
    </row>
    <row r="698" spans="61:61">
      <c r="BI698" s="386"/>
    </row>
    <row r="699" spans="61:61">
      <c r="BI699" s="386"/>
    </row>
    <row r="700" spans="61:61">
      <c r="BI700" s="386"/>
    </row>
    <row r="701" spans="61:61">
      <c r="BI701" s="386"/>
    </row>
    <row r="702" spans="61:61">
      <c r="BI702" s="386"/>
    </row>
    <row r="703" spans="61:61">
      <c r="BI703" s="386"/>
    </row>
    <row r="704" spans="61:61">
      <c r="BI704" s="386"/>
    </row>
    <row r="705" spans="61:61">
      <c r="BI705" s="386"/>
    </row>
    <row r="706" spans="61:61">
      <c r="BI706" s="386"/>
    </row>
    <row r="707" spans="61:61">
      <c r="BI707" s="386"/>
    </row>
    <row r="708" spans="61:61">
      <c r="BI708" s="386"/>
    </row>
    <row r="709" spans="61:61">
      <c r="BI709" s="386"/>
    </row>
    <row r="710" spans="61:61">
      <c r="BI710" s="386"/>
    </row>
    <row r="711" spans="61:61">
      <c r="BI711" s="386"/>
    </row>
    <row r="712" spans="61:61">
      <c r="BI712" s="386"/>
    </row>
    <row r="713" spans="61:61">
      <c r="BI713" s="386"/>
    </row>
    <row r="714" spans="61:61">
      <c r="BI714" s="386"/>
    </row>
    <row r="715" spans="61:61">
      <c r="BI715" s="386"/>
    </row>
    <row r="716" spans="61:61">
      <c r="BI716" s="386"/>
    </row>
    <row r="717" spans="61:61">
      <c r="BI717" s="386"/>
    </row>
    <row r="718" spans="61:61">
      <c r="BI718" s="386"/>
    </row>
    <row r="719" spans="61:61">
      <c r="BI719" s="386"/>
    </row>
    <row r="720" spans="61:61">
      <c r="BI720" s="386"/>
    </row>
    <row r="721" spans="61:61">
      <c r="BI721" s="386"/>
    </row>
    <row r="722" spans="61:61">
      <c r="BI722" s="386"/>
    </row>
    <row r="723" spans="61:61">
      <c r="BI723" s="386"/>
    </row>
    <row r="724" spans="61:61">
      <c r="BI724" s="386"/>
    </row>
    <row r="725" spans="61:61">
      <c r="BI725" s="386"/>
    </row>
    <row r="726" spans="61:61">
      <c r="BI726" s="386"/>
    </row>
    <row r="727" spans="61:61">
      <c r="BI727" s="386"/>
    </row>
    <row r="728" spans="61:61">
      <c r="BI728" s="386"/>
    </row>
    <row r="729" spans="61:61">
      <c r="BI729" s="386"/>
    </row>
    <row r="730" spans="61:61">
      <c r="BI730" s="386"/>
    </row>
    <row r="731" spans="61:61">
      <c r="BI731" s="386"/>
    </row>
    <row r="732" spans="61:61">
      <c r="BI732" s="386"/>
    </row>
    <row r="733" spans="61:61">
      <c r="BI733" s="386"/>
    </row>
    <row r="734" spans="61:61">
      <c r="BI734" s="386"/>
    </row>
    <row r="735" spans="61:61">
      <c r="BI735" s="386"/>
    </row>
    <row r="736" spans="61:61">
      <c r="BI736" s="386"/>
    </row>
    <row r="737" spans="61:61">
      <c r="BI737" s="386"/>
    </row>
    <row r="738" spans="61:61">
      <c r="BI738" s="386"/>
    </row>
    <row r="739" spans="61:61">
      <c r="BI739" s="386"/>
    </row>
    <row r="740" spans="61:61">
      <c r="BI740" s="386"/>
    </row>
    <row r="741" spans="61:61">
      <c r="BI741" s="386"/>
    </row>
    <row r="742" spans="61:61">
      <c r="BI742" s="386"/>
    </row>
    <row r="743" spans="61:61">
      <c r="BI743" s="386"/>
    </row>
    <row r="744" spans="61:61">
      <c r="BI744" s="386"/>
    </row>
    <row r="745" spans="61:61">
      <c r="BI745" s="386"/>
    </row>
    <row r="746" spans="61:61">
      <c r="BI746" s="386"/>
    </row>
    <row r="747" spans="61:61">
      <c r="BI747" s="386"/>
    </row>
    <row r="748" spans="61:61">
      <c r="BI748" s="386"/>
    </row>
    <row r="749" spans="61:61">
      <c r="BI749" s="386"/>
    </row>
    <row r="750" spans="61:61">
      <c r="BI750" s="386"/>
    </row>
    <row r="751" spans="61:61">
      <c r="BI751" s="386"/>
    </row>
    <row r="752" spans="61:61">
      <c r="BI752" s="386"/>
    </row>
    <row r="753" spans="61:61">
      <c r="BI753" s="386"/>
    </row>
    <row r="754" spans="61:61">
      <c r="BI754" s="386"/>
    </row>
    <row r="755" spans="61:61">
      <c r="BI755" s="386"/>
    </row>
    <row r="756" spans="61:61">
      <c r="BI756" s="386"/>
    </row>
    <row r="757" spans="61:61">
      <c r="BI757" s="386"/>
    </row>
    <row r="758" spans="61:61">
      <c r="BI758" s="386"/>
    </row>
    <row r="759" spans="61:61">
      <c r="BI759" s="386"/>
    </row>
    <row r="760" spans="61:61">
      <c r="BI760" s="386"/>
    </row>
    <row r="761" spans="61:61">
      <c r="BI761" s="386"/>
    </row>
    <row r="762" spans="61:61">
      <c r="BI762" s="386"/>
    </row>
    <row r="763" spans="61:61">
      <c r="BI763" s="386"/>
    </row>
    <row r="764" spans="61:61">
      <c r="BI764" s="386"/>
    </row>
    <row r="765" spans="61:61">
      <c r="BI765" s="386"/>
    </row>
    <row r="766" spans="61:61">
      <c r="BI766" s="386"/>
    </row>
    <row r="767" spans="61:61">
      <c r="BI767" s="386"/>
    </row>
    <row r="768" spans="61:61">
      <c r="BI768" s="386"/>
    </row>
    <row r="769" spans="61:61">
      <c r="BI769" s="386"/>
    </row>
    <row r="770" spans="61:61">
      <c r="BI770" s="386"/>
    </row>
    <row r="771" spans="61:61">
      <c r="BI771" s="386"/>
    </row>
    <row r="772" spans="61:61">
      <c r="BI772" s="386"/>
    </row>
    <row r="773" spans="61:61">
      <c r="BI773" s="386"/>
    </row>
    <row r="774" spans="61:61">
      <c r="BI774" s="386"/>
    </row>
    <row r="775" spans="61:61">
      <c r="BI775" s="386"/>
    </row>
    <row r="776" spans="61:61">
      <c r="BI776" s="386"/>
    </row>
    <row r="777" spans="61:61">
      <c r="BI777" s="386"/>
    </row>
    <row r="778" spans="61:61">
      <c r="BI778" s="386"/>
    </row>
    <row r="779" spans="61:61">
      <c r="BI779" s="386"/>
    </row>
    <row r="780" spans="61:61">
      <c r="BI780" s="386"/>
    </row>
    <row r="781" spans="61:61">
      <c r="BI781" s="386"/>
    </row>
    <row r="782" spans="61:61">
      <c r="BI782" s="386"/>
    </row>
    <row r="783" spans="61:61">
      <c r="BI783" s="386"/>
    </row>
    <row r="784" spans="61:61">
      <c r="BI784" s="386"/>
    </row>
    <row r="785" spans="61:61">
      <c r="BI785" s="386"/>
    </row>
    <row r="786" spans="61:61">
      <c r="BI786" s="386"/>
    </row>
    <row r="787" spans="61:61">
      <c r="BI787" s="386"/>
    </row>
    <row r="788" spans="61:61">
      <c r="BI788" s="386"/>
    </row>
    <row r="789" spans="61:61">
      <c r="BI789" s="386"/>
    </row>
    <row r="790" spans="61:61">
      <c r="BI790" s="386"/>
    </row>
    <row r="791" spans="61:61">
      <c r="BI791" s="386"/>
    </row>
    <row r="792" spans="61:61">
      <c r="BI792" s="386"/>
    </row>
    <row r="793" spans="61:61">
      <c r="BI793" s="386"/>
    </row>
    <row r="794" spans="61:61">
      <c r="BI794" s="386"/>
    </row>
    <row r="795" spans="61:61">
      <c r="BI795" s="386"/>
    </row>
    <row r="796" spans="61:61">
      <c r="BI796" s="386"/>
    </row>
    <row r="797" spans="61:61">
      <c r="BI797" s="386"/>
    </row>
    <row r="798" spans="61:61">
      <c r="BI798" s="386"/>
    </row>
    <row r="799" spans="61:61">
      <c r="BI799" s="386"/>
    </row>
    <row r="800" spans="61:61">
      <c r="BI800" s="386"/>
    </row>
    <row r="801" spans="61:61">
      <c r="BI801" s="386"/>
    </row>
    <row r="802" spans="61:61">
      <c r="BI802" s="386"/>
    </row>
    <row r="803" spans="61:61">
      <c r="BI803" s="386"/>
    </row>
    <row r="804" spans="61:61">
      <c r="BI804" s="386"/>
    </row>
    <row r="805" spans="61:61">
      <c r="BI805" s="386"/>
    </row>
    <row r="806" spans="61:61">
      <c r="BI806" s="386"/>
    </row>
    <row r="807" spans="61:61">
      <c r="BI807" s="386"/>
    </row>
    <row r="808" spans="61:61">
      <c r="BI808" s="386"/>
    </row>
    <row r="809" spans="61:61">
      <c r="BI809" s="386"/>
    </row>
    <row r="810" spans="61:61">
      <c r="BI810" s="386"/>
    </row>
    <row r="811" spans="61:61">
      <c r="BI811" s="386"/>
    </row>
    <row r="812" spans="61:61">
      <c r="BI812" s="386"/>
    </row>
    <row r="813" spans="61:61">
      <c r="BI813" s="386"/>
    </row>
    <row r="814" spans="61:61">
      <c r="BI814" s="386"/>
    </row>
    <row r="815" spans="61:61">
      <c r="BI815" s="386"/>
    </row>
    <row r="816" spans="61:61">
      <c r="BI816" s="386"/>
    </row>
    <row r="817" spans="61:61">
      <c r="BI817" s="386"/>
    </row>
    <row r="818" spans="61:61">
      <c r="BI818" s="386"/>
    </row>
    <row r="819" spans="61:61">
      <c r="BI819" s="386"/>
    </row>
    <row r="820" spans="61:61">
      <c r="BI820" s="386"/>
    </row>
    <row r="821" spans="61:61">
      <c r="BI821" s="386"/>
    </row>
    <row r="822" spans="61:61">
      <c r="BI822" s="386"/>
    </row>
    <row r="823" spans="61:61">
      <c r="BI823" s="386"/>
    </row>
    <row r="824" spans="61:61">
      <c r="BI824" s="386"/>
    </row>
    <row r="825" spans="61:61">
      <c r="BI825" s="386"/>
    </row>
    <row r="826" spans="61:61">
      <c r="BI826" s="386"/>
    </row>
    <row r="827" spans="61:61">
      <c r="BI827" s="386"/>
    </row>
    <row r="828" spans="61:61">
      <c r="BI828" s="386"/>
    </row>
    <row r="829" spans="61:61">
      <c r="BI829" s="386"/>
    </row>
    <row r="830" spans="61:61">
      <c r="BI830" s="386"/>
    </row>
    <row r="831" spans="61:61">
      <c r="BI831" s="386"/>
    </row>
    <row r="832" spans="61:61">
      <c r="BI832" s="386"/>
    </row>
    <row r="833" spans="61:61">
      <c r="BI833" s="386"/>
    </row>
    <row r="834" spans="61:61">
      <c r="BI834" s="386"/>
    </row>
    <row r="835" spans="61:61">
      <c r="BI835" s="386"/>
    </row>
    <row r="836" spans="61:61">
      <c r="BI836" s="386"/>
    </row>
    <row r="837" spans="61:61">
      <c r="BI837" s="386"/>
    </row>
    <row r="838" spans="61:61">
      <c r="BI838" s="386"/>
    </row>
    <row r="839" spans="61:61">
      <c r="BI839" s="386"/>
    </row>
    <row r="840" spans="61:61">
      <c r="BI840" s="386"/>
    </row>
    <row r="841" spans="61:61">
      <c r="BI841" s="386"/>
    </row>
    <row r="842" spans="61:61">
      <c r="BI842" s="386"/>
    </row>
    <row r="843" spans="61:61">
      <c r="BI843" s="386"/>
    </row>
    <row r="844" spans="61:61">
      <c r="BI844" s="386"/>
    </row>
    <row r="845" spans="61:61">
      <c r="BI845" s="386"/>
    </row>
    <row r="846" spans="61:61">
      <c r="BI846" s="386"/>
    </row>
    <row r="847" spans="61:61">
      <c r="BI847" s="386"/>
    </row>
    <row r="848" spans="61:61">
      <c r="BI848" s="386"/>
    </row>
    <row r="849" spans="61:61">
      <c r="BI849" s="386"/>
    </row>
    <row r="850" spans="61:61">
      <c r="BI850" s="386"/>
    </row>
    <row r="851" spans="61:61">
      <c r="BI851" s="386"/>
    </row>
    <row r="852" spans="61:61">
      <c r="BI852" s="386"/>
    </row>
    <row r="853" spans="61:61">
      <c r="BI853" s="386"/>
    </row>
    <row r="854" spans="61:61">
      <c r="BI854" s="386"/>
    </row>
    <row r="855" spans="61:61">
      <c r="BI855" s="386"/>
    </row>
    <row r="856" spans="61:61">
      <c r="BI856" s="386"/>
    </row>
    <row r="857" spans="61:61">
      <c r="BI857" s="386"/>
    </row>
    <row r="858" spans="61:61">
      <c r="BI858" s="386"/>
    </row>
    <row r="859" spans="61:61">
      <c r="BI859" s="386"/>
    </row>
    <row r="860" spans="61:61">
      <c r="BI860" s="386"/>
    </row>
    <row r="861" spans="61:61">
      <c r="BI861" s="386"/>
    </row>
    <row r="862" spans="61:61">
      <c r="BI862" s="386"/>
    </row>
    <row r="863" spans="61:61">
      <c r="BI863" s="386"/>
    </row>
    <row r="864" spans="61:61">
      <c r="BI864" s="386"/>
    </row>
    <row r="865" spans="61:61">
      <c r="BI865" s="386"/>
    </row>
    <row r="866" spans="61:61">
      <c r="BI866" s="386"/>
    </row>
    <row r="867" spans="61:61">
      <c r="BI867" s="386"/>
    </row>
    <row r="868" spans="61:61">
      <c r="BI868" s="386"/>
    </row>
    <row r="869" spans="61:61">
      <c r="BI869" s="386"/>
    </row>
    <row r="870" spans="61:61">
      <c r="BI870" s="386"/>
    </row>
    <row r="871" spans="61:61">
      <c r="BI871" s="386"/>
    </row>
    <row r="872" spans="61:61">
      <c r="BI872" s="386"/>
    </row>
    <row r="873" spans="61:61">
      <c r="BI873" s="386"/>
    </row>
    <row r="874" spans="61:61">
      <c r="BI874" s="386"/>
    </row>
    <row r="875" spans="61:61">
      <c r="BI875" s="386"/>
    </row>
    <row r="876" spans="61:61">
      <c r="BI876" s="386"/>
    </row>
    <row r="877" spans="61:61">
      <c r="BI877" s="386"/>
    </row>
    <row r="878" spans="61:61">
      <c r="BI878" s="386"/>
    </row>
    <row r="879" spans="61:61">
      <c r="BI879" s="386"/>
    </row>
    <row r="880" spans="61:61">
      <c r="BI880" s="386"/>
    </row>
    <row r="881" spans="61:61">
      <c r="BI881" s="386"/>
    </row>
    <row r="882" spans="61:61">
      <c r="BI882" s="386"/>
    </row>
    <row r="883" spans="61:61">
      <c r="BI883" s="386"/>
    </row>
    <row r="884" spans="61:61">
      <c r="BI884" s="386"/>
    </row>
    <row r="885" spans="61:61">
      <c r="BI885" s="386"/>
    </row>
    <row r="886" spans="61:61">
      <c r="BI886" s="386"/>
    </row>
    <row r="887" spans="61:61">
      <c r="BI887" s="386"/>
    </row>
    <row r="888" spans="61:61">
      <c r="BI888" s="386"/>
    </row>
    <row r="889" spans="61:61">
      <c r="BI889" s="386"/>
    </row>
    <row r="890" spans="61:61">
      <c r="BI890" s="386"/>
    </row>
    <row r="891" spans="61:61">
      <c r="BI891" s="386"/>
    </row>
    <row r="892" spans="61:61">
      <c r="BI892" s="386"/>
    </row>
    <row r="893" spans="61:61">
      <c r="BI893" s="386"/>
    </row>
    <row r="894" spans="61:61">
      <c r="BI894" s="386"/>
    </row>
    <row r="895" spans="61:61">
      <c r="BI895" s="386"/>
    </row>
    <row r="896" spans="61:61">
      <c r="BI896" s="386"/>
    </row>
    <row r="897" spans="61:61">
      <c r="BI897" s="386"/>
    </row>
    <row r="898" spans="61:61">
      <c r="BI898" s="386"/>
    </row>
    <row r="899" spans="61:61">
      <c r="BI899" s="386"/>
    </row>
    <row r="900" spans="61:61">
      <c r="BI900" s="386"/>
    </row>
    <row r="901" spans="61:61">
      <c r="BI901" s="386"/>
    </row>
    <row r="902" spans="61:61">
      <c r="BI902" s="386"/>
    </row>
    <row r="903" spans="61:61">
      <c r="BI903" s="386"/>
    </row>
    <row r="904" spans="61:61">
      <c r="BI904" s="386"/>
    </row>
    <row r="905" spans="61:61">
      <c r="BI905" s="386"/>
    </row>
    <row r="906" spans="61:61">
      <c r="BI906" s="386"/>
    </row>
    <row r="907" spans="61:61">
      <c r="BI907" s="386"/>
    </row>
    <row r="908" spans="61:61">
      <c r="BI908" s="386"/>
    </row>
    <row r="909" spans="61:61">
      <c r="BI909" s="386"/>
    </row>
    <row r="910" spans="61:61">
      <c r="BI910" s="386"/>
    </row>
    <row r="911" spans="61:61">
      <c r="BI911" s="386"/>
    </row>
    <row r="912" spans="61:61">
      <c r="BI912" s="386"/>
    </row>
    <row r="913" spans="61:61">
      <c r="BI913" s="386"/>
    </row>
    <row r="914" spans="61:61">
      <c r="BI914" s="386"/>
    </row>
    <row r="915" spans="61:61">
      <c r="BI915" s="386"/>
    </row>
    <row r="916" spans="61:61">
      <c r="BI916" s="386"/>
    </row>
    <row r="917" spans="61:61">
      <c r="BI917" s="386"/>
    </row>
    <row r="918" spans="61:61">
      <c r="BI918" s="386"/>
    </row>
    <row r="919" spans="61:61">
      <c r="BI919" s="386"/>
    </row>
    <row r="920" spans="61:61">
      <c r="BI920" s="386"/>
    </row>
    <row r="921" spans="61:61">
      <c r="BI921" s="386"/>
    </row>
    <row r="922" spans="61:61">
      <c r="BI922" s="386"/>
    </row>
    <row r="923" spans="61:61">
      <c r="BI923" s="386"/>
    </row>
    <row r="924" spans="61:61">
      <c r="BI924" s="386"/>
    </row>
    <row r="925" spans="61:61">
      <c r="BI925" s="386"/>
    </row>
    <row r="926" spans="61:61">
      <c r="BI926" s="386"/>
    </row>
    <row r="927" spans="61:61">
      <c r="BI927" s="386"/>
    </row>
    <row r="928" spans="61:61">
      <c r="BI928" s="386"/>
    </row>
    <row r="929" spans="61:61">
      <c r="BI929" s="386"/>
    </row>
    <row r="930" spans="61:61">
      <c r="BI930" s="386"/>
    </row>
    <row r="931" spans="61:61">
      <c r="BI931" s="386"/>
    </row>
    <row r="932" spans="61:61">
      <c r="BI932" s="386"/>
    </row>
    <row r="933" spans="61:61">
      <c r="BI933" s="386"/>
    </row>
    <row r="934" spans="61:61">
      <c r="BI934" s="386"/>
    </row>
    <row r="935" spans="61:61">
      <c r="BI935" s="386"/>
    </row>
    <row r="936" spans="61:61">
      <c r="BI936" s="386"/>
    </row>
    <row r="937" spans="61:61">
      <c r="BI937" s="386"/>
    </row>
    <row r="938" spans="61:61">
      <c r="BI938" s="386"/>
    </row>
    <row r="939" spans="61:61">
      <c r="BI939" s="386"/>
    </row>
    <row r="940" spans="61:61">
      <c r="BI940" s="386"/>
    </row>
    <row r="941" spans="61:61">
      <c r="BI941" s="386"/>
    </row>
    <row r="942" spans="61:61">
      <c r="BI942" s="386"/>
    </row>
    <row r="943" spans="61:61">
      <c r="BI943" s="386"/>
    </row>
    <row r="944" spans="61:61">
      <c r="BI944" s="386"/>
    </row>
    <row r="945" spans="61:61">
      <c r="BI945" s="386"/>
    </row>
    <row r="946" spans="61:61">
      <c r="BI946" s="386"/>
    </row>
    <row r="947" spans="61:61">
      <c r="BI947" s="386"/>
    </row>
    <row r="948" spans="61:61">
      <c r="BI948" s="386"/>
    </row>
    <row r="949" spans="61:61">
      <c r="BI949" s="386"/>
    </row>
    <row r="950" spans="61:61">
      <c r="BI950" s="386"/>
    </row>
    <row r="951" spans="61:61">
      <c r="BI951" s="386"/>
    </row>
    <row r="952" spans="61:61">
      <c r="BI952" s="386"/>
    </row>
    <row r="953" spans="61:61">
      <c r="BI953" s="386"/>
    </row>
    <row r="954" spans="61:61">
      <c r="BI954" s="386"/>
    </row>
    <row r="955" spans="61:61">
      <c r="BI955" s="386"/>
    </row>
    <row r="956" spans="61:61">
      <c r="BI956" s="386"/>
    </row>
    <row r="957" spans="61:61">
      <c r="BI957" s="386"/>
    </row>
    <row r="958" spans="61:61">
      <c r="BI958" s="386"/>
    </row>
    <row r="959" spans="61:61">
      <c r="BI959" s="386"/>
    </row>
    <row r="960" spans="61:61">
      <c r="BI960" s="386"/>
    </row>
    <row r="961" spans="61:61">
      <c r="BI961" s="386"/>
    </row>
    <row r="962" spans="61:61">
      <c r="BI962" s="386"/>
    </row>
    <row r="963" spans="61:61">
      <c r="BI963" s="386"/>
    </row>
    <row r="964" spans="61:61">
      <c r="BI964" s="386"/>
    </row>
    <row r="965" spans="61:61">
      <c r="BI965" s="386"/>
    </row>
    <row r="966" spans="61:61">
      <c r="BI966" s="386"/>
    </row>
    <row r="967" spans="61:61">
      <c r="BI967" s="386"/>
    </row>
    <row r="968" spans="61:61">
      <c r="BI968" s="386"/>
    </row>
    <row r="969" spans="61:61">
      <c r="BI969" s="386"/>
    </row>
    <row r="970" spans="61:61">
      <c r="BI970" s="386"/>
    </row>
    <row r="971" spans="61:61">
      <c r="BI971" s="386"/>
    </row>
    <row r="972" spans="61:61">
      <c r="BI972" s="386"/>
    </row>
    <row r="973" spans="61:61">
      <c r="BI973" s="386"/>
    </row>
    <row r="974" spans="61:61">
      <c r="BI974" s="386"/>
    </row>
    <row r="975" spans="61:61">
      <c r="BI975" s="386"/>
    </row>
    <row r="976" spans="61:61">
      <c r="BI976" s="386"/>
    </row>
    <row r="977" spans="61:61">
      <c r="BI977" s="386"/>
    </row>
    <row r="978" spans="61:61">
      <c r="BI978" s="386"/>
    </row>
    <row r="979" spans="61:61">
      <c r="BI979" s="386"/>
    </row>
    <row r="980" spans="61:61">
      <c r="BI980" s="386"/>
    </row>
    <row r="981" spans="61:61">
      <c r="BI981" s="386"/>
    </row>
    <row r="982" spans="61:61">
      <c r="BI982" s="386"/>
    </row>
    <row r="983" spans="61:61">
      <c r="BI983" s="386"/>
    </row>
    <row r="984" spans="61:61">
      <c r="BI984" s="386"/>
    </row>
    <row r="985" spans="61:61">
      <c r="BI985" s="386"/>
    </row>
    <row r="986" spans="61:61">
      <c r="BI986" s="386"/>
    </row>
    <row r="987" spans="61:61">
      <c r="BI987" s="386"/>
    </row>
    <row r="988" spans="61:61">
      <c r="BI988" s="386"/>
    </row>
    <row r="989" spans="61:61">
      <c r="BI989" s="386"/>
    </row>
    <row r="990" spans="61:61">
      <c r="BI990" s="386"/>
    </row>
    <row r="991" spans="61:61">
      <c r="BI991" s="386"/>
    </row>
    <row r="992" spans="61:61">
      <c r="BI992" s="386"/>
    </row>
    <row r="993" spans="61:61">
      <c r="BI993" s="386"/>
    </row>
    <row r="994" spans="61:61">
      <c r="BI994" s="386"/>
    </row>
    <row r="995" spans="61:61">
      <c r="BI995" s="386"/>
    </row>
    <row r="996" spans="61:61">
      <c r="BI996" s="386"/>
    </row>
    <row r="997" spans="61:61">
      <c r="BI997" s="386"/>
    </row>
    <row r="998" spans="61:61">
      <c r="BI998" s="386"/>
    </row>
    <row r="999" spans="61:61">
      <c r="BI999" s="386"/>
    </row>
    <row r="1000" spans="61:61">
      <c r="BI1000" s="386"/>
    </row>
    <row r="1001" spans="61:61">
      <c r="BI1001" s="386"/>
    </row>
    <row r="1002" spans="61:61">
      <c r="BI1002" s="386"/>
    </row>
    <row r="1003" spans="61:61">
      <c r="BI1003" s="386"/>
    </row>
    <row r="1004" spans="61:61">
      <c r="BI1004" s="386"/>
    </row>
    <row r="1005" spans="61:61">
      <c r="BI1005" s="386"/>
    </row>
    <row r="1006" spans="61:61">
      <c r="BI1006" s="386"/>
    </row>
    <row r="1007" spans="61:61">
      <c r="BI1007" s="386"/>
    </row>
    <row r="1008" spans="61:61">
      <c r="BI1008" s="386"/>
    </row>
    <row r="1009" spans="61:61">
      <c r="BI1009" s="386"/>
    </row>
    <row r="1010" spans="61:61">
      <c r="BI1010" s="386"/>
    </row>
    <row r="1011" spans="61:61">
      <c r="BI1011" s="386"/>
    </row>
    <row r="1012" spans="61:61">
      <c r="BI1012" s="386"/>
    </row>
    <row r="1013" spans="61:61">
      <c r="BI1013" s="386"/>
    </row>
    <row r="1014" spans="61:61">
      <c r="BI1014" s="386"/>
    </row>
    <row r="1015" spans="61:61">
      <c r="BI1015" s="386"/>
    </row>
    <row r="1016" spans="61:61">
      <c r="BI1016" s="386"/>
    </row>
    <row r="1017" spans="61:61">
      <c r="BI1017" s="386"/>
    </row>
    <row r="1018" spans="61:61">
      <c r="BI1018" s="386"/>
    </row>
    <row r="1019" spans="61:61">
      <c r="BI1019" s="386"/>
    </row>
    <row r="1020" spans="61:61">
      <c r="BI1020" s="386"/>
    </row>
    <row r="1021" spans="61:61">
      <c r="BI1021" s="386"/>
    </row>
    <row r="1022" spans="61:61">
      <c r="BI1022" s="386"/>
    </row>
    <row r="1023" spans="61:61">
      <c r="BI1023" s="386"/>
    </row>
    <row r="1024" spans="61:61">
      <c r="BI1024" s="386"/>
    </row>
    <row r="1025" spans="61:61">
      <c r="BI1025" s="386"/>
    </row>
    <row r="1026" spans="61:61">
      <c r="BI1026" s="386"/>
    </row>
    <row r="1027" spans="61:61">
      <c r="BI1027" s="386"/>
    </row>
    <row r="1028" spans="61:61">
      <c r="BI1028" s="386"/>
    </row>
    <row r="1029" spans="61:61">
      <c r="BI1029" s="386"/>
    </row>
    <row r="1030" spans="61:61">
      <c r="BI1030" s="386"/>
    </row>
    <row r="1031" spans="61:61">
      <c r="BI1031" s="386"/>
    </row>
    <row r="1032" spans="61:61">
      <c r="BI1032" s="386"/>
    </row>
    <row r="1033" spans="61:61">
      <c r="BI1033" s="386"/>
    </row>
    <row r="1034" spans="61:61">
      <c r="BI1034" s="386"/>
    </row>
    <row r="1035" spans="61:61">
      <c r="BI1035" s="386"/>
    </row>
    <row r="1036" spans="61:61">
      <c r="BI1036" s="386"/>
    </row>
    <row r="1037" spans="61:61">
      <c r="BI1037" s="386"/>
    </row>
    <row r="1038" spans="61:61">
      <c r="BI1038" s="386"/>
    </row>
    <row r="1039" spans="61:61">
      <c r="BI1039" s="386"/>
    </row>
    <row r="1040" spans="61:61">
      <c r="BI1040" s="386"/>
    </row>
    <row r="1041" spans="61:61">
      <c r="BI1041" s="386"/>
    </row>
    <row r="1042" spans="61:61">
      <c r="BI1042" s="386"/>
    </row>
    <row r="1043" spans="61:61">
      <c r="BI1043" s="386"/>
    </row>
    <row r="1044" spans="61:61">
      <c r="BI1044" s="386"/>
    </row>
    <row r="1045" spans="61:61">
      <c r="BI1045" s="386"/>
    </row>
    <row r="1046" spans="61:61">
      <c r="BI1046" s="386"/>
    </row>
    <row r="1047" spans="61:61">
      <c r="BI1047" s="386"/>
    </row>
    <row r="1048" spans="61:61">
      <c r="BI1048" s="386"/>
    </row>
    <row r="1049" spans="61:61">
      <c r="BI1049" s="386"/>
    </row>
    <row r="1050" spans="61:61">
      <c r="BI1050" s="386"/>
    </row>
    <row r="1051" spans="61:61">
      <c r="BI1051" s="386"/>
    </row>
    <row r="1052" spans="61:61">
      <c r="BI1052" s="386"/>
    </row>
    <row r="1053" spans="61:61">
      <c r="BI1053" s="386"/>
    </row>
    <row r="1054" spans="61:61">
      <c r="BI1054" s="386"/>
    </row>
    <row r="1055" spans="61:61">
      <c r="BI1055" s="386"/>
    </row>
    <row r="1056" spans="61:61">
      <c r="BI1056" s="386"/>
    </row>
    <row r="1057" spans="61:61">
      <c r="BI1057" s="386"/>
    </row>
    <row r="1058" spans="61:61">
      <c r="BI1058" s="386"/>
    </row>
    <row r="1059" spans="61:61">
      <c r="BI1059" s="386"/>
    </row>
    <row r="1060" spans="61:61">
      <c r="BI1060" s="386"/>
    </row>
    <row r="1061" spans="61:61">
      <c r="BI1061" s="386"/>
    </row>
    <row r="1062" spans="61:61">
      <c r="BI1062" s="386"/>
    </row>
    <row r="1063" spans="61:61">
      <c r="BI1063" s="386"/>
    </row>
    <row r="1064" spans="61:61">
      <c r="BI1064" s="386"/>
    </row>
    <row r="1065" spans="61:61">
      <c r="BI1065" s="386"/>
    </row>
    <row r="1066" spans="61:61">
      <c r="BI1066" s="386"/>
    </row>
    <row r="1067" spans="61:61">
      <c r="BI1067" s="386"/>
    </row>
    <row r="1068" spans="61:61">
      <c r="BI1068" s="386"/>
    </row>
    <row r="1069" spans="61:61">
      <c r="BI1069" s="386"/>
    </row>
    <row r="1070" spans="61:61">
      <c r="BI1070" s="386"/>
    </row>
    <row r="1071" spans="61:61">
      <c r="BI1071" s="386"/>
    </row>
    <row r="1072" spans="61:61">
      <c r="BI1072" s="386"/>
    </row>
    <row r="1073" spans="61:61">
      <c r="BI1073" s="386"/>
    </row>
    <row r="1074" spans="61:61">
      <c r="BI1074" s="386"/>
    </row>
    <row r="1075" spans="61:61">
      <c r="BI1075" s="386"/>
    </row>
    <row r="1076" spans="61:61">
      <c r="BI1076" s="386"/>
    </row>
    <row r="1077" spans="61:61">
      <c r="BI1077" s="386"/>
    </row>
    <row r="1078" spans="61:61">
      <c r="BI1078" s="386"/>
    </row>
    <row r="1079" spans="61:61">
      <c r="BI1079" s="386"/>
    </row>
    <row r="1080" spans="61:61">
      <c r="BI1080" s="386"/>
    </row>
    <row r="1081" spans="61:61">
      <c r="BI1081" s="386"/>
    </row>
    <row r="1082" spans="61:61">
      <c r="BI1082" s="386"/>
    </row>
    <row r="1083" spans="61:61">
      <c r="BI1083" s="386"/>
    </row>
    <row r="1084" spans="61:61">
      <c r="BI1084" s="386"/>
    </row>
    <row r="1085" spans="61:61">
      <c r="BI1085" s="386"/>
    </row>
    <row r="1086" spans="61:61">
      <c r="BI1086" s="386"/>
    </row>
    <row r="1087" spans="61:61">
      <c r="BI1087" s="386"/>
    </row>
    <row r="1088" spans="61:61">
      <c r="BI1088" s="386"/>
    </row>
    <row r="1089" spans="61:61">
      <c r="BI1089" s="386"/>
    </row>
    <row r="1090" spans="61:61">
      <c r="BI1090" s="386"/>
    </row>
    <row r="1091" spans="61:61">
      <c r="BI1091" s="386"/>
    </row>
    <row r="1092" spans="61:61">
      <c r="BI1092" s="386"/>
    </row>
    <row r="1093" spans="61:61">
      <c r="BI1093" s="386"/>
    </row>
    <row r="1094" spans="61:61">
      <c r="BI1094" s="386"/>
    </row>
    <row r="1095" spans="61:61">
      <c r="BI1095" s="386"/>
    </row>
    <row r="1096" spans="61:61">
      <c r="BI1096" s="386"/>
    </row>
    <row r="1097" spans="61:61">
      <c r="BI1097" s="386"/>
    </row>
    <row r="1098" spans="61:61">
      <c r="BI1098" s="386"/>
    </row>
    <row r="1099" spans="61:61">
      <c r="BI1099" s="386"/>
    </row>
    <row r="1100" spans="61:61">
      <c r="BI1100" s="386"/>
    </row>
    <row r="1101" spans="61:61">
      <c r="BI1101" s="386"/>
    </row>
    <row r="1102" spans="61:61">
      <c r="BI1102" s="386"/>
    </row>
    <row r="1103" spans="61:61">
      <c r="BI1103" s="386"/>
    </row>
    <row r="1104" spans="61:61">
      <c r="BI1104" s="386"/>
    </row>
    <row r="1105" spans="61:61">
      <c r="BI1105" s="386"/>
    </row>
    <row r="1106" spans="61:61">
      <c r="BI1106" s="386"/>
    </row>
    <row r="1107" spans="61:61">
      <c r="BI1107" s="386"/>
    </row>
    <row r="1108" spans="61:61">
      <c r="BI1108" s="386"/>
    </row>
    <row r="1109" spans="61:61">
      <c r="BI1109" s="386"/>
    </row>
    <row r="1110" spans="61:61">
      <c r="BI1110" s="386"/>
    </row>
    <row r="1111" spans="61:61">
      <c r="BI1111" s="386"/>
    </row>
    <row r="1112" spans="61:61">
      <c r="BI1112" s="386"/>
    </row>
    <row r="1113" spans="61:61">
      <c r="BI1113" s="386"/>
    </row>
    <row r="1114" spans="61:61">
      <c r="BI1114" s="386"/>
    </row>
    <row r="1115" spans="61:61">
      <c r="BI1115" s="386"/>
    </row>
    <row r="1116" spans="61:61">
      <c r="BI1116" s="386"/>
    </row>
    <row r="1117" spans="61:61">
      <c r="BI1117" s="386"/>
    </row>
    <row r="1118" spans="61:61">
      <c r="BI1118" s="386"/>
    </row>
    <row r="1119" spans="61:61">
      <c r="BI1119" s="386"/>
    </row>
    <row r="1120" spans="61:61">
      <c r="BI1120" s="386"/>
    </row>
    <row r="1121" spans="61:61">
      <c r="BI1121" s="386"/>
    </row>
    <row r="1122" spans="61:61">
      <c r="BI1122" s="386"/>
    </row>
    <row r="1123" spans="61:61">
      <c r="BI1123" s="386"/>
    </row>
    <row r="1124" spans="61:61">
      <c r="BI1124" s="386"/>
    </row>
    <row r="1125" spans="61:61">
      <c r="BI1125" s="386"/>
    </row>
    <row r="1126" spans="61:61">
      <c r="BI1126" s="386"/>
    </row>
    <row r="1127" spans="61:61">
      <c r="BI1127" s="386"/>
    </row>
    <row r="1128" spans="61:61">
      <c r="BI1128" s="386"/>
    </row>
    <row r="1129" spans="61:61">
      <c r="BI1129" s="386"/>
    </row>
    <row r="1130" spans="61:61">
      <c r="BI1130" s="386"/>
    </row>
    <row r="1131" spans="61:61">
      <c r="BI1131" s="386"/>
    </row>
    <row r="1132" spans="61:61">
      <c r="BI1132" s="386"/>
    </row>
    <row r="1133" spans="61:61">
      <c r="BI1133" s="386"/>
    </row>
    <row r="1134" spans="61:61">
      <c r="BI1134" s="386"/>
    </row>
    <row r="1135" spans="61:61">
      <c r="BI1135" s="386"/>
    </row>
    <row r="1136" spans="61:61">
      <c r="BI1136" s="386"/>
    </row>
    <row r="1137" spans="61:61">
      <c r="BI1137" s="386"/>
    </row>
    <row r="1138" spans="61:61">
      <c r="BI1138" s="386"/>
    </row>
    <row r="1139" spans="61:61">
      <c r="BI1139" s="386"/>
    </row>
    <row r="1140" spans="61:61">
      <c r="BI1140" s="386"/>
    </row>
    <row r="1141" spans="61:61">
      <c r="BI1141" s="386"/>
    </row>
    <row r="1142" spans="61:61">
      <c r="BI1142" s="386"/>
    </row>
    <row r="1143" spans="61:61">
      <c r="BI1143" s="386"/>
    </row>
    <row r="1144" spans="61:61">
      <c r="BI1144" s="386"/>
    </row>
    <row r="1145" spans="61:61">
      <c r="BI1145" s="386"/>
    </row>
    <row r="1146" spans="61:61">
      <c r="BI1146" s="386"/>
    </row>
    <row r="1147" spans="61:61">
      <c r="BI1147" s="386"/>
    </row>
    <row r="1148" spans="61:61">
      <c r="BI1148" s="386"/>
    </row>
    <row r="1149" spans="61:61">
      <c r="BI1149" s="386"/>
    </row>
    <row r="1150" spans="61:61">
      <c r="BI1150" s="386"/>
    </row>
    <row r="1151" spans="61:61">
      <c r="BI1151" s="386"/>
    </row>
    <row r="1152" spans="61:61">
      <c r="BI1152" s="386"/>
    </row>
    <row r="1153" spans="61:61">
      <c r="BI1153" s="386"/>
    </row>
    <row r="1154" spans="61:61">
      <c r="BI1154" s="386"/>
    </row>
    <row r="1155" spans="61:61">
      <c r="BI1155" s="386"/>
    </row>
    <row r="1156" spans="61:61">
      <c r="BI1156" s="386"/>
    </row>
    <row r="1157" spans="61:61">
      <c r="BI1157" s="386"/>
    </row>
    <row r="1158" spans="61:61">
      <c r="BI1158" s="386"/>
    </row>
    <row r="1159" spans="61:61">
      <c r="BI1159" s="386"/>
    </row>
    <row r="1160" spans="61:61">
      <c r="BI1160" s="386"/>
    </row>
    <row r="1161" spans="61:61">
      <c r="BI1161" s="386"/>
    </row>
    <row r="1162" spans="61:61">
      <c r="BI1162" s="386"/>
    </row>
    <row r="1163" spans="61:61">
      <c r="BI1163" s="386"/>
    </row>
    <row r="1164" spans="61:61">
      <c r="BI1164" s="386"/>
    </row>
    <row r="1165" spans="61:61">
      <c r="BI1165" s="386"/>
    </row>
    <row r="1166" spans="61:61">
      <c r="BI1166" s="386"/>
    </row>
    <row r="1167" spans="61:61">
      <c r="BI1167" s="386"/>
    </row>
    <row r="1168" spans="61:61">
      <c r="BI1168" s="386"/>
    </row>
    <row r="1169" spans="61:61">
      <c r="BI1169" s="386"/>
    </row>
    <row r="1170" spans="61:61">
      <c r="BI1170" s="386"/>
    </row>
    <row r="1171" spans="61:61">
      <c r="BI1171" s="386"/>
    </row>
    <row r="1172" spans="61:61">
      <c r="BI1172" s="386"/>
    </row>
    <row r="1173" spans="61:61">
      <c r="BI1173" s="386"/>
    </row>
    <row r="1174" spans="61:61">
      <c r="BI1174" s="386"/>
    </row>
    <row r="1175" spans="61:61">
      <c r="BI1175" s="386"/>
    </row>
    <row r="1176" spans="61:61">
      <c r="BI1176" s="386"/>
    </row>
    <row r="1177" spans="61:61">
      <c r="BI1177" s="386"/>
    </row>
    <row r="1178" spans="61:61">
      <c r="BI1178" s="386"/>
    </row>
    <row r="1179" spans="61:61">
      <c r="BI1179" s="386"/>
    </row>
    <row r="1180" spans="61:61">
      <c r="BI1180" s="386"/>
    </row>
    <row r="1181" spans="61:61">
      <c r="BI1181" s="386"/>
    </row>
    <row r="1182" spans="61:61">
      <c r="BI1182" s="386"/>
    </row>
    <row r="1183" spans="61:61">
      <c r="BI1183" s="386"/>
    </row>
    <row r="1184" spans="61:61">
      <c r="BI1184" s="386"/>
    </row>
    <row r="1185" spans="61:61">
      <c r="BI1185" s="386"/>
    </row>
    <row r="1186" spans="61:61">
      <c r="BI1186" s="386"/>
    </row>
    <row r="1187" spans="61:61">
      <c r="BI1187" s="386"/>
    </row>
    <row r="1188" spans="61:61">
      <c r="BI1188" s="386"/>
    </row>
    <row r="1189" spans="61:61">
      <c r="BI1189" s="386"/>
    </row>
    <row r="1190" spans="61:61">
      <c r="BI1190" s="386"/>
    </row>
    <row r="1191" spans="61:61">
      <c r="BI1191" s="386"/>
    </row>
    <row r="1192" spans="61:61">
      <c r="BI1192" s="386"/>
    </row>
    <row r="1193" spans="61:61">
      <c r="BI1193" s="386"/>
    </row>
    <row r="1194" spans="61:61">
      <c r="BI1194" s="386"/>
    </row>
    <row r="1195" spans="61:61">
      <c r="BI1195" s="386"/>
    </row>
    <row r="1196" spans="61:61">
      <c r="BI1196" s="386"/>
    </row>
    <row r="1197" spans="61:61">
      <c r="BI1197" s="386"/>
    </row>
    <row r="1198" spans="61:61">
      <c r="BI1198" s="386"/>
    </row>
    <row r="1199" spans="61:61">
      <c r="BI1199" s="386"/>
    </row>
    <row r="1200" spans="61:61">
      <c r="BI1200" s="386"/>
    </row>
    <row r="1201" spans="61:61">
      <c r="BI1201" s="386"/>
    </row>
    <row r="1202" spans="61:61">
      <c r="BI1202" s="386"/>
    </row>
    <row r="1203" spans="61:61">
      <c r="BI1203" s="386"/>
    </row>
    <row r="1204" spans="61:61">
      <c r="BI1204" s="386"/>
    </row>
    <row r="1205" spans="61:61">
      <c r="BI1205" s="386"/>
    </row>
    <row r="1206" spans="61:61">
      <c r="BI1206" s="386"/>
    </row>
    <row r="1207" spans="61:61">
      <c r="BI1207" s="386"/>
    </row>
    <row r="1208" spans="61:61">
      <c r="BI1208" s="386"/>
    </row>
    <row r="1209" spans="61:61">
      <c r="BI1209" s="386"/>
    </row>
    <row r="1210" spans="61:61">
      <c r="BI1210" s="386"/>
    </row>
    <row r="1211" spans="61:61">
      <c r="BI1211" s="386"/>
    </row>
    <row r="1212" spans="61:61">
      <c r="BI1212" s="386"/>
    </row>
    <row r="1213" spans="61:61">
      <c r="BI1213" s="386"/>
    </row>
    <row r="1214" spans="61:61">
      <c r="BI1214" s="386"/>
    </row>
    <row r="1215" spans="61:61">
      <c r="BI1215" s="386"/>
    </row>
    <row r="1216" spans="61:61">
      <c r="BI1216" s="386"/>
    </row>
    <row r="1217" spans="61:61">
      <c r="BI1217" s="386"/>
    </row>
    <row r="1218" spans="61:61">
      <c r="BI1218" s="386"/>
    </row>
    <row r="1219" spans="61:61">
      <c r="BI1219" s="386"/>
    </row>
    <row r="1220" spans="61:61">
      <c r="BI1220" s="386"/>
    </row>
    <row r="1221" spans="61:61">
      <c r="BI1221" s="386"/>
    </row>
    <row r="1222" spans="61:61">
      <c r="BI1222" s="386"/>
    </row>
    <row r="1223" spans="61:61">
      <c r="BI1223" s="386"/>
    </row>
    <row r="1224" spans="61:61">
      <c r="BI1224" s="386"/>
    </row>
    <row r="1225" spans="61:61">
      <c r="BI1225" s="386"/>
    </row>
    <row r="1226" spans="61:61">
      <c r="BI1226" s="386"/>
    </row>
    <row r="1227" spans="61:61">
      <c r="BI1227" s="386"/>
    </row>
    <row r="1228" spans="61:61">
      <c r="BI1228" s="386"/>
    </row>
    <row r="1229" spans="61:61">
      <c r="BI1229" s="386"/>
    </row>
    <row r="1230" spans="61:61">
      <c r="BI1230" s="386"/>
    </row>
    <row r="1231" spans="61:61">
      <c r="BI1231" s="386"/>
    </row>
    <row r="1232" spans="61:61">
      <c r="BI1232" s="386"/>
    </row>
    <row r="1233" spans="61:61">
      <c r="BI1233" s="386"/>
    </row>
    <row r="1234" spans="61:61">
      <c r="BI1234" s="386"/>
    </row>
    <row r="1235" spans="61:61">
      <c r="BI1235" s="386"/>
    </row>
    <row r="1236" spans="61:61">
      <c r="BI1236" s="386"/>
    </row>
    <row r="1237" spans="61:61">
      <c r="BI1237" s="386"/>
    </row>
    <row r="1238" spans="61:61">
      <c r="BI1238" s="386"/>
    </row>
    <row r="1239" spans="61:61">
      <c r="BI1239" s="386"/>
    </row>
    <row r="1240" spans="61:61">
      <c r="BI1240" s="386"/>
    </row>
    <row r="1241" spans="61:61">
      <c r="BI1241" s="386"/>
    </row>
    <row r="1242" spans="61:61">
      <c r="BI1242" s="386"/>
    </row>
    <row r="1243" spans="61:61">
      <c r="BI1243" s="386"/>
    </row>
    <row r="1244" spans="61:61">
      <c r="BI1244" s="386"/>
    </row>
    <row r="1245" spans="61:61">
      <c r="BI1245" s="386"/>
    </row>
    <row r="1246" spans="61:61">
      <c r="BI1246" s="386"/>
    </row>
    <row r="1247" spans="61:61">
      <c r="BI1247" s="386"/>
    </row>
    <row r="1248" spans="61:61">
      <c r="BI1248" s="386"/>
    </row>
    <row r="1249" spans="61:61">
      <c r="BI1249" s="386"/>
    </row>
    <row r="1250" spans="61:61">
      <c r="BI1250" s="386"/>
    </row>
    <row r="1251" spans="61:61">
      <c r="BI1251" s="386"/>
    </row>
    <row r="1252" spans="61:61">
      <c r="BI1252" s="386"/>
    </row>
    <row r="1253" spans="61:61">
      <c r="BI1253" s="386"/>
    </row>
    <row r="1254" spans="61:61">
      <c r="BI1254" s="386"/>
    </row>
    <row r="1255" spans="61:61">
      <c r="BI1255" s="386"/>
    </row>
    <row r="1256" spans="61:61">
      <c r="BI1256" s="386"/>
    </row>
    <row r="1257" spans="61:61">
      <c r="BI1257" s="386"/>
    </row>
    <row r="1258" spans="61:61">
      <c r="BI1258" s="386"/>
    </row>
    <row r="1259" spans="61:61">
      <c r="BI1259" s="386"/>
    </row>
    <row r="1260" spans="61:61">
      <c r="BI1260" s="386"/>
    </row>
    <row r="1261" spans="61:61">
      <c r="BI1261" s="386"/>
    </row>
    <row r="1262" spans="61:61">
      <c r="BI1262" s="386"/>
    </row>
    <row r="1263" spans="61:61">
      <c r="BI1263" s="386"/>
    </row>
    <row r="1264" spans="61:61">
      <c r="BI1264" s="386"/>
    </row>
    <row r="1265" spans="61:61">
      <c r="BI1265" s="386"/>
    </row>
    <row r="1266" spans="61:61">
      <c r="BI1266" s="386"/>
    </row>
    <row r="1267" spans="61:61">
      <c r="BI1267" s="386"/>
    </row>
    <row r="1268" spans="61:61">
      <c r="BI1268" s="386"/>
    </row>
    <row r="1269" spans="61:61">
      <c r="BI1269" s="386"/>
    </row>
    <row r="1270" spans="61:61">
      <c r="BI1270" s="386"/>
    </row>
    <row r="1271" spans="61:61">
      <c r="BI1271" s="386"/>
    </row>
    <row r="1272" spans="61:61">
      <c r="BI1272" s="386"/>
    </row>
    <row r="1273" spans="61:61">
      <c r="BI1273" s="386"/>
    </row>
    <row r="1274" spans="61:61">
      <c r="BI1274" s="386"/>
    </row>
    <row r="1275" spans="61:61">
      <c r="BI1275" s="386"/>
    </row>
    <row r="1276" spans="61:61">
      <c r="BI1276" s="386"/>
    </row>
    <row r="1277" spans="61:61">
      <c r="BI1277" s="386"/>
    </row>
    <row r="1278" spans="61:61">
      <c r="BI1278" s="386"/>
    </row>
    <row r="1279" spans="61:61">
      <c r="BI1279" s="386"/>
    </row>
    <row r="1280" spans="61:61">
      <c r="BI1280" s="386"/>
    </row>
    <row r="1281" spans="61:61">
      <c r="BI1281" s="386"/>
    </row>
    <row r="1282" spans="61:61">
      <c r="BI1282" s="386"/>
    </row>
    <row r="1283" spans="61:61">
      <c r="BI1283" s="386"/>
    </row>
    <row r="1284" spans="61:61">
      <c r="BI1284" s="386"/>
    </row>
    <row r="1285" spans="61:61">
      <c r="BI1285" s="386"/>
    </row>
    <row r="1286" spans="61:61">
      <c r="BI1286" s="386"/>
    </row>
    <row r="1287" spans="61:61">
      <c r="BI1287" s="386"/>
    </row>
    <row r="1288" spans="61:61">
      <c r="BI1288" s="386"/>
    </row>
    <row r="1289" spans="61:61">
      <c r="BI1289" s="386"/>
    </row>
    <row r="1290" spans="61:61">
      <c r="BI1290" s="386"/>
    </row>
    <row r="1291" spans="61:61">
      <c r="BI1291" s="386"/>
    </row>
    <row r="1292" spans="61:61">
      <c r="BI1292" s="386"/>
    </row>
    <row r="1293" spans="61:61">
      <c r="BI1293" s="386"/>
    </row>
    <row r="1294" spans="61:61">
      <c r="BI1294" s="386"/>
    </row>
    <row r="1295" spans="61:61">
      <c r="BI1295" s="386"/>
    </row>
    <row r="1296" spans="61:61">
      <c r="BI1296" s="386"/>
    </row>
    <row r="1297" spans="61:61">
      <c r="BI1297" s="386"/>
    </row>
    <row r="1298" spans="61:61">
      <c r="BI1298" s="386"/>
    </row>
    <row r="1299" spans="61:61">
      <c r="BI1299" s="386"/>
    </row>
    <row r="1300" spans="61:61">
      <c r="BI1300" s="386"/>
    </row>
    <row r="1301" spans="61:61">
      <c r="BI1301" s="386"/>
    </row>
    <row r="1302" spans="61:61">
      <c r="BI1302" s="386"/>
    </row>
    <row r="1303" spans="61:61">
      <c r="BI1303" s="386"/>
    </row>
    <row r="1304" spans="61:61">
      <c r="BI1304" s="386"/>
    </row>
    <row r="1305" spans="61:61">
      <c r="BI1305" s="386"/>
    </row>
    <row r="1306" spans="61:61">
      <c r="BI1306" s="386"/>
    </row>
    <row r="1307" spans="61:61">
      <c r="BI1307" s="386"/>
    </row>
    <row r="1308" spans="61:61">
      <c r="BI1308" s="386"/>
    </row>
    <row r="1309" spans="61:61">
      <c r="BI1309" s="386"/>
    </row>
    <row r="1310" spans="61:61">
      <c r="BI1310" s="386"/>
    </row>
    <row r="1311" spans="61:61">
      <c r="BI1311" s="386"/>
    </row>
    <row r="1312" spans="61:61">
      <c r="BI1312" s="386"/>
    </row>
    <row r="1313" spans="61:61">
      <c r="BI1313" s="386"/>
    </row>
    <row r="1314" spans="61:61">
      <c r="BI1314" s="386"/>
    </row>
    <row r="1315" spans="61:61">
      <c r="BI1315" s="386"/>
    </row>
    <row r="1316" spans="61:61">
      <c r="BI1316" s="386"/>
    </row>
    <row r="1317" spans="61:61">
      <c r="BI1317" s="386"/>
    </row>
    <row r="1318" spans="61:61">
      <c r="BI1318" s="386"/>
    </row>
    <row r="1319" spans="61:61">
      <c r="BI1319" s="386"/>
    </row>
    <row r="1320" spans="61:61">
      <c r="BI1320" s="386"/>
    </row>
    <row r="1321" spans="61:61">
      <c r="BI1321" s="386"/>
    </row>
    <row r="1322" spans="61:61">
      <c r="BI1322" s="386"/>
    </row>
    <row r="1323" spans="61:61">
      <c r="BI1323" s="386"/>
    </row>
    <row r="1324" spans="61:61">
      <c r="BI1324" s="386"/>
    </row>
    <row r="1325" spans="61:61">
      <c r="BI1325" s="386"/>
    </row>
    <row r="1326" spans="61:61">
      <c r="BI1326" s="386"/>
    </row>
    <row r="1327" spans="61:61">
      <c r="BI1327" s="386"/>
    </row>
    <row r="1328" spans="61:61">
      <c r="BI1328" s="386"/>
    </row>
    <row r="1329" spans="61:61">
      <c r="BI1329" s="386"/>
    </row>
    <row r="1330" spans="61:61">
      <c r="BI1330" s="386"/>
    </row>
    <row r="1331" spans="61:61">
      <c r="BI1331" s="386"/>
    </row>
    <row r="1332" spans="61:61">
      <c r="BI1332" s="386"/>
    </row>
    <row r="1333" spans="61:61">
      <c r="BI1333" s="386"/>
    </row>
    <row r="1334" spans="61:61">
      <c r="BI1334" s="386"/>
    </row>
    <row r="1335" spans="61:61">
      <c r="BI1335" s="386"/>
    </row>
    <row r="1336" spans="61:61">
      <c r="BI1336" s="386"/>
    </row>
    <row r="1337" spans="61:61">
      <c r="BI1337" s="386"/>
    </row>
    <row r="1338" spans="61:61">
      <c r="BI1338" s="386"/>
    </row>
    <row r="1339" spans="61:61">
      <c r="BI1339" s="386"/>
    </row>
    <row r="1340" spans="61:61">
      <c r="BI1340" s="386"/>
    </row>
    <row r="1341" spans="61:61">
      <c r="BI1341" s="386"/>
    </row>
    <row r="1342" spans="61:61">
      <c r="BI1342" s="386"/>
    </row>
    <row r="1343" spans="61:61">
      <c r="BI1343" s="386"/>
    </row>
    <row r="1344" spans="61:61">
      <c r="BI1344" s="386"/>
    </row>
    <row r="1345" spans="61:61">
      <c r="BI1345" s="386"/>
    </row>
    <row r="1346" spans="61:61">
      <c r="BI1346" s="386"/>
    </row>
    <row r="1347" spans="61:61">
      <c r="BI1347" s="386"/>
    </row>
    <row r="1348" spans="61:61">
      <c r="BI1348" s="386"/>
    </row>
    <row r="1349" spans="61:61">
      <c r="BI1349" s="386"/>
    </row>
    <row r="1350" spans="61:61">
      <c r="BI1350" s="386"/>
    </row>
    <row r="1351" spans="61:61">
      <c r="BI1351" s="386"/>
    </row>
    <row r="1352" spans="61:61">
      <c r="BI1352" s="386"/>
    </row>
    <row r="1353" spans="61:61">
      <c r="BI1353" s="386"/>
    </row>
    <row r="1354" spans="61:61">
      <c r="BI1354" s="386"/>
    </row>
    <row r="1355" spans="61:61">
      <c r="BI1355" s="386"/>
    </row>
    <row r="1356" spans="61:61">
      <c r="BI1356" s="386"/>
    </row>
    <row r="1357" spans="61:61">
      <c r="BI1357" s="386"/>
    </row>
    <row r="1358" spans="61:61">
      <c r="BI1358" s="386"/>
    </row>
    <row r="1359" spans="61:61">
      <c r="BI1359" s="386"/>
    </row>
    <row r="1360" spans="61:61">
      <c r="BI1360" s="386"/>
    </row>
    <row r="1361" spans="61:61">
      <c r="BI1361" s="386"/>
    </row>
    <row r="1362" spans="61:61">
      <c r="BI1362" s="386"/>
    </row>
    <row r="1363" spans="61:61">
      <c r="BI1363" s="386"/>
    </row>
    <row r="1364" spans="61:61">
      <c r="BI1364" s="386"/>
    </row>
    <row r="1365" spans="61:61">
      <c r="BI1365" s="386"/>
    </row>
    <row r="1366" spans="61:61">
      <c r="BI1366" s="386"/>
    </row>
    <row r="1367" spans="61:61">
      <c r="BI1367" s="386"/>
    </row>
    <row r="1368" spans="61:61">
      <c r="BI1368" s="386"/>
    </row>
    <row r="1369" spans="61:61">
      <c r="BI1369" s="386"/>
    </row>
    <row r="1370" spans="61:61">
      <c r="BI1370" s="386"/>
    </row>
    <row r="1371" spans="61:61">
      <c r="BI1371" s="386"/>
    </row>
    <row r="1372" spans="61:61">
      <c r="BI1372" s="386"/>
    </row>
    <row r="1373" spans="61:61">
      <c r="BI1373" s="386"/>
    </row>
    <row r="1374" spans="61:61">
      <c r="BI1374" s="386"/>
    </row>
    <row r="1375" spans="61:61">
      <c r="BI1375" s="386"/>
    </row>
    <row r="1376" spans="61:61">
      <c r="BI1376" s="386"/>
    </row>
    <row r="1377" spans="61:61">
      <c r="BI1377" s="386"/>
    </row>
    <row r="1378" spans="61:61">
      <c r="BI1378" s="386"/>
    </row>
    <row r="1379" spans="61:61">
      <c r="BI1379" s="386"/>
    </row>
    <row r="1380" spans="61:61">
      <c r="BI1380" s="386"/>
    </row>
    <row r="1381" spans="61:61">
      <c r="BI1381" s="386"/>
    </row>
    <row r="1382" spans="61:61">
      <c r="BI1382" s="386"/>
    </row>
    <row r="1383" spans="61:61">
      <c r="BI1383" s="386"/>
    </row>
    <row r="1384" spans="61:61">
      <c r="BI1384" s="386"/>
    </row>
    <row r="1385" spans="61:61">
      <c r="BI1385" s="386"/>
    </row>
    <row r="1386" spans="61:61">
      <c r="BI1386" s="386"/>
    </row>
    <row r="1387" spans="61:61">
      <c r="BI1387" s="386"/>
    </row>
    <row r="1388" spans="61:61">
      <c r="BI1388" s="386"/>
    </row>
    <row r="1389" spans="61:61">
      <c r="BI1389" s="386"/>
    </row>
    <row r="1390" spans="61:61">
      <c r="BI1390" s="386"/>
    </row>
    <row r="1391" spans="61:61">
      <c r="BI1391" s="386"/>
    </row>
    <row r="1392" spans="61:61">
      <c r="BI1392" s="386"/>
    </row>
    <row r="1393" spans="61:61">
      <c r="BI1393" s="386"/>
    </row>
    <row r="1394" spans="61:61">
      <c r="BI1394" s="386"/>
    </row>
    <row r="1395" spans="61:61">
      <c r="BI1395" s="386"/>
    </row>
    <row r="1396" spans="61:61">
      <c r="BI1396" s="386"/>
    </row>
    <row r="1397" spans="61:61">
      <c r="BI1397" s="386"/>
    </row>
    <row r="1398" spans="61:61">
      <c r="BI1398" s="386"/>
    </row>
    <row r="1399" spans="61:61">
      <c r="BI1399" s="386"/>
    </row>
    <row r="1400" spans="61:61">
      <c r="BI1400" s="386"/>
    </row>
    <row r="1401" spans="61:61">
      <c r="BI1401" s="386"/>
    </row>
    <row r="1402" spans="61:61">
      <c r="BI1402" s="386"/>
    </row>
    <row r="1403" spans="61:61">
      <c r="BI1403" s="386"/>
    </row>
    <row r="1404" spans="61:61">
      <c r="BI1404" s="386"/>
    </row>
    <row r="1405" spans="61:61">
      <c r="BI1405" s="386"/>
    </row>
    <row r="1406" spans="61:61">
      <c r="BI1406" s="386"/>
    </row>
    <row r="1407" spans="61:61">
      <c r="BI1407" s="386"/>
    </row>
    <row r="1408" spans="61:61">
      <c r="BI1408" s="386"/>
    </row>
    <row r="1409" spans="61:61">
      <c r="BI1409" s="386"/>
    </row>
    <row r="1410" spans="61:61">
      <c r="BI1410" s="386"/>
    </row>
    <row r="1411" spans="61:61">
      <c r="BI1411" s="386"/>
    </row>
    <row r="1412" spans="61:61">
      <c r="BI1412" s="386"/>
    </row>
    <row r="1413" spans="61:61">
      <c r="BI1413" s="386"/>
    </row>
    <row r="1414" spans="61:61">
      <c r="BI1414" s="386"/>
    </row>
    <row r="1415" spans="61:61">
      <c r="BI1415" s="386"/>
    </row>
    <row r="1416" spans="61:61">
      <c r="BI1416" s="386"/>
    </row>
    <row r="1417" spans="61:61">
      <c r="BI1417" s="386"/>
    </row>
    <row r="1418" spans="61:61">
      <c r="BI1418" s="386"/>
    </row>
    <row r="1419" spans="61:61">
      <c r="BI1419" s="386"/>
    </row>
    <row r="1420" spans="61:61">
      <c r="BI1420" s="386"/>
    </row>
    <row r="1421" spans="61:61">
      <c r="BI1421" s="386"/>
    </row>
    <row r="1422" spans="61:61">
      <c r="BI1422" s="386"/>
    </row>
    <row r="1423" spans="61:61">
      <c r="BI1423" s="386"/>
    </row>
    <row r="1424" spans="61:61">
      <c r="BI1424" s="386"/>
    </row>
    <row r="1425" spans="61:61">
      <c r="BI1425" s="386"/>
    </row>
    <row r="1426" spans="61:61">
      <c r="BI1426" s="386"/>
    </row>
    <row r="1427" spans="61:61">
      <c r="BI1427" s="386"/>
    </row>
    <row r="1428" spans="61:61">
      <c r="BI1428" s="386"/>
    </row>
    <row r="1429" spans="61:61">
      <c r="BI1429" s="386"/>
    </row>
    <row r="1430" spans="61:61">
      <c r="BI1430" s="386"/>
    </row>
    <row r="1431" spans="61:61">
      <c r="BI1431" s="386"/>
    </row>
    <row r="1432" spans="61:61">
      <c r="BI1432" s="386"/>
    </row>
    <row r="1433" spans="61:61">
      <c r="BI1433" s="386"/>
    </row>
    <row r="1434" spans="61:61">
      <c r="BI1434" s="386"/>
    </row>
    <row r="1435" spans="61:61">
      <c r="BI1435" s="386"/>
    </row>
    <row r="1436" spans="61:61">
      <c r="BI1436" s="386"/>
    </row>
    <row r="1437" spans="61:61">
      <c r="BI1437" s="386"/>
    </row>
    <row r="1438" spans="61:61">
      <c r="BI1438" s="386"/>
    </row>
    <row r="1439" spans="61:61">
      <c r="BI1439" s="386"/>
    </row>
    <row r="1440" spans="61:61">
      <c r="BI1440" s="386"/>
    </row>
    <row r="1441" spans="61:61">
      <c r="BI1441" s="386"/>
    </row>
    <row r="1442" spans="61:61">
      <c r="BI1442" s="386"/>
    </row>
    <row r="1443" spans="61:61">
      <c r="BI1443" s="386"/>
    </row>
    <row r="1444" spans="61:61">
      <c r="BI1444" s="386"/>
    </row>
    <row r="1445" spans="61:61">
      <c r="BI1445" s="386"/>
    </row>
    <row r="1446" spans="61:61">
      <c r="BI1446" s="386"/>
    </row>
    <row r="1447" spans="61:61">
      <c r="BI1447" s="386"/>
    </row>
    <row r="1448" spans="61:61">
      <c r="BI1448" s="386"/>
    </row>
    <row r="1449" spans="61:61">
      <c r="BI1449" s="386"/>
    </row>
    <row r="1450" spans="61:61">
      <c r="BI1450" s="386"/>
    </row>
    <row r="1451" spans="61:61">
      <c r="BI1451" s="386"/>
    </row>
    <row r="1452" spans="61:61">
      <c r="BI1452" s="386"/>
    </row>
    <row r="1453" spans="61:61">
      <c r="BI1453" s="386"/>
    </row>
    <row r="1454" spans="61:61">
      <c r="BI1454" s="386"/>
    </row>
    <row r="1455" spans="61:61">
      <c r="BI1455" s="386"/>
    </row>
    <row r="1456" spans="61:61">
      <c r="BI1456" s="386"/>
    </row>
    <row r="1457" spans="61:61">
      <c r="BI1457" s="386"/>
    </row>
    <row r="1458" spans="61:61">
      <c r="BI1458" s="386"/>
    </row>
    <row r="1459" spans="61:61">
      <c r="BI1459" s="386"/>
    </row>
    <row r="1460" spans="61:61">
      <c r="BI1460" s="386"/>
    </row>
    <row r="1461" spans="61:61">
      <c r="BI1461" s="386"/>
    </row>
    <row r="1462" spans="61:61">
      <c r="BI1462" s="386"/>
    </row>
    <row r="1463" spans="61:61">
      <c r="BI1463" s="386"/>
    </row>
    <row r="1464" spans="61:61">
      <c r="BI1464" s="386"/>
    </row>
    <row r="1465" spans="61:61">
      <c r="BI1465" s="386"/>
    </row>
    <row r="1466" spans="61:61">
      <c r="BI1466" s="386"/>
    </row>
    <row r="1467" spans="61:61">
      <c r="BI1467" s="386"/>
    </row>
    <row r="1468" spans="61:61">
      <c r="BI1468" s="386"/>
    </row>
    <row r="1469" spans="61:61">
      <c r="BI1469" s="386"/>
    </row>
    <row r="1470" spans="61:61">
      <c r="BI1470" s="386"/>
    </row>
    <row r="1471" spans="61:61">
      <c r="BI1471" s="386"/>
    </row>
    <row r="1472" spans="61:61">
      <c r="BI1472" s="386"/>
    </row>
    <row r="1473" spans="61:61">
      <c r="BI1473" s="386"/>
    </row>
    <row r="1474" spans="61:61">
      <c r="BI1474" s="386"/>
    </row>
    <row r="1475" spans="61:61">
      <c r="BI1475" s="386"/>
    </row>
    <row r="1476" spans="61:61">
      <c r="BI1476" s="386"/>
    </row>
    <row r="1477" spans="61:61">
      <c r="BI1477" s="386"/>
    </row>
    <row r="1478" spans="61:61">
      <c r="BI1478" s="386"/>
    </row>
    <row r="1479" spans="61:61">
      <c r="BI1479" s="386"/>
    </row>
    <row r="1480" spans="61:61">
      <c r="BI1480" s="386"/>
    </row>
    <row r="1481" spans="61:61">
      <c r="BI1481" s="386"/>
    </row>
    <row r="1482" spans="61:61">
      <c r="BI1482" s="386"/>
    </row>
    <row r="1483" spans="61:61">
      <c r="BI1483" s="386"/>
    </row>
    <row r="1484" spans="61:61">
      <c r="BI1484" s="386"/>
    </row>
    <row r="1485" spans="61:61">
      <c r="BI1485" s="386"/>
    </row>
    <row r="1486" spans="61:61">
      <c r="BI1486" s="386"/>
    </row>
    <row r="1487" spans="61:61">
      <c r="BI1487" s="386"/>
    </row>
    <row r="1488" spans="61:61">
      <c r="BI1488" s="386"/>
    </row>
    <row r="1489" spans="61:61">
      <c r="BI1489" s="386"/>
    </row>
    <row r="1490" spans="61:61">
      <c r="BI1490" s="386"/>
    </row>
    <row r="1491" spans="61:61">
      <c r="BI1491" s="386"/>
    </row>
    <row r="1492" spans="61:61">
      <c r="BI1492" s="386"/>
    </row>
    <row r="1493" spans="61:61">
      <c r="BI1493" s="386"/>
    </row>
    <row r="1494" spans="61:61">
      <c r="BI1494" s="386"/>
    </row>
    <row r="1495" spans="61:61">
      <c r="BI1495" s="386"/>
    </row>
    <row r="1496" spans="61:61">
      <c r="BI1496" s="386"/>
    </row>
    <row r="1497" spans="61:61">
      <c r="BI1497" s="386"/>
    </row>
    <row r="1498" spans="61:61">
      <c r="BI1498" s="386"/>
    </row>
    <row r="1499" spans="61:61">
      <c r="BI1499" s="386"/>
    </row>
    <row r="1500" spans="61:61">
      <c r="BI1500" s="386"/>
    </row>
    <row r="1501" spans="61:61">
      <c r="BI1501" s="386"/>
    </row>
    <row r="1502" spans="61:61">
      <c r="BI1502" s="386"/>
    </row>
    <row r="1503" spans="61:61">
      <c r="BI1503" s="386"/>
    </row>
    <row r="1504" spans="61:61">
      <c r="BI1504" s="386"/>
    </row>
    <row r="1505" spans="61:61">
      <c r="BI1505" s="386"/>
    </row>
    <row r="1506" spans="61:61">
      <c r="BI1506" s="386"/>
    </row>
    <row r="1507" spans="61:61">
      <c r="BI1507" s="386"/>
    </row>
    <row r="1508" spans="61:61">
      <c r="BI1508" s="386"/>
    </row>
    <row r="1509" spans="61:61">
      <c r="BI1509" s="386"/>
    </row>
    <row r="1510" spans="61:61">
      <c r="BI1510" s="386"/>
    </row>
    <row r="1511" spans="61:61">
      <c r="BI1511" s="386"/>
    </row>
    <row r="1512" spans="61:61">
      <c r="BI1512" s="386"/>
    </row>
    <row r="1513" spans="61:61">
      <c r="BI1513" s="386"/>
    </row>
    <row r="1514" spans="61:61">
      <c r="BI1514" s="386"/>
    </row>
    <row r="1515" spans="61:61">
      <c r="BI1515" s="386"/>
    </row>
    <row r="1516" spans="61:61">
      <c r="BI1516" s="386"/>
    </row>
    <row r="1517" spans="61:61">
      <c r="BI1517" s="386"/>
    </row>
    <row r="1518" spans="61:61">
      <c r="BI1518" s="386"/>
    </row>
    <row r="1519" spans="61:61">
      <c r="BI1519" s="386"/>
    </row>
    <row r="1520" spans="61:61">
      <c r="BI1520" s="386"/>
    </row>
    <row r="1521" spans="61:61">
      <c r="BI1521" s="386"/>
    </row>
    <row r="1522" spans="61:61">
      <c r="BI1522" s="386"/>
    </row>
    <row r="1523" spans="61:61">
      <c r="BI1523" s="386"/>
    </row>
    <row r="1524" spans="61:61">
      <c r="BI1524" s="386"/>
    </row>
    <row r="1525" spans="61:61">
      <c r="BI1525" s="386"/>
    </row>
    <row r="1526" spans="61:61">
      <c r="BI1526" s="386"/>
    </row>
    <row r="1527" spans="61:61">
      <c r="BI1527" s="386"/>
    </row>
    <row r="1528" spans="61:61">
      <c r="BI1528" s="386"/>
    </row>
    <row r="1529" spans="61:61">
      <c r="BI1529" s="386"/>
    </row>
    <row r="1530" spans="61:61">
      <c r="BI1530" s="386"/>
    </row>
    <row r="1531" spans="61:61">
      <c r="BI1531" s="386"/>
    </row>
    <row r="1532" spans="61:61">
      <c r="BI1532" s="386"/>
    </row>
    <row r="1533" spans="61:61">
      <c r="BI1533" s="386"/>
    </row>
    <row r="1534" spans="61:61">
      <c r="BI1534" s="386"/>
    </row>
    <row r="1535" spans="61:61">
      <c r="BI1535" s="386"/>
    </row>
    <row r="1536" spans="61:61">
      <c r="BI1536" s="386"/>
    </row>
    <row r="1537" spans="61:61">
      <c r="BI1537" s="386"/>
    </row>
    <row r="1538" spans="61:61">
      <c r="BI1538" s="386"/>
    </row>
    <row r="1539" spans="61:61">
      <c r="BI1539" s="386"/>
    </row>
    <row r="1540" spans="61:61">
      <c r="BI1540" s="386"/>
    </row>
    <row r="1541" spans="61:61">
      <c r="BI1541" s="386"/>
    </row>
    <row r="1542" spans="61:61">
      <c r="BI1542" s="386"/>
    </row>
    <row r="1543" spans="61:61">
      <c r="BI1543" s="386"/>
    </row>
    <row r="1544" spans="61:61">
      <c r="BI1544" s="386"/>
    </row>
    <row r="1545" spans="61:61">
      <c r="BI1545" s="386"/>
    </row>
    <row r="1546" spans="61:61">
      <c r="BI1546" s="386"/>
    </row>
    <row r="1547" spans="61:61">
      <c r="BI1547" s="386"/>
    </row>
    <row r="1548" spans="61:61">
      <c r="BI1548" s="386"/>
    </row>
    <row r="1549" spans="61:61">
      <c r="BI1549" s="386"/>
    </row>
    <row r="1550" spans="61:61">
      <c r="BI1550" s="386"/>
    </row>
    <row r="1551" spans="61:61">
      <c r="BI1551" s="386"/>
    </row>
    <row r="1552" spans="61:61">
      <c r="BI1552" s="386"/>
    </row>
    <row r="1553" spans="61:61">
      <c r="BI1553" s="386"/>
    </row>
    <row r="1554" spans="61:61">
      <c r="BI1554" s="386"/>
    </row>
    <row r="1555" spans="61:61">
      <c r="BI1555" s="386"/>
    </row>
    <row r="1556" spans="61:61">
      <c r="BI1556" s="386"/>
    </row>
    <row r="1557" spans="61:61">
      <c r="BI1557" s="386"/>
    </row>
    <row r="1558" spans="61:61">
      <c r="BI1558" s="386"/>
    </row>
    <row r="1559" spans="61:61">
      <c r="BI1559" s="386"/>
    </row>
    <row r="1560" spans="61:61">
      <c r="BI1560" s="386"/>
    </row>
    <row r="1561" spans="61:61">
      <c r="BI1561" s="386"/>
    </row>
    <row r="1562" spans="61:61">
      <c r="BI1562" s="386"/>
    </row>
    <row r="1563" spans="61:61">
      <c r="BI1563" s="386"/>
    </row>
    <row r="1564" spans="61:61">
      <c r="BI1564" s="386"/>
    </row>
    <row r="1565" spans="61:61">
      <c r="BI1565" s="386"/>
    </row>
    <row r="1566" spans="61:61">
      <c r="BI1566" s="386"/>
    </row>
    <row r="1567" spans="61:61">
      <c r="BI1567" s="386"/>
    </row>
    <row r="1568" spans="61:61">
      <c r="BI1568" s="386"/>
    </row>
    <row r="1569" spans="61:61">
      <c r="BI1569" s="386"/>
    </row>
    <row r="1570" spans="61:61">
      <c r="BI1570" s="386"/>
    </row>
    <row r="1571" spans="61:61">
      <c r="BI1571" s="386"/>
    </row>
    <row r="1572" spans="61:61">
      <c r="BI1572" s="386"/>
    </row>
    <row r="1573" spans="61:61">
      <c r="BI1573" s="386"/>
    </row>
    <row r="1574" spans="61:61">
      <c r="BI1574" s="386"/>
    </row>
    <row r="1575" spans="61:61">
      <c r="BI1575" s="386"/>
    </row>
    <row r="1576" spans="61:61">
      <c r="BI1576" s="386"/>
    </row>
    <row r="1577" spans="61:61">
      <c r="BI1577" s="386"/>
    </row>
    <row r="1578" spans="61:61">
      <c r="BI1578" s="386"/>
    </row>
    <row r="1579" spans="61:61">
      <c r="BI1579" s="386"/>
    </row>
    <row r="1580" spans="61:61">
      <c r="BI1580" s="386"/>
    </row>
    <row r="1581" spans="61:61">
      <c r="BI1581" s="386"/>
    </row>
    <row r="1582" spans="61:61">
      <c r="BI1582" s="386"/>
    </row>
    <row r="1583" spans="61:61">
      <c r="BI1583" s="386"/>
    </row>
    <row r="1584" spans="61:61">
      <c r="BI1584" s="386"/>
    </row>
    <row r="1585" spans="61:61">
      <c r="BI1585" s="386"/>
    </row>
    <row r="1586" spans="61:61">
      <c r="BI1586" s="386"/>
    </row>
    <row r="1587" spans="61:61">
      <c r="BI1587" s="386"/>
    </row>
    <row r="1588" spans="61:61">
      <c r="BI1588" s="386"/>
    </row>
    <row r="1589" spans="61:61">
      <c r="BI1589" s="386"/>
    </row>
    <row r="1590" spans="61:61">
      <c r="BI1590" s="386"/>
    </row>
    <row r="1591" spans="61:61">
      <c r="BI1591" s="386"/>
    </row>
    <row r="1592" spans="61:61">
      <c r="BI1592" s="386"/>
    </row>
    <row r="1593" spans="61:61">
      <c r="BI1593" s="386"/>
    </row>
    <row r="1594" spans="61:61">
      <c r="BI1594" s="386"/>
    </row>
    <row r="1595" spans="61:61">
      <c r="BI1595" s="386"/>
    </row>
    <row r="1596" spans="61:61">
      <c r="BI1596" s="386"/>
    </row>
    <row r="1597" spans="61:61">
      <c r="BI1597" s="386"/>
    </row>
    <row r="1598" spans="61:61">
      <c r="BI1598" s="386"/>
    </row>
    <row r="1599" spans="61:61">
      <c r="BI1599" s="386"/>
    </row>
    <row r="1600" spans="61:61">
      <c r="BI1600" s="386"/>
    </row>
    <row r="1601" spans="61:61">
      <c r="BI1601" s="386"/>
    </row>
    <row r="1602" spans="61:61">
      <c r="BI1602" s="386"/>
    </row>
    <row r="1603" spans="61:61">
      <c r="BI1603" s="386"/>
    </row>
    <row r="1604" spans="61:61">
      <c r="BI1604" s="386"/>
    </row>
    <row r="1605" spans="61:61">
      <c r="BI1605" s="386"/>
    </row>
    <row r="1606" spans="61:61">
      <c r="BI1606" s="386"/>
    </row>
    <row r="1607" spans="61:61">
      <c r="BI1607" s="386"/>
    </row>
    <row r="1608" spans="61:61">
      <c r="BI1608" s="386"/>
    </row>
    <row r="1609" spans="61:61">
      <c r="BI1609" s="386"/>
    </row>
    <row r="1610" spans="61:61">
      <c r="BI1610" s="386"/>
    </row>
    <row r="1611" spans="61:61">
      <c r="BI1611" s="386"/>
    </row>
    <row r="1612" spans="61:61">
      <c r="BI1612" s="386"/>
    </row>
    <row r="1613" spans="61:61">
      <c r="BI1613" s="386"/>
    </row>
    <row r="1614" spans="61:61">
      <c r="BI1614" s="386"/>
    </row>
    <row r="1615" spans="61:61">
      <c r="BI1615" s="386"/>
    </row>
    <row r="1616" spans="61:61">
      <c r="BI1616" s="386"/>
    </row>
    <row r="1617" spans="61:61">
      <c r="BI1617" s="386"/>
    </row>
    <row r="1618" spans="61:61">
      <c r="BI1618" s="386"/>
    </row>
    <row r="1619" spans="61:61">
      <c r="BI1619" s="386"/>
    </row>
    <row r="1620" spans="61:61">
      <c r="BI1620" s="386"/>
    </row>
    <row r="1621" spans="61:61">
      <c r="BI1621" s="386"/>
    </row>
    <row r="1622" spans="61:61">
      <c r="BI1622" s="386"/>
    </row>
    <row r="1623" spans="61:61">
      <c r="BI1623" s="386"/>
    </row>
    <row r="1624" spans="61:61">
      <c r="BI1624" s="386"/>
    </row>
    <row r="1625" spans="61:61">
      <c r="BI1625" s="386"/>
    </row>
    <row r="1626" spans="61:61">
      <c r="BI1626" s="386"/>
    </row>
    <row r="1627" spans="61:61">
      <c r="BI1627" s="386"/>
    </row>
    <row r="1628" spans="61:61">
      <c r="BI1628" s="386"/>
    </row>
    <row r="1629" spans="61:61">
      <c r="BI1629" s="386"/>
    </row>
    <row r="1630" spans="61:61">
      <c r="BI1630" s="386"/>
    </row>
    <row r="1631" spans="61:61">
      <c r="BI1631" s="386"/>
    </row>
    <row r="1632" spans="61:61">
      <c r="BI1632" s="386"/>
    </row>
    <row r="1633" spans="61:61">
      <c r="BI1633" s="386"/>
    </row>
    <row r="1634" spans="61:61">
      <c r="BI1634" s="386"/>
    </row>
    <row r="1635" spans="61:61">
      <c r="BI1635" s="386"/>
    </row>
    <row r="1636" spans="61:61">
      <c r="BI1636" s="386"/>
    </row>
    <row r="1637" spans="61:61">
      <c r="BI1637" s="386"/>
    </row>
    <row r="1638" spans="61:61">
      <c r="BI1638" s="386"/>
    </row>
    <row r="1639" spans="61:61">
      <c r="BI1639" s="386"/>
    </row>
    <row r="1640" spans="61:61">
      <c r="BI1640" s="386"/>
    </row>
    <row r="1641" spans="61:61">
      <c r="BI1641" s="386"/>
    </row>
    <row r="1642" spans="61:61">
      <c r="BI1642" s="386"/>
    </row>
    <row r="1643" spans="61:61">
      <c r="BI1643" s="386"/>
    </row>
    <row r="1644" spans="61:61">
      <c r="BI1644" s="386"/>
    </row>
    <row r="1645" spans="61:61">
      <c r="BI1645" s="386"/>
    </row>
    <row r="1646" spans="61:61">
      <c r="BI1646" s="386"/>
    </row>
    <row r="1647" spans="61:61">
      <c r="BI1647" s="386"/>
    </row>
    <row r="1648" spans="61:61">
      <c r="BI1648" s="386"/>
    </row>
    <row r="1649" spans="61:61">
      <c r="BI1649" s="386"/>
    </row>
    <row r="1650" spans="61:61">
      <c r="BI1650" s="386"/>
    </row>
    <row r="1651" spans="61:61">
      <c r="BI1651" s="386"/>
    </row>
    <row r="1652" spans="61:61">
      <c r="BI1652" s="386"/>
    </row>
    <row r="1653" spans="61:61">
      <c r="BI1653" s="386"/>
    </row>
    <row r="1654" spans="61:61">
      <c r="BI1654" s="386"/>
    </row>
    <row r="1655" spans="61:61">
      <c r="BI1655" s="386"/>
    </row>
    <row r="1656" spans="61:61">
      <c r="BI1656" s="386"/>
    </row>
    <row r="1657" spans="61:61">
      <c r="BI1657" s="386"/>
    </row>
    <row r="1658" spans="61:61">
      <c r="BI1658" s="386"/>
    </row>
    <row r="1659" spans="61:61">
      <c r="BI1659" s="386"/>
    </row>
    <row r="1660" spans="61:61">
      <c r="BI1660" s="386"/>
    </row>
    <row r="1661" spans="61:61">
      <c r="BI1661" s="386"/>
    </row>
    <row r="1662" spans="61:61">
      <c r="BI1662" s="386"/>
    </row>
    <row r="1663" spans="61:61">
      <c r="BI1663" s="386"/>
    </row>
    <row r="1664" spans="61:61">
      <c r="BI1664" s="386"/>
    </row>
    <row r="1665" spans="61:61">
      <c r="BI1665" s="386"/>
    </row>
    <row r="1666" spans="61:61">
      <c r="BI1666" s="386"/>
    </row>
    <row r="1667" spans="61:61">
      <c r="BI1667" s="386"/>
    </row>
    <row r="1668" spans="61:61">
      <c r="BI1668" s="386"/>
    </row>
    <row r="1669" spans="61:61">
      <c r="BI1669" s="386"/>
    </row>
    <row r="1670" spans="61:61">
      <c r="BI1670" s="386"/>
    </row>
    <row r="1671" spans="61:61">
      <c r="BI1671" s="386"/>
    </row>
    <row r="1672" spans="61:61">
      <c r="BI1672" s="386"/>
    </row>
    <row r="1673" spans="61:61">
      <c r="BI1673" s="386"/>
    </row>
    <row r="1674" spans="61:61">
      <c r="BI1674" s="386"/>
    </row>
    <row r="1675" spans="61:61">
      <c r="BI1675" s="386"/>
    </row>
    <row r="1676" spans="61:61">
      <c r="BI1676" s="386"/>
    </row>
    <row r="1677" spans="61:61">
      <c r="BI1677" s="386"/>
    </row>
    <row r="1678" spans="61:61">
      <c r="BI1678" s="386"/>
    </row>
    <row r="1679" spans="61:61">
      <c r="BI1679" s="386"/>
    </row>
    <row r="1680" spans="61:61">
      <c r="BI1680" s="386"/>
    </row>
    <row r="1681" spans="61:61">
      <c r="BI1681" s="386"/>
    </row>
    <row r="1682" spans="61:61">
      <c r="BI1682" s="386"/>
    </row>
    <row r="1683" spans="61:61">
      <c r="BI1683" s="386"/>
    </row>
    <row r="1684" spans="61:61">
      <c r="BI1684" s="386"/>
    </row>
    <row r="1685" spans="61:61">
      <c r="BI1685" s="386"/>
    </row>
    <row r="1686" spans="61:61">
      <c r="BI1686" s="386"/>
    </row>
    <row r="1687" spans="61:61">
      <c r="BI1687" s="386"/>
    </row>
    <row r="1688" spans="61:61">
      <c r="BI1688" s="386"/>
    </row>
    <row r="1689" spans="61:61">
      <c r="BI1689" s="386"/>
    </row>
    <row r="1690" spans="61:61">
      <c r="BI1690" s="386"/>
    </row>
    <row r="1691" spans="61:61">
      <c r="BI1691" s="386"/>
    </row>
    <row r="1692" spans="61:61">
      <c r="BI1692" s="386"/>
    </row>
    <row r="1693" spans="61:61">
      <c r="BI1693" s="386"/>
    </row>
    <row r="1694" spans="61:61">
      <c r="BI1694" s="386"/>
    </row>
    <row r="1695" spans="61:61">
      <c r="BI1695" s="386"/>
    </row>
    <row r="1696" spans="61:61">
      <c r="BI1696" s="386"/>
    </row>
    <row r="1697" spans="61:61">
      <c r="BI1697" s="386"/>
    </row>
    <row r="1698" spans="61:61">
      <c r="BI1698" s="386"/>
    </row>
    <row r="1699" spans="61:61">
      <c r="BI1699" s="386"/>
    </row>
    <row r="1700" spans="61:61">
      <c r="BI1700" s="386"/>
    </row>
    <row r="1701" spans="61:61">
      <c r="BI1701" s="386"/>
    </row>
    <row r="1702" spans="61:61">
      <c r="BI1702" s="386"/>
    </row>
    <row r="1703" spans="61:61">
      <c r="BI1703" s="386"/>
    </row>
    <row r="1704" spans="61:61">
      <c r="BI1704" s="386"/>
    </row>
    <row r="1705" spans="61:61">
      <c r="BI1705" s="386"/>
    </row>
    <row r="1706" spans="61:61">
      <c r="BI1706" s="386"/>
    </row>
    <row r="1707" spans="61:61">
      <c r="BI1707" s="386"/>
    </row>
    <row r="1708" spans="61:61">
      <c r="BI1708" s="386"/>
    </row>
    <row r="1709" spans="61:61">
      <c r="BI1709" s="386"/>
    </row>
    <row r="1710" spans="61:61">
      <c r="BI1710" s="386"/>
    </row>
    <row r="1711" spans="61:61">
      <c r="BI1711" s="386"/>
    </row>
    <row r="1712" spans="61:61">
      <c r="BI1712" s="386"/>
    </row>
    <row r="1713" spans="61:61">
      <c r="BI1713" s="386"/>
    </row>
    <row r="1714" spans="61:61">
      <c r="BI1714" s="386"/>
    </row>
    <row r="1715" spans="61:61">
      <c r="BI1715" s="386"/>
    </row>
    <row r="1716" spans="61:61">
      <c r="BI1716" s="386"/>
    </row>
    <row r="1717" spans="61:61">
      <c r="BI1717" s="386"/>
    </row>
    <row r="1718" spans="61:61">
      <c r="BI1718" s="386"/>
    </row>
    <row r="1719" spans="61:61">
      <c r="BI1719" s="386"/>
    </row>
    <row r="1720" spans="61:61">
      <c r="BI1720" s="386"/>
    </row>
    <row r="1721" spans="61:61">
      <c r="BI1721" s="386"/>
    </row>
    <row r="1722" spans="61:61">
      <c r="BI1722" s="386"/>
    </row>
    <row r="1723" spans="61:61">
      <c r="BI1723" s="386"/>
    </row>
    <row r="1724" spans="61:61">
      <c r="BI1724" s="386"/>
    </row>
    <row r="1725" spans="61:61">
      <c r="BI1725" s="386"/>
    </row>
    <row r="1726" spans="61:61">
      <c r="BI1726" s="386"/>
    </row>
    <row r="1727" spans="61:61">
      <c r="BI1727" s="386"/>
    </row>
    <row r="1728" spans="61:61">
      <c r="BI1728" s="386"/>
    </row>
    <row r="1729" spans="61:61">
      <c r="BI1729" s="386"/>
    </row>
    <row r="1730" spans="61:61">
      <c r="BI1730" s="386"/>
    </row>
    <row r="1731" spans="61:61">
      <c r="BI1731" s="386"/>
    </row>
    <row r="1732" spans="61:61">
      <c r="BI1732" s="386"/>
    </row>
    <row r="1733" spans="61:61">
      <c r="BI1733" s="386"/>
    </row>
    <row r="1734" spans="61:61">
      <c r="BI1734" s="386"/>
    </row>
    <row r="1735" spans="61:61">
      <c r="BI1735" s="386"/>
    </row>
    <row r="1736" spans="61:61">
      <c r="BI1736" s="386"/>
    </row>
    <row r="1737" spans="61:61">
      <c r="BI1737" s="386"/>
    </row>
    <row r="1738" spans="61:61">
      <c r="BI1738" s="386"/>
    </row>
    <row r="1739" spans="61:61">
      <c r="BI1739" s="386"/>
    </row>
    <row r="1740" spans="61:61">
      <c r="BI1740" s="386"/>
    </row>
    <row r="1741" spans="61:61">
      <c r="BI1741" s="386"/>
    </row>
    <row r="1742" spans="61:61">
      <c r="BI1742" s="386"/>
    </row>
    <row r="1743" spans="61:61">
      <c r="BI1743" s="386"/>
    </row>
    <row r="1744" spans="61:61">
      <c r="BI1744" s="386"/>
    </row>
    <row r="1745" spans="61:61">
      <c r="BI1745" s="386"/>
    </row>
    <row r="1746" spans="61:61">
      <c r="BI1746" s="386"/>
    </row>
    <row r="1747" spans="61:61">
      <c r="BI1747" s="386"/>
    </row>
    <row r="1748" spans="61:61">
      <c r="BI1748" s="386"/>
    </row>
    <row r="1749" spans="61:61">
      <c r="BI1749" s="386"/>
    </row>
    <row r="1750" spans="61:61">
      <c r="BI1750" s="386"/>
    </row>
    <row r="1751" spans="61:61">
      <c r="BI1751" s="386"/>
    </row>
    <row r="1752" spans="61:61">
      <c r="BI1752" s="386"/>
    </row>
    <row r="1753" spans="61:61">
      <c r="BI1753" s="386"/>
    </row>
    <row r="1754" spans="61:61">
      <c r="BI1754" s="386"/>
    </row>
    <row r="1755" spans="61:61">
      <c r="BI1755" s="386"/>
    </row>
    <row r="1756" spans="61:61">
      <c r="BI1756" s="386"/>
    </row>
    <row r="1757" spans="61:61">
      <c r="BI1757" s="386"/>
    </row>
    <row r="1758" spans="61:61">
      <c r="BI1758" s="386"/>
    </row>
    <row r="1759" spans="61:61">
      <c r="BI1759" s="386"/>
    </row>
    <row r="1760" spans="61:61">
      <c r="BI1760" s="386"/>
    </row>
    <row r="1761" spans="61:61">
      <c r="BI1761" s="386"/>
    </row>
    <row r="1762" spans="61:61">
      <c r="BI1762" s="386"/>
    </row>
    <row r="1763" spans="61:61">
      <c r="BI1763" s="386"/>
    </row>
    <row r="1764" spans="61:61">
      <c r="BI1764" s="386"/>
    </row>
    <row r="1765" spans="61:61">
      <c r="BI1765" s="386"/>
    </row>
    <row r="1766" spans="61:61">
      <c r="BI1766" s="386"/>
    </row>
    <row r="1767" spans="61:61">
      <c r="BI1767" s="386"/>
    </row>
    <row r="1768" spans="61:61">
      <c r="BI1768" s="386"/>
    </row>
    <row r="1769" spans="61:61">
      <c r="BI1769" s="386"/>
    </row>
    <row r="1770" spans="61:61">
      <c r="BI1770" s="386"/>
    </row>
    <row r="1771" spans="61:61">
      <c r="BI1771" s="386"/>
    </row>
    <row r="1772" spans="61:61">
      <c r="BI1772" s="386"/>
    </row>
    <row r="1773" spans="61:61">
      <c r="BI1773" s="386"/>
    </row>
    <row r="1774" spans="61:61">
      <c r="BI1774" s="386"/>
    </row>
    <row r="1775" spans="61:61">
      <c r="BI1775" s="386"/>
    </row>
    <row r="1776" spans="61:61">
      <c r="BI1776" s="386"/>
    </row>
    <row r="1777" spans="61:61">
      <c r="BI1777" s="386"/>
    </row>
    <row r="1778" spans="61:61">
      <c r="BI1778" s="386"/>
    </row>
    <row r="1779" spans="61:61">
      <c r="BI1779" s="386"/>
    </row>
    <row r="1780" spans="61:61">
      <c r="BI1780" s="386"/>
    </row>
    <row r="1781" spans="61:61">
      <c r="BI1781" s="386"/>
    </row>
    <row r="1782" spans="61:61">
      <c r="BI1782" s="386"/>
    </row>
    <row r="1783" spans="61:61">
      <c r="BI1783" s="386"/>
    </row>
    <row r="1784" spans="61:61">
      <c r="BI1784" s="386"/>
    </row>
    <row r="1785" spans="61:61">
      <c r="BI1785" s="386"/>
    </row>
    <row r="1786" spans="61:61">
      <c r="BI1786" s="386"/>
    </row>
    <row r="1787" spans="61:61">
      <c r="BI1787" s="386"/>
    </row>
    <row r="1788" spans="61:61">
      <c r="BI1788" s="386"/>
    </row>
    <row r="1789" spans="61:61">
      <c r="BI1789" s="386"/>
    </row>
    <row r="1790" spans="61:61">
      <c r="BI1790" s="386"/>
    </row>
    <row r="1791" spans="61:61">
      <c r="BI1791" s="386"/>
    </row>
    <row r="1792" spans="61:61">
      <c r="BI1792" s="386"/>
    </row>
    <row r="1793" spans="61:61">
      <c r="BI1793" s="386"/>
    </row>
    <row r="1794" spans="61:61">
      <c r="BI1794" s="386"/>
    </row>
    <row r="1795" spans="61:61">
      <c r="BI1795" s="386"/>
    </row>
    <row r="1796" spans="61:61">
      <c r="BI1796" s="386"/>
    </row>
    <row r="1797" spans="61:61">
      <c r="BI1797" s="386"/>
    </row>
    <row r="1798" spans="61:61">
      <c r="BI1798" s="386"/>
    </row>
    <row r="1799" spans="61:61">
      <c r="BI1799" s="386"/>
    </row>
    <row r="1800" spans="61:61">
      <c r="BI1800" s="386"/>
    </row>
    <row r="1801" spans="61:61">
      <c r="BI1801" s="386"/>
    </row>
    <row r="1802" spans="61:61">
      <c r="BI1802" s="386"/>
    </row>
    <row r="1803" spans="61:61">
      <c r="BI1803" s="386"/>
    </row>
    <row r="1804" spans="61:61">
      <c r="BI1804" s="386"/>
    </row>
    <row r="1805" spans="61:61">
      <c r="BI1805" s="386"/>
    </row>
    <row r="1806" spans="61:61">
      <c r="BI1806" s="386"/>
    </row>
    <row r="1807" spans="61:61">
      <c r="BI1807" s="386"/>
    </row>
    <row r="1808" spans="61:61">
      <c r="BI1808" s="386"/>
    </row>
    <row r="1809" spans="61:61">
      <c r="BI1809" s="386"/>
    </row>
    <row r="1810" spans="61:61">
      <c r="BI1810" s="386"/>
    </row>
    <row r="1811" spans="61:61">
      <c r="BI1811" s="386"/>
    </row>
    <row r="1812" spans="61:61">
      <c r="BI1812" s="386"/>
    </row>
    <row r="1813" spans="61:61">
      <c r="BI1813" s="386"/>
    </row>
    <row r="1814" spans="61:61">
      <c r="BI1814" s="386"/>
    </row>
    <row r="1815" spans="61:61">
      <c r="BI1815" s="386"/>
    </row>
    <row r="1816" spans="61:61">
      <c r="BI1816" s="386"/>
    </row>
    <row r="1817" spans="61:61">
      <c r="BI1817" s="386"/>
    </row>
    <row r="1818" spans="61:61">
      <c r="BI1818" s="386"/>
    </row>
    <row r="1819" spans="61:61">
      <c r="BI1819" s="386"/>
    </row>
    <row r="1820" spans="61:61">
      <c r="BI1820" s="386"/>
    </row>
    <row r="1821" spans="61:61">
      <c r="BI1821" s="386"/>
    </row>
    <row r="1822" spans="61:61">
      <c r="BI1822" s="386"/>
    </row>
    <row r="1823" spans="61:61">
      <c r="BI1823" s="386"/>
    </row>
    <row r="1824" spans="61:61">
      <c r="BI1824" s="386"/>
    </row>
    <row r="1825" spans="61:61">
      <c r="BI1825" s="386"/>
    </row>
    <row r="1826" spans="61:61">
      <c r="BI1826" s="386"/>
    </row>
    <row r="1827" spans="61:61">
      <c r="BI1827" s="386"/>
    </row>
    <row r="1828" spans="61:61">
      <c r="BI1828" s="386"/>
    </row>
    <row r="1829" spans="61:61">
      <c r="BI1829" s="386"/>
    </row>
    <row r="1830" spans="61:61">
      <c r="BI1830" s="386"/>
    </row>
    <row r="1831" spans="61:61">
      <c r="BI1831" s="386"/>
    </row>
    <row r="1832" spans="61:61">
      <c r="BI1832" s="386"/>
    </row>
    <row r="1833" spans="61:61">
      <c r="BI1833" s="386"/>
    </row>
    <row r="1834" spans="61:61">
      <c r="BI1834" s="386"/>
    </row>
    <row r="1835" spans="61:61">
      <c r="BI1835" s="386"/>
    </row>
    <row r="1836" spans="61:61">
      <c r="BI1836" s="386"/>
    </row>
    <row r="1837" spans="61:61">
      <c r="BI1837" s="386"/>
    </row>
    <row r="1838" spans="61:61">
      <c r="BI1838" s="386"/>
    </row>
    <row r="1839" spans="61:61">
      <c r="BI1839" s="386"/>
    </row>
    <row r="1840" spans="61:61">
      <c r="BI1840" s="386"/>
    </row>
    <row r="1841" spans="61:61">
      <c r="BI1841" s="386"/>
    </row>
    <row r="1842" spans="61:61">
      <c r="BI1842" s="386"/>
    </row>
    <row r="1843" spans="61:61">
      <c r="BI1843" s="386"/>
    </row>
    <row r="1844" spans="61:61">
      <c r="BI1844" s="386"/>
    </row>
    <row r="1845" spans="61:61">
      <c r="BI1845" s="386"/>
    </row>
    <row r="1846" spans="61:61">
      <c r="BI1846" s="386"/>
    </row>
    <row r="1847" spans="61:61">
      <c r="BI1847" s="386"/>
    </row>
    <row r="1848" spans="61:61">
      <c r="BI1848" s="386"/>
    </row>
    <row r="1849" spans="61:61">
      <c r="BI1849" s="386"/>
    </row>
    <row r="1850" spans="61:61">
      <c r="BI1850" s="386"/>
    </row>
    <row r="1851" spans="61:61">
      <c r="BI1851" s="386"/>
    </row>
    <row r="1852" spans="61:61">
      <c r="BI1852" s="386"/>
    </row>
    <row r="1853" spans="61:61">
      <c r="BI1853" s="386"/>
    </row>
    <row r="1854" spans="61:61">
      <c r="BI1854" s="386"/>
    </row>
    <row r="1855" spans="61:61">
      <c r="BI1855" s="386"/>
    </row>
    <row r="1856" spans="61:61">
      <c r="BI1856" s="386"/>
    </row>
    <row r="1857" spans="61:61">
      <c r="BI1857" s="386"/>
    </row>
    <row r="1858" spans="61:61">
      <c r="BI1858" s="386"/>
    </row>
    <row r="1859" spans="61:61">
      <c r="BI1859" s="386"/>
    </row>
    <row r="1860" spans="61:61">
      <c r="BI1860" s="386"/>
    </row>
    <row r="1861" spans="61:61">
      <c r="BI1861" s="386"/>
    </row>
    <row r="1862" spans="61:61">
      <c r="BI1862" s="386"/>
    </row>
    <row r="1863" spans="61:61">
      <c r="BI1863" s="386"/>
    </row>
    <row r="1864" spans="61:61">
      <c r="BI1864" s="386"/>
    </row>
    <row r="1865" spans="61:61">
      <c r="BI1865" s="386"/>
    </row>
    <row r="1866" spans="61:61">
      <c r="BI1866" s="386"/>
    </row>
    <row r="1867" spans="61:61">
      <c r="BI1867" s="386"/>
    </row>
    <row r="1868" spans="61:61">
      <c r="BI1868" s="386"/>
    </row>
    <row r="1869" spans="61:61">
      <c r="BI1869" s="386"/>
    </row>
    <row r="1870" spans="61:61">
      <c r="BI1870" s="386"/>
    </row>
    <row r="1871" spans="61:61">
      <c r="BI1871" s="386"/>
    </row>
    <row r="1872" spans="61:61">
      <c r="BI1872" s="386"/>
    </row>
    <row r="1873" spans="61:61">
      <c r="BI1873" s="386"/>
    </row>
    <row r="1874" spans="61:61">
      <c r="BI1874" s="386"/>
    </row>
    <row r="1875" spans="61:61">
      <c r="BI1875" s="386"/>
    </row>
    <row r="1876" spans="61:61">
      <c r="BI1876" s="386"/>
    </row>
    <row r="1877" spans="61:61">
      <c r="BI1877" s="386"/>
    </row>
    <row r="1878" spans="61:61">
      <c r="BI1878" s="386"/>
    </row>
    <row r="1879" spans="61:61">
      <c r="BI1879" s="386"/>
    </row>
    <row r="1880" spans="61:61">
      <c r="BI1880" s="386"/>
    </row>
    <row r="1881" spans="61:61">
      <c r="BI1881" s="386"/>
    </row>
    <row r="1882" spans="61:61">
      <c r="BI1882" s="386"/>
    </row>
    <row r="1883" spans="61:61">
      <c r="BI1883" s="386"/>
    </row>
    <row r="1884" spans="61:61">
      <c r="BI1884" s="386"/>
    </row>
    <row r="1885" spans="61:61">
      <c r="BI1885" s="386"/>
    </row>
    <row r="1886" spans="61:61">
      <c r="BI1886" s="386"/>
    </row>
    <row r="1887" spans="61:61">
      <c r="BI1887" s="386"/>
    </row>
    <row r="1888" spans="61:61">
      <c r="BI1888" s="386"/>
    </row>
    <row r="1889" spans="61:61">
      <c r="BI1889" s="386"/>
    </row>
    <row r="1890" spans="61:61">
      <c r="BI1890" s="386"/>
    </row>
    <row r="1891" spans="61:61">
      <c r="BI1891" s="386"/>
    </row>
    <row r="1892" spans="61:61">
      <c r="BI1892" s="386"/>
    </row>
    <row r="1893" spans="61:61">
      <c r="BI1893" s="386"/>
    </row>
    <row r="1894" spans="61:61">
      <c r="BI1894" s="386"/>
    </row>
    <row r="1895" spans="61:61">
      <c r="BI1895" s="386"/>
    </row>
    <row r="1896" spans="61:61">
      <c r="BI1896" s="386"/>
    </row>
    <row r="1897" spans="61:61">
      <c r="BI1897" s="386"/>
    </row>
    <row r="1898" spans="61:61">
      <c r="BI1898" s="386"/>
    </row>
    <row r="1899" spans="61:61">
      <c r="BI1899" s="386"/>
    </row>
    <row r="1900" spans="61:61">
      <c r="BI1900" s="386"/>
    </row>
    <row r="1901" spans="61:61">
      <c r="BI1901" s="386"/>
    </row>
    <row r="1902" spans="61:61">
      <c r="BI1902" s="386"/>
    </row>
    <row r="1903" spans="61:61">
      <c r="BI1903" s="386"/>
    </row>
    <row r="1904" spans="61:61">
      <c r="BI1904" s="386"/>
    </row>
    <row r="1905" spans="61:61">
      <c r="BI1905" s="386"/>
    </row>
    <row r="1906" spans="61:61">
      <c r="BI1906" s="386"/>
    </row>
    <row r="1907" spans="61:61">
      <c r="BI1907" s="386"/>
    </row>
    <row r="1908" spans="61:61">
      <c r="BI1908" s="386"/>
    </row>
    <row r="1909" spans="61:61">
      <c r="BI1909" s="386"/>
    </row>
    <row r="1910" spans="61:61">
      <c r="BI1910" s="386"/>
    </row>
    <row r="1911" spans="61:61">
      <c r="BI1911" s="386"/>
    </row>
    <row r="1912" spans="61:61">
      <c r="BI1912" s="386"/>
    </row>
    <row r="1913" spans="61:61">
      <c r="BI1913" s="386"/>
    </row>
    <row r="1914" spans="61:61">
      <c r="BI1914" s="386"/>
    </row>
    <row r="1915" spans="61:61">
      <c r="BI1915" s="386"/>
    </row>
    <row r="1916" spans="61:61">
      <c r="BI1916" s="386"/>
    </row>
    <row r="1917" spans="61:61">
      <c r="BI1917" s="386"/>
    </row>
    <row r="1918" spans="61:61">
      <c r="BI1918" s="386"/>
    </row>
    <row r="1919" spans="61:61">
      <c r="BI1919" s="386"/>
    </row>
    <row r="1920" spans="61:61">
      <c r="BI1920" s="386"/>
    </row>
    <row r="1921" spans="61:61">
      <c r="BI1921" s="386"/>
    </row>
    <row r="1922" spans="61:61">
      <c r="BI1922" s="386"/>
    </row>
    <row r="1923" spans="61:61">
      <c r="BI1923" s="386"/>
    </row>
    <row r="1924" spans="61:61">
      <c r="BI1924" s="386"/>
    </row>
    <row r="1925" spans="61:61">
      <c r="BI1925" s="386"/>
    </row>
    <row r="1926" spans="61:61">
      <c r="BI1926" s="386"/>
    </row>
    <row r="1927" spans="61:61">
      <c r="BI1927" s="386"/>
    </row>
    <row r="1928" spans="61:61">
      <c r="BI1928" s="386"/>
    </row>
    <row r="1929" spans="61:61">
      <c r="BI1929" s="386"/>
    </row>
    <row r="1930" spans="61:61">
      <c r="BI1930" s="386"/>
    </row>
    <row r="1931" spans="61:61">
      <c r="BI1931" s="386"/>
    </row>
    <row r="1932" spans="61:61">
      <c r="BI1932" s="386"/>
    </row>
    <row r="1933" spans="61:61">
      <c r="BI1933" s="386"/>
    </row>
    <row r="1934" spans="61:61">
      <c r="BI1934" s="386"/>
    </row>
    <row r="1935" spans="61:61">
      <c r="BI1935" s="386"/>
    </row>
    <row r="1936" spans="61:61">
      <c r="BI1936" s="386"/>
    </row>
    <row r="1937" spans="61:61">
      <c r="BI1937" s="386"/>
    </row>
    <row r="1938" spans="61:61">
      <c r="BI1938" s="386"/>
    </row>
    <row r="1939" spans="61:61">
      <c r="BI1939" s="386"/>
    </row>
    <row r="1940" spans="61:61">
      <c r="BI1940" s="386"/>
    </row>
    <row r="1941" spans="61:61">
      <c r="BI1941" s="386"/>
    </row>
    <row r="1942" spans="61:61">
      <c r="BI1942" s="386"/>
    </row>
    <row r="1943" spans="61:61">
      <c r="BI1943" s="386"/>
    </row>
    <row r="1944" spans="61:61">
      <c r="BI1944" s="386"/>
    </row>
    <row r="1945" spans="61:61">
      <c r="BI1945" s="386"/>
    </row>
    <row r="1946" spans="61:61">
      <c r="BI1946" s="386"/>
    </row>
    <row r="1947" spans="61:61">
      <c r="BI1947" s="386"/>
    </row>
    <row r="1948" spans="61:61">
      <c r="BI1948" s="386"/>
    </row>
    <row r="1949" spans="61:61">
      <c r="BI1949" s="386"/>
    </row>
    <row r="1950" spans="61:61">
      <c r="BI1950" s="386"/>
    </row>
    <row r="1951" spans="61:61">
      <c r="BI1951" s="386"/>
    </row>
    <row r="1952" spans="61:61">
      <c r="BI1952" s="386"/>
    </row>
    <row r="1953" spans="61:61">
      <c r="BI1953" s="386"/>
    </row>
    <row r="1954" spans="61:61">
      <c r="BI1954" s="386"/>
    </row>
    <row r="1955" spans="61:61">
      <c r="BI1955" s="386"/>
    </row>
    <row r="1956" spans="61:61">
      <c r="BI1956" s="386"/>
    </row>
    <row r="1957" spans="61:61">
      <c r="BI1957" s="386"/>
    </row>
    <row r="1958" spans="61:61">
      <c r="BI1958" s="386"/>
    </row>
    <row r="1959" spans="61:61">
      <c r="BI1959" s="386"/>
    </row>
    <row r="1960" spans="61:61">
      <c r="BI1960" s="386"/>
    </row>
    <row r="1961" spans="61:61">
      <c r="BI1961" s="386"/>
    </row>
    <row r="1962" spans="61:61">
      <c r="BI1962" s="386"/>
    </row>
    <row r="1963" spans="61:61">
      <c r="BI1963" s="386"/>
    </row>
    <row r="1964" spans="61:61">
      <c r="BI1964" s="386"/>
    </row>
    <row r="1965" spans="61:61">
      <c r="BI1965" s="386"/>
    </row>
    <row r="1966" spans="61:61">
      <c r="BI1966" s="386"/>
    </row>
    <row r="1967" spans="61:61">
      <c r="BI1967" s="386"/>
    </row>
    <row r="1968" spans="61:61">
      <c r="BI1968" s="386"/>
    </row>
    <row r="1969" spans="61:61">
      <c r="BI1969" s="386"/>
    </row>
    <row r="1970" spans="61:61">
      <c r="BI1970" s="386"/>
    </row>
    <row r="1971" spans="61:61">
      <c r="BI1971" s="386"/>
    </row>
    <row r="1972" spans="61:61">
      <c r="BI1972" s="386"/>
    </row>
    <row r="1973" spans="61:61">
      <c r="BI1973" s="386"/>
    </row>
    <row r="1974" spans="61:61">
      <c r="BI1974" s="386"/>
    </row>
    <row r="1975" spans="61:61">
      <c r="BI1975" s="386"/>
    </row>
    <row r="1976" spans="61:61">
      <c r="BI1976" s="386"/>
    </row>
    <row r="1977" spans="61:61">
      <c r="BI1977" s="386"/>
    </row>
    <row r="1978" spans="61:61">
      <c r="BI1978" s="386"/>
    </row>
    <row r="1979" spans="61:61">
      <c r="BI1979" s="386"/>
    </row>
    <row r="1980" spans="61:61">
      <c r="BI1980" s="386"/>
    </row>
    <row r="1981" spans="61:61">
      <c r="BI1981" s="386"/>
    </row>
    <row r="1982" spans="61:61">
      <c r="BI1982" s="386"/>
    </row>
    <row r="1983" spans="61:61">
      <c r="BI1983" s="386"/>
    </row>
    <row r="1984" spans="61:61">
      <c r="BI1984" s="386"/>
    </row>
    <row r="1985" spans="61:61">
      <c r="BI1985" s="386"/>
    </row>
    <row r="1986" spans="61:61">
      <c r="BI1986" s="386"/>
    </row>
    <row r="1987" spans="61:61">
      <c r="BI1987" s="386"/>
    </row>
    <row r="1988" spans="61:61">
      <c r="BI1988" s="386"/>
    </row>
    <row r="1989" spans="61:61">
      <c r="BI1989" s="386"/>
    </row>
    <row r="1990" spans="61:61">
      <c r="BI1990" s="386"/>
    </row>
    <row r="1991" spans="61:61">
      <c r="BI1991" s="386"/>
    </row>
    <row r="1992" spans="61:61">
      <c r="BI1992" s="386"/>
    </row>
    <row r="1993" spans="61:61">
      <c r="BI1993" s="386"/>
    </row>
    <row r="1994" spans="61:61">
      <c r="BI1994" s="386"/>
    </row>
    <row r="1995" spans="61:61">
      <c r="BI1995" s="386"/>
    </row>
    <row r="1996" spans="61:61">
      <c r="BI1996" s="386"/>
    </row>
    <row r="1997" spans="61:61">
      <c r="BI1997" s="386"/>
    </row>
    <row r="1998" spans="61:61">
      <c r="BI1998" s="386"/>
    </row>
    <row r="1999" spans="61:61">
      <c r="BI1999" s="386"/>
    </row>
    <row r="2000" spans="61:61">
      <c r="BI2000" s="386"/>
    </row>
    <row r="2001" spans="61:61">
      <c r="BI2001" s="386"/>
    </row>
    <row r="2002" spans="61:61">
      <c r="BI2002" s="386"/>
    </row>
    <row r="2003" spans="61:61">
      <c r="BI2003" s="386"/>
    </row>
    <row r="2004" spans="61:61">
      <c r="BI2004" s="386"/>
    </row>
    <row r="2005" spans="61:61">
      <c r="BI2005" s="386"/>
    </row>
    <row r="2006" spans="61:61">
      <c r="BI2006" s="386"/>
    </row>
    <row r="2007" spans="61:61">
      <c r="BI2007" s="386"/>
    </row>
    <row r="2008" spans="61:61">
      <c r="BI2008" s="386"/>
    </row>
    <row r="2009" spans="61:61">
      <c r="BI2009" s="386"/>
    </row>
    <row r="2010" spans="61:61">
      <c r="BI2010" s="386"/>
    </row>
    <row r="2011" spans="61:61">
      <c r="BI2011" s="386"/>
    </row>
    <row r="2012" spans="61:61">
      <c r="BI2012" s="386"/>
    </row>
    <row r="2013" spans="61:61">
      <c r="BI2013" s="386"/>
    </row>
    <row r="2014" spans="61:61">
      <c r="BI2014" s="386"/>
    </row>
    <row r="2015" spans="61:61">
      <c r="BI2015" s="386"/>
    </row>
    <row r="2016" spans="61:61">
      <c r="BI2016" s="386"/>
    </row>
    <row r="2017" spans="61:61">
      <c r="BI2017" s="386"/>
    </row>
    <row r="2018" spans="61:61">
      <c r="BI2018" s="386"/>
    </row>
    <row r="2019" spans="61:61">
      <c r="BI2019" s="386"/>
    </row>
    <row r="2020" spans="61:61">
      <c r="BI2020" s="386"/>
    </row>
    <row r="2021" spans="61:61">
      <c r="BI2021" s="386"/>
    </row>
    <row r="2022" spans="61:61">
      <c r="BI2022" s="386"/>
    </row>
    <row r="2023" spans="61:61">
      <c r="BI2023" s="386"/>
    </row>
    <row r="2024" spans="61:61">
      <c r="BI2024" s="386"/>
    </row>
    <row r="2025" spans="61:61">
      <c r="BI2025" s="386"/>
    </row>
    <row r="2026" spans="61:61">
      <c r="BI2026" s="386"/>
    </row>
    <row r="2027" spans="61:61">
      <c r="BI2027" s="386"/>
    </row>
    <row r="2028" spans="61:61">
      <c r="BI2028" s="386"/>
    </row>
    <row r="2029" spans="61:61">
      <c r="BI2029" s="386"/>
    </row>
    <row r="2030" spans="61:61">
      <c r="BI2030" s="386"/>
    </row>
    <row r="2031" spans="61:61">
      <c r="BI2031" s="386"/>
    </row>
    <row r="2032" spans="61:61">
      <c r="BI2032" s="386"/>
    </row>
    <row r="2033" spans="61:61">
      <c r="BI2033" s="386"/>
    </row>
    <row r="2034" spans="61:61">
      <c r="BI2034" s="386"/>
    </row>
    <row r="2035" spans="61:61">
      <c r="BI2035" s="386"/>
    </row>
    <row r="2036" spans="61:61">
      <c r="BI2036" s="386"/>
    </row>
    <row r="2037" spans="61:61">
      <c r="BI2037" s="386"/>
    </row>
    <row r="2038" spans="61:61">
      <c r="BI2038" s="386"/>
    </row>
    <row r="2039" spans="61:61">
      <c r="BI2039" s="386"/>
    </row>
    <row r="2040" spans="61:61">
      <c r="BI2040" s="386"/>
    </row>
    <row r="2041" spans="61:61">
      <c r="BI2041" s="386"/>
    </row>
    <row r="2042" spans="61:61">
      <c r="BI2042" s="386"/>
    </row>
    <row r="2043" spans="61:61">
      <c r="BI2043" s="386"/>
    </row>
    <row r="2044" spans="61:61">
      <c r="BI2044" s="386"/>
    </row>
    <row r="2045" spans="61:61">
      <c r="BI2045" s="386"/>
    </row>
    <row r="2046" spans="61:61">
      <c r="BI2046" s="386"/>
    </row>
    <row r="2047" spans="61:61">
      <c r="BI2047" s="386"/>
    </row>
    <row r="2048" spans="61:61">
      <c r="BI2048" s="386"/>
    </row>
    <row r="2049" spans="61:61">
      <c r="BI2049" s="386"/>
    </row>
    <row r="2050" spans="61:61">
      <c r="BI2050" s="386"/>
    </row>
    <row r="2051" spans="61:61">
      <c r="BI2051" s="386"/>
    </row>
    <row r="2052" spans="61:61">
      <c r="BI2052" s="386"/>
    </row>
    <row r="2053" spans="61:61">
      <c r="BI2053" s="386"/>
    </row>
    <row r="2054" spans="61:61">
      <c r="BI2054" s="386"/>
    </row>
    <row r="2055" spans="61:61">
      <c r="BI2055" s="386"/>
    </row>
    <row r="2056" spans="61:61">
      <c r="BI2056" s="386"/>
    </row>
    <row r="2057" spans="61:61">
      <c r="BI2057" s="386"/>
    </row>
    <row r="2058" spans="61:61">
      <c r="BI2058" s="386"/>
    </row>
    <row r="2059" spans="61:61">
      <c r="BI2059" s="386"/>
    </row>
    <row r="2060" spans="61:61">
      <c r="BI2060" s="386"/>
    </row>
    <row r="2061" spans="61:61">
      <c r="BI2061" s="386"/>
    </row>
    <row r="2062" spans="61:61">
      <c r="BI2062" s="386"/>
    </row>
    <row r="2063" spans="61:61">
      <c r="BI2063" s="386"/>
    </row>
    <row r="2064" spans="61:61">
      <c r="BI2064" s="386"/>
    </row>
    <row r="2065" spans="61:61">
      <c r="BI2065" s="386"/>
    </row>
    <row r="2066" spans="61:61">
      <c r="BI2066" s="386"/>
    </row>
    <row r="2067" spans="61:61">
      <c r="BI2067" s="386"/>
    </row>
    <row r="2068" spans="61:61">
      <c r="BI2068" s="386"/>
    </row>
    <row r="2069" spans="61:61">
      <c r="BI2069" s="386"/>
    </row>
    <row r="2070" spans="61:61">
      <c r="BI2070" s="386"/>
    </row>
    <row r="2071" spans="61:61">
      <c r="BI2071" s="386"/>
    </row>
    <row r="2072" spans="61:61">
      <c r="BI2072" s="386"/>
    </row>
    <row r="2073" spans="61:61">
      <c r="BI2073" s="386"/>
    </row>
    <row r="2074" spans="61:61">
      <c r="BI2074" s="386"/>
    </row>
    <row r="2075" spans="61:61">
      <c r="BI2075" s="386"/>
    </row>
    <row r="2076" spans="61:61">
      <c r="BI2076" s="386"/>
    </row>
    <row r="2077" spans="61:61">
      <c r="BI2077" s="386"/>
    </row>
    <row r="2078" spans="61:61">
      <c r="BI2078" s="386"/>
    </row>
    <row r="2079" spans="61:61">
      <c r="BI2079" s="386"/>
    </row>
    <row r="2080" spans="61:61">
      <c r="BI2080" s="386"/>
    </row>
    <row r="2081" spans="61:61">
      <c r="BI2081" s="386"/>
    </row>
    <row r="2082" spans="61:61">
      <c r="BI2082" s="386"/>
    </row>
    <row r="2083" spans="61:61">
      <c r="BI2083" s="386"/>
    </row>
    <row r="2084" spans="61:61">
      <c r="BI2084" s="386"/>
    </row>
    <row r="2085" spans="61:61">
      <c r="BI2085" s="386"/>
    </row>
    <row r="2086" spans="61:61">
      <c r="BI2086" s="386"/>
    </row>
    <row r="2087" spans="61:61">
      <c r="BI2087" s="386"/>
    </row>
    <row r="2088" spans="61:61">
      <c r="BI2088" s="386"/>
    </row>
    <row r="2089" spans="61:61">
      <c r="BI2089" s="386"/>
    </row>
    <row r="2090" spans="61:61">
      <c r="BI2090" s="386"/>
    </row>
    <row r="2091" spans="61:61">
      <c r="BI2091" s="386"/>
    </row>
    <row r="2092" spans="61:61">
      <c r="BI2092" s="386"/>
    </row>
    <row r="2093" spans="61:61">
      <c r="BI2093" s="386"/>
    </row>
    <row r="2094" spans="61:61">
      <c r="BI2094" s="386"/>
    </row>
    <row r="2095" spans="61:61">
      <c r="BI2095" s="386"/>
    </row>
    <row r="2096" spans="61:61">
      <c r="BI2096" s="386"/>
    </row>
    <row r="2097" spans="61:61">
      <c r="BI2097" s="386"/>
    </row>
    <row r="2098" spans="61:61">
      <c r="BI2098" s="386"/>
    </row>
    <row r="2099" spans="61:61">
      <c r="BI2099" s="386"/>
    </row>
    <row r="2100" spans="61:61">
      <c r="BI2100" s="386"/>
    </row>
    <row r="2101" spans="61:61">
      <c r="BI2101" s="386"/>
    </row>
    <row r="2102" spans="61:61">
      <c r="BI2102" s="386"/>
    </row>
    <row r="2103" spans="61:61">
      <c r="BI2103" s="386"/>
    </row>
    <row r="2104" spans="61:61">
      <c r="BI2104" s="386"/>
    </row>
    <row r="2105" spans="61:61">
      <c r="BI2105" s="386"/>
    </row>
    <row r="2106" spans="61:61">
      <c r="BI2106" s="386"/>
    </row>
    <row r="2107" spans="61:61">
      <c r="BI2107" s="386"/>
    </row>
    <row r="2108" spans="61:61">
      <c r="BI2108" s="386"/>
    </row>
    <row r="2109" spans="61:61">
      <c r="BI2109" s="386"/>
    </row>
    <row r="2110" spans="61:61">
      <c r="BI2110" s="386"/>
    </row>
    <row r="2111" spans="61:61">
      <c r="BI2111" s="386"/>
    </row>
    <row r="2112" spans="61:61">
      <c r="BI2112" s="386"/>
    </row>
    <row r="2113" spans="61:61">
      <c r="BI2113" s="386"/>
    </row>
    <row r="2114" spans="61:61">
      <c r="BI2114" s="386"/>
    </row>
    <row r="2115" spans="61:61">
      <c r="BI2115" s="386"/>
    </row>
    <row r="2116" spans="61:61">
      <c r="BI2116" s="386"/>
    </row>
    <row r="2117" spans="61:61">
      <c r="BI2117" s="386"/>
    </row>
    <row r="2118" spans="61:61">
      <c r="BI2118" s="386"/>
    </row>
    <row r="2119" spans="61:61">
      <c r="BI2119" s="386"/>
    </row>
    <row r="2120" spans="61:61">
      <c r="BI2120" s="386"/>
    </row>
    <row r="2121" spans="61:61">
      <c r="BI2121" s="386"/>
    </row>
    <row r="2122" spans="61:61">
      <c r="BI2122" s="386"/>
    </row>
    <row r="2123" spans="61:61">
      <c r="BI2123" s="386"/>
    </row>
    <row r="2124" spans="61:61">
      <c r="BI2124" s="386"/>
    </row>
    <row r="2125" spans="61:61">
      <c r="BI2125" s="386"/>
    </row>
    <row r="2126" spans="61:61">
      <c r="BI2126" s="386"/>
    </row>
    <row r="2127" spans="61:61">
      <c r="BI2127" s="386"/>
    </row>
    <row r="2128" spans="61:61">
      <c r="BI2128" s="386"/>
    </row>
    <row r="2129" spans="61:61">
      <c r="BI2129" s="386"/>
    </row>
    <row r="2130" spans="61:61">
      <c r="BI2130" s="386"/>
    </row>
    <row r="2131" spans="61:61">
      <c r="BI2131" s="386"/>
    </row>
    <row r="2132" spans="61:61">
      <c r="BI2132" s="386"/>
    </row>
    <row r="2133" spans="61:61">
      <c r="BI2133" s="386"/>
    </row>
    <row r="2134" spans="61:61">
      <c r="BI2134" s="386"/>
    </row>
    <row r="2135" spans="61:61">
      <c r="BI2135" s="386"/>
    </row>
    <row r="2136" spans="61:61">
      <c r="BI2136" s="386"/>
    </row>
    <row r="2137" spans="61:61">
      <c r="BI2137" s="386"/>
    </row>
    <row r="2138" spans="61:61">
      <c r="BI2138" s="386"/>
    </row>
    <row r="2139" spans="61:61">
      <c r="BI2139" s="386"/>
    </row>
    <row r="2140" spans="61:61">
      <c r="BI2140" s="386"/>
    </row>
    <row r="2141" spans="61:61">
      <c r="BI2141" s="386"/>
    </row>
    <row r="2142" spans="61:61">
      <c r="BI2142" s="386"/>
    </row>
    <row r="2143" spans="61:61">
      <c r="BI2143" s="386"/>
    </row>
    <row r="2144" spans="61:61">
      <c r="BI2144" s="386"/>
    </row>
    <row r="2145" spans="61:61">
      <c r="BI2145" s="386"/>
    </row>
    <row r="2146" spans="61:61">
      <c r="BI2146" s="386"/>
    </row>
    <row r="2147" spans="61:61">
      <c r="BI2147" s="386"/>
    </row>
    <row r="2148" spans="61:61">
      <c r="BI2148" s="386"/>
    </row>
    <row r="2149" spans="61:61">
      <c r="BI2149" s="386"/>
    </row>
    <row r="2150" spans="61:61">
      <c r="BI2150" s="386"/>
    </row>
    <row r="2151" spans="61:61">
      <c r="BI2151" s="386"/>
    </row>
    <row r="2152" spans="61:61">
      <c r="BI2152" s="386"/>
    </row>
    <row r="2153" spans="61:61">
      <c r="BI2153" s="386"/>
    </row>
    <row r="2154" spans="61:61">
      <c r="BI2154" s="386"/>
    </row>
    <row r="2155" spans="61:61">
      <c r="BI2155" s="386"/>
    </row>
    <row r="2156" spans="61:61">
      <c r="BI2156" s="386"/>
    </row>
    <row r="2157" spans="61:61">
      <c r="BI2157" s="386"/>
    </row>
    <row r="2158" spans="61:61">
      <c r="BI2158" s="386"/>
    </row>
    <row r="2159" spans="61:61">
      <c r="BI2159" s="386"/>
    </row>
    <row r="2160" spans="61:61">
      <c r="BI2160" s="386"/>
    </row>
    <row r="2161" spans="61:61">
      <c r="BI2161" s="386"/>
    </row>
    <row r="2162" spans="61:61">
      <c r="BI2162" s="386"/>
    </row>
    <row r="2163" spans="61:61">
      <c r="BI2163" s="386"/>
    </row>
    <row r="2164" spans="61:61">
      <c r="BI2164" s="386"/>
    </row>
    <row r="2165" spans="61:61">
      <c r="BI2165" s="386"/>
    </row>
    <row r="2166" spans="61:61">
      <c r="BI2166" s="386"/>
    </row>
    <row r="2167" spans="61:61">
      <c r="BI2167" s="386"/>
    </row>
    <row r="2168" spans="61:61">
      <c r="BI2168" s="386"/>
    </row>
    <row r="2169" spans="61:61">
      <c r="BI2169" s="386"/>
    </row>
    <row r="2170" spans="61:61">
      <c r="BI2170" s="386"/>
    </row>
    <row r="2171" spans="61:61">
      <c r="BI2171" s="386"/>
    </row>
    <row r="2172" spans="61:61">
      <c r="BI2172" s="386"/>
    </row>
    <row r="2173" spans="61:61">
      <c r="BI2173" s="386"/>
    </row>
    <row r="2174" spans="61:61">
      <c r="BI2174" s="386"/>
    </row>
    <row r="2175" spans="61:61">
      <c r="BI2175" s="386"/>
    </row>
    <row r="2176" spans="61:61">
      <c r="BI2176" s="386"/>
    </row>
    <row r="2177" spans="61:61">
      <c r="BI2177" s="386"/>
    </row>
    <row r="2178" spans="61:61">
      <c r="BI2178" s="386"/>
    </row>
    <row r="2179" spans="61:61">
      <c r="BI2179" s="386"/>
    </row>
    <row r="2180" spans="61:61">
      <c r="BI2180" s="386"/>
    </row>
    <row r="2181" spans="61:61">
      <c r="BI2181" s="386"/>
    </row>
    <row r="2182" spans="61:61">
      <c r="BI2182" s="386"/>
    </row>
    <row r="2183" spans="61:61">
      <c r="BI2183" s="386"/>
    </row>
    <row r="2184" spans="61:61">
      <c r="BI2184" s="386"/>
    </row>
    <row r="2185" spans="61:61">
      <c r="BI2185" s="386"/>
    </row>
    <row r="2186" spans="61:61">
      <c r="BI2186" s="386"/>
    </row>
    <row r="2187" spans="61:61">
      <c r="BI2187" s="386"/>
    </row>
    <row r="2188" spans="61:61">
      <c r="BI2188" s="386"/>
    </row>
    <row r="2189" spans="61:61">
      <c r="BI2189" s="386"/>
    </row>
    <row r="2190" spans="61:61">
      <c r="BI2190" s="386"/>
    </row>
    <row r="2191" spans="61:61">
      <c r="BI2191" s="386"/>
    </row>
    <row r="2192" spans="61:61">
      <c r="BI2192" s="386"/>
    </row>
    <row r="2193" spans="61:61">
      <c r="BI2193" s="386"/>
    </row>
    <row r="2194" spans="61:61">
      <c r="BI2194" s="386"/>
    </row>
    <row r="2195" spans="61:61">
      <c r="BI2195" s="386"/>
    </row>
    <row r="2196" spans="61:61">
      <c r="BI2196" s="386"/>
    </row>
    <row r="2197" spans="61:61">
      <c r="BI2197" s="386"/>
    </row>
    <row r="2198" spans="61:61">
      <c r="BI2198" s="386"/>
    </row>
    <row r="2199" spans="61:61">
      <c r="BI2199" s="386"/>
    </row>
    <row r="2200" spans="61:61">
      <c r="BI2200" s="386"/>
    </row>
    <row r="2201" spans="61:61">
      <c r="BI2201" s="386"/>
    </row>
    <row r="2202" spans="61:61">
      <c r="BI2202" s="386"/>
    </row>
    <row r="2203" spans="61:61">
      <c r="BI2203" s="386"/>
    </row>
    <row r="2204" spans="61:61">
      <c r="BI2204" s="386"/>
    </row>
    <row r="2205" spans="61:61">
      <c r="BI2205" s="386"/>
    </row>
    <row r="2206" spans="61:61">
      <c r="BI2206" s="386"/>
    </row>
    <row r="2207" spans="61:61">
      <c r="BI2207" s="386"/>
    </row>
    <row r="2208" spans="61:61">
      <c r="BI2208" s="386"/>
    </row>
    <row r="2209" spans="61:61">
      <c r="BI2209" s="386"/>
    </row>
    <row r="2210" spans="61:61">
      <c r="BI2210" s="386"/>
    </row>
    <row r="2211" spans="61:61">
      <c r="BI2211" s="386"/>
    </row>
    <row r="2212" spans="61:61">
      <c r="BI2212" s="386"/>
    </row>
    <row r="2213" spans="61:61">
      <c r="BI2213" s="386"/>
    </row>
    <row r="2214" spans="61:61">
      <c r="BI2214" s="386"/>
    </row>
    <row r="2215" spans="61:61">
      <c r="BI2215" s="386"/>
    </row>
    <row r="2216" spans="61:61">
      <c r="BI2216" s="386"/>
    </row>
    <row r="2217" spans="61:61">
      <c r="BI2217" s="386"/>
    </row>
    <row r="2218" spans="61:61">
      <c r="BI2218" s="386"/>
    </row>
    <row r="2219" spans="61:61">
      <c r="BI2219" s="386"/>
    </row>
    <row r="2220" spans="61:61">
      <c r="BI2220" s="386"/>
    </row>
    <row r="2221" spans="61:61">
      <c r="BI2221" s="386"/>
    </row>
    <row r="2222" spans="61:61">
      <c r="BI2222" s="386"/>
    </row>
    <row r="2223" spans="61:61">
      <c r="BI2223" s="386"/>
    </row>
    <row r="2224" spans="61:61">
      <c r="BI2224" s="386"/>
    </row>
    <row r="2225" spans="61:61">
      <c r="BI2225" s="386"/>
    </row>
    <row r="2226" spans="61:61">
      <c r="BI2226" s="386"/>
    </row>
    <row r="2227" spans="61:61">
      <c r="BI2227" s="386"/>
    </row>
    <row r="2228" spans="61:61">
      <c r="BI2228" s="386"/>
    </row>
    <row r="2229" spans="61:61">
      <c r="BI2229" s="386"/>
    </row>
    <row r="2230" spans="61:61">
      <c r="BI2230" s="386"/>
    </row>
    <row r="2231" spans="61:61">
      <c r="BI2231" s="386"/>
    </row>
    <row r="2232" spans="61:61">
      <c r="BI2232" s="386"/>
    </row>
    <row r="2233" spans="61:61">
      <c r="BI2233" s="386"/>
    </row>
    <row r="2234" spans="61:61">
      <c r="BI2234" s="386"/>
    </row>
    <row r="2235" spans="61:61">
      <c r="BI2235" s="386"/>
    </row>
    <row r="2236" spans="61:61">
      <c r="BI2236" s="386"/>
    </row>
    <row r="2237" spans="61:61">
      <c r="BI2237" s="386"/>
    </row>
    <row r="2238" spans="61:61">
      <c r="BI2238" s="386"/>
    </row>
    <row r="2239" spans="61:61">
      <c r="BI2239" s="386"/>
    </row>
    <row r="2240" spans="61:61">
      <c r="BI2240" s="386"/>
    </row>
    <row r="2241" spans="61:61">
      <c r="BI2241" s="386"/>
    </row>
    <row r="2242" spans="61:61">
      <c r="BI2242" s="386"/>
    </row>
    <row r="2243" spans="61:61">
      <c r="BI2243" s="386"/>
    </row>
    <row r="2244" spans="61:61">
      <c r="BI2244" s="386"/>
    </row>
    <row r="2245" spans="61:61">
      <c r="BI2245" s="386"/>
    </row>
    <row r="2246" spans="61:61">
      <c r="BI2246" s="386"/>
    </row>
    <row r="2247" spans="61:61">
      <c r="BI2247" s="386"/>
    </row>
    <row r="2248" spans="61:61">
      <c r="BI2248" s="386"/>
    </row>
    <row r="2249" spans="61:61">
      <c r="BI2249" s="386"/>
    </row>
    <row r="2250" spans="61:61">
      <c r="BI2250" s="386"/>
    </row>
    <row r="2251" spans="61:61">
      <c r="BI2251" s="386"/>
    </row>
    <row r="2252" spans="61:61">
      <c r="BI2252" s="386"/>
    </row>
    <row r="2253" spans="61:61">
      <c r="BI2253" s="386"/>
    </row>
    <row r="2254" spans="61:61">
      <c r="BI2254" s="386"/>
    </row>
    <row r="2255" spans="61:61">
      <c r="BI2255" s="386"/>
    </row>
    <row r="2256" spans="61:61">
      <c r="BI2256" s="386"/>
    </row>
    <row r="2257" spans="61:61">
      <c r="BI2257" s="386"/>
    </row>
    <row r="2258" spans="61:61">
      <c r="BI2258" s="386"/>
    </row>
    <row r="2259" spans="61:61">
      <c r="BI2259" s="386"/>
    </row>
    <row r="2260" spans="61:61">
      <c r="BI2260" s="386"/>
    </row>
    <row r="2261" spans="61:61">
      <c r="BI2261" s="386"/>
    </row>
    <row r="2262" spans="61:61">
      <c r="BI2262" s="386"/>
    </row>
    <row r="2263" spans="61:61">
      <c r="BI2263" s="386"/>
    </row>
    <row r="2264" spans="61:61">
      <c r="BI2264" s="386"/>
    </row>
    <row r="2265" spans="61:61">
      <c r="BI2265" s="386"/>
    </row>
    <row r="2266" spans="61:61">
      <c r="BI2266" s="386"/>
    </row>
    <row r="2267" spans="61:61">
      <c r="BI2267" s="386"/>
    </row>
    <row r="2268" spans="61:61">
      <c r="BI2268" s="386"/>
    </row>
    <row r="2269" spans="61:61">
      <c r="BI2269" s="386"/>
    </row>
    <row r="2270" spans="61:61">
      <c r="BI2270" s="386"/>
    </row>
    <row r="2271" spans="61:61">
      <c r="BI2271" s="386"/>
    </row>
    <row r="2272" spans="61:61">
      <c r="BI2272" s="386"/>
    </row>
    <row r="2273" spans="61:61">
      <c r="BI2273" s="386"/>
    </row>
    <row r="2274" spans="61:61">
      <c r="BI2274" s="386"/>
    </row>
    <row r="2275" spans="61:61">
      <c r="BI2275" s="386"/>
    </row>
    <row r="2276" spans="61:61">
      <c r="BI2276" s="386"/>
    </row>
    <row r="2277" spans="61:61">
      <c r="BI2277" s="386"/>
    </row>
    <row r="2278" spans="61:61">
      <c r="BI2278" s="386"/>
    </row>
    <row r="2279" spans="61:61">
      <c r="BI2279" s="386"/>
    </row>
    <row r="2280" spans="61:61">
      <c r="BI2280" s="386"/>
    </row>
    <row r="2281" spans="61:61">
      <c r="BI2281" s="386"/>
    </row>
    <row r="2282" spans="61:61">
      <c r="BI2282" s="386"/>
    </row>
    <row r="2283" spans="61:61">
      <c r="BI2283" s="386"/>
    </row>
    <row r="2284" spans="61:61">
      <c r="BI2284" s="386"/>
    </row>
    <row r="2285" spans="61:61">
      <c r="BI2285" s="386"/>
    </row>
    <row r="2286" spans="61:61">
      <c r="BI2286" s="386"/>
    </row>
    <row r="2287" spans="61:61">
      <c r="BI2287" s="386"/>
    </row>
    <row r="2288" spans="61:61">
      <c r="BI2288" s="386"/>
    </row>
    <row r="2289" spans="61:61">
      <c r="BI2289" s="386"/>
    </row>
    <row r="2290" spans="61:61">
      <c r="BI2290" s="386"/>
    </row>
    <row r="2291" spans="61:61">
      <c r="BI2291" s="386"/>
    </row>
    <row r="2292" spans="61:61">
      <c r="BI2292" s="386"/>
    </row>
    <row r="2293" spans="61:61">
      <c r="BI2293" s="386"/>
    </row>
    <row r="2294" spans="61:61">
      <c r="BI2294" s="386"/>
    </row>
    <row r="2295" spans="61:61">
      <c r="BI2295" s="386"/>
    </row>
    <row r="2296" spans="61:61">
      <c r="BI2296" s="386"/>
    </row>
    <row r="2297" spans="61:61">
      <c r="BI2297" s="386"/>
    </row>
    <row r="2298" spans="61:61">
      <c r="BI2298" s="386"/>
    </row>
    <row r="2299" spans="61:61">
      <c r="BI2299" s="386"/>
    </row>
    <row r="2300" spans="61:61">
      <c r="BI2300" s="386"/>
    </row>
    <row r="2301" spans="61:61">
      <c r="BI2301" s="386"/>
    </row>
    <row r="2302" spans="61:61">
      <c r="BI2302" s="386"/>
    </row>
    <row r="2303" spans="61:61">
      <c r="BI2303" s="386"/>
    </row>
    <row r="2304" spans="61:61">
      <c r="BI2304" s="386"/>
    </row>
    <row r="2305" spans="61:61">
      <c r="BI2305" s="386"/>
    </row>
    <row r="2306" spans="61:61">
      <c r="BI2306" s="386"/>
    </row>
    <row r="2307" spans="61:61">
      <c r="BI2307" s="386"/>
    </row>
    <row r="2308" spans="61:61">
      <c r="BI2308" s="386"/>
    </row>
    <row r="2309" spans="61:61">
      <c r="BI2309" s="386"/>
    </row>
    <row r="2310" spans="61:61">
      <c r="BI2310" s="386"/>
    </row>
    <row r="2311" spans="61:61">
      <c r="BI2311" s="386"/>
    </row>
    <row r="2312" spans="61:61">
      <c r="BI2312" s="386"/>
    </row>
    <row r="2313" spans="61:61">
      <c r="BI2313" s="386"/>
    </row>
    <row r="2314" spans="61:61">
      <c r="BI2314" s="386"/>
    </row>
    <row r="2315" spans="61:61">
      <c r="BI2315" s="386"/>
    </row>
    <row r="2316" spans="61:61">
      <c r="BI2316" s="386"/>
    </row>
    <row r="2317" spans="61:61">
      <c r="BI2317" s="386"/>
    </row>
    <row r="2318" spans="61:61">
      <c r="BI2318" s="386"/>
    </row>
    <row r="2319" spans="61:61">
      <c r="BI2319" s="386"/>
    </row>
    <row r="2320" spans="61:61">
      <c r="BI2320" s="386"/>
    </row>
    <row r="2321" spans="61:61">
      <c r="BI2321" s="386"/>
    </row>
    <row r="2322" spans="61:61">
      <c r="BI2322" s="386"/>
    </row>
    <row r="2323" spans="61:61">
      <c r="BI2323" s="386"/>
    </row>
    <row r="2324" spans="61:61">
      <c r="BI2324" s="386"/>
    </row>
    <row r="2325" spans="61:61">
      <c r="BI2325" s="386"/>
    </row>
    <row r="2326" spans="61:61">
      <c r="BI2326" s="386"/>
    </row>
    <row r="2327" spans="61:61">
      <c r="BI2327" s="386"/>
    </row>
    <row r="2328" spans="61:61">
      <c r="BI2328" s="386"/>
    </row>
    <row r="2329" spans="61:61">
      <c r="BI2329" s="386"/>
    </row>
    <row r="2330" spans="61:61">
      <c r="BI2330" s="386"/>
    </row>
    <row r="2331" spans="61:61">
      <c r="BI2331" s="386"/>
    </row>
    <row r="2332" spans="61:61">
      <c r="BI2332" s="386"/>
    </row>
    <row r="2333" spans="61:61">
      <c r="BI2333" s="386"/>
    </row>
    <row r="2334" spans="61:61">
      <c r="BI2334" s="386"/>
    </row>
    <row r="2335" spans="61:61">
      <c r="BI2335" s="386"/>
    </row>
    <row r="2336" spans="61:61">
      <c r="BI2336" s="386"/>
    </row>
    <row r="2337" spans="61:61">
      <c r="BI2337" s="386"/>
    </row>
    <row r="2338" spans="61:61">
      <c r="BI2338" s="386"/>
    </row>
    <row r="2339" spans="61:61">
      <c r="BI2339" s="386"/>
    </row>
    <row r="2340" spans="61:61">
      <c r="BI2340" s="386"/>
    </row>
    <row r="2341" spans="61:61">
      <c r="BI2341" s="386"/>
    </row>
    <row r="2342" spans="61:61">
      <c r="BI2342" s="386"/>
    </row>
    <row r="2343" spans="61:61">
      <c r="BI2343" s="386"/>
    </row>
    <row r="2344" spans="61:61">
      <c r="BI2344" s="386"/>
    </row>
    <row r="2345" spans="61:61">
      <c r="BI2345" s="386"/>
    </row>
    <row r="2346" spans="61:61">
      <c r="BI2346" s="386"/>
    </row>
    <row r="2347" spans="61:61">
      <c r="BI2347" s="386"/>
    </row>
    <row r="2348" spans="61:61">
      <c r="BI2348" s="386"/>
    </row>
    <row r="2349" spans="61:61">
      <c r="BI2349" s="386"/>
    </row>
    <row r="2350" spans="61:61">
      <c r="BI2350" s="386"/>
    </row>
    <row r="2351" spans="61:61">
      <c r="BI2351" s="386"/>
    </row>
    <row r="2352" spans="61:61">
      <c r="BI2352" s="386"/>
    </row>
    <row r="2353" spans="61:61">
      <c r="BI2353" s="386"/>
    </row>
    <row r="2354" spans="61:61">
      <c r="BI2354" s="386"/>
    </row>
    <row r="2355" spans="61:61">
      <c r="BI2355" s="386"/>
    </row>
    <row r="2356" spans="61:61">
      <c r="BI2356" s="386"/>
    </row>
    <row r="2357" spans="61:61">
      <c r="BI2357" s="386"/>
    </row>
    <row r="2358" spans="61:61">
      <c r="BI2358" s="386"/>
    </row>
    <row r="2359" spans="61:61">
      <c r="BI2359" s="386"/>
    </row>
    <row r="2360" spans="61:61">
      <c r="BI2360" s="386"/>
    </row>
    <row r="2361" spans="61:61">
      <c r="BI2361" s="386"/>
    </row>
    <row r="2362" spans="61:61">
      <c r="BI2362" s="386"/>
    </row>
    <row r="2363" spans="61:61">
      <c r="BI2363" s="386"/>
    </row>
    <row r="2364" spans="61:61">
      <c r="BI2364" s="386"/>
    </row>
    <row r="2365" spans="61:61">
      <c r="BI2365" s="386"/>
    </row>
    <row r="2366" spans="61:61">
      <c r="BI2366" s="386"/>
    </row>
    <row r="2367" spans="61:61">
      <c r="BI2367" s="386"/>
    </row>
    <row r="2368" spans="61:61">
      <c r="BI2368" s="386"/>
    </row>
    <row r="2369" spans="61:61">
      <c r="BI2369" s="386"/>
    </row>
    <row r="2370" spans="61:61">
      <c r="BI2370" s="386"/>
    </row>
    <row r="2371" spans="61:61">
      <c r="BI2371" s="386"/>
    </row>
    <row r="2372" spans="61:61">
      <c r="BI2372" s="386"/>
    </row>
    <row r="2373" spans="61:61">
      <c r="BI2373" s="386"/>
    </row>
    <row r="2374" spans="61:61">
      <c r="BI2374" s="386"/>
    </row>
    <row r="2375" spans="61:61">
      <c r="BI2375" s="386"/>
    </row>
    <row r="2376" spans="61:61">
      <c r="BI2376" s="386"/>
    </row>
    <row r="2377" spans="61:61">
      <c r="BI2377" s="386"/>
    </row>
    <row r="2378" spans="61:61">
      <c r="BI2378" s="386"/>
    </row>
    <row r="2379" spans="61:61">
      <c r="BI2379" s="386"/>
    </row>
    <row r="2380" spans="61:61">
      <c r="BI2380" s="386"/>
    </row>
    <row r="2381" spans="61:61">
      <c r="BI2381" s="386"/>
    </row>
    <row r="2382" spans="61:61">
      <c r="BI2382" s="386"/>
    </row>
    <row r="2383" spans="61:61">
      <c r="BI2383" s="386"/>
    </row>
    <row r="2384" spans="61:61">
      <c r="BI2384" s="386"/>
    </row>
    <row r="2385" spans="61:61">
      <c r="BI2385" s="386"/>
    </row>
    <row r="2386" spans="61:61">
      <c r="BI2386" s="386"/>
    </row>
    <row r="2387" spans="61:61">
      <c r="BI2387" s="386"/>
    </row>
    <row r="2388" spans="61:61">
      <c r="BI2388" s="386"/>
    </row>
    <row r="2389" spans="61:61">
      <c r="BI2389" s="386"/>
    </row>
    <row r="2390" spans="61:61">
      <c r="BI2390" s="386"/>
    </row>
    <row r="2391" spans="61:61">
      <c r="BI2391" s="386"/>
    </row>
    <row r="2392" spans="61:61">
      <c r="BI2392" s="386"/>
    </row>
    <row r="2393" spans="61:61">
      <c r="BI2393" s="386"/>
    </row>
    <row r="2394" spans="61:61">
      <c r="BI2394" s="386"/>
    </row>
    <row r="2395" spans="61:61">
      <c r="BI2395" s="386"/>
    </row>
    <row r="2396" spans="61:61">
      <c r="BI2396" s="386"/>
    </row>
    <row r="2397" spans="61:61">
      <c r="BI2397" s="386"/>
    </row>
    <row r="2398" spans="61:61">
      <c r="BI2398" s="386"/>
    </row>
    <row r="2399" spans="61:61">
      <c r="BI2399" s="386"/>
    </row>
    <row r="2400" spans="61:61">
      <c r="BI2400" s="386"/>
    </row>
    <row r="2401" spans="61:61">
      <c r="BI2401" s="386"/>
    </row>
    <row r="2402" spans="61:61">
      <c r="BI2402" s="386"/>
    </row>
    <row r="2403" spans="61:61">
      <c r="BI2403" s="386"/>
    </row>
    <row r="2404" spans="61:61">
      <c r="BI2404" s="386"/>
    </row>
    <row r="2405" spans="61:61">
      <c r="BI2405" s="386"/>
    </row>
    <row r="2406" spans="61:61">
      <c r="BI2406" s="386"/>
    </row>
    <row r="2407" spans="61:61">
      <c r="BI2407" s="386"/>
    </row>
    <row r="2408" spans="61:61">
      <c r="BI2408" s="386"/>
    </row>
    <row r="2409" spans="61:61">
      <c r="BI2409" s="386"/>
    </row>
    <row r="2410" spans="61:61">
      <c r="BI2410" s="386"/>
    </row>
    <row r="2411" spans="61:61">
      <c r="BI2411" s="386"/>
    </row>
    <row r="2412" spans="61:61">
      <c r="BI2412" s="386"/>
    </row>
    <row r="2413" spans="61:61">
      <c r="BI2413" s="386"/>
    </row>
    <row r="2414" spans="61:61">
      <c r="BI2414" s="386"/>
    </row>
    <row r="2415" spans="61:61">
      <c r="BI2415" s="386"/>
    </row>
    <row r="2416" spans="61:61">
      <c r="BI2416" s="386"/>
    </row>
    <row r="2417" spans="61:61">
      <c r="BI2417" s="386"/>
    </row>
    <row r="2418" spans="61:61">
      <c r="BI2418" s="386"/>
    </row>
    <row r="2419" spans="61:61">
      <c r="BI2419" s="386"/>
    </row>
    <row r="2420" spans="61:61">
      <c r="BI2420" s="386"/>
    </row>
    <row r="2421" spans="61:61">
      <c r="BI2421" s="386"/>
    </row>
    <row r="2422" spans="61:61">
      <c r="BI2422" s="386"/>
    </row>
    <row r="2423" spans="61:61">
      <c r="BI2423" s="386"/>
    </row>
    <row r="2424" spans="61:61">
      <c r="BI2424" s="386"/>
    </row>
    <row r="2425" spans="61:61">
      <c r="BI2425" s="386"/>
    </row>
    <row r="2426" spans="61:61">
      <c r="BI2426" s="386"/>
    </row>
    <row r="2427" spans="61:61">
      <c r="BI2427" s="386"/>
    </row>
    <row r="2428" spans="61:61">
      <c r="BI2428" s="386"/>
    </row>
    <row r="2429" spans="61:61">
      <c r="BI2429" s="386"/>
    </row>
    <row r="2430" spans="61:61">
      <c r="BI2430" s="386"/>
    </row>
    <row r="2431" spans="61:61">
      <c r="BI2431" s="386"/>
    </row>
    <row r="2432" spans="61:61">
      <c r="BI2432" s="386"/>
    </row>
    <row r="2433" spans="61:61">
      <c r="BI2433" s="386"/>
    </row>
    <row r="2434" spans="61:61">
      <c r="BI2434" s="386"/>
    </row>
    <row r="2435" spans="61:61">
      <c r="BI2435" s="386"/>
    </row>
    <row r="2436" spans="61:61">
      <c r="BI2436" s="386"/>
    </row>
    <row r="2437" spans="61:61">
      <c r="BI2437" s="386"/>
    </row>
    <row r="2438" spans="61:61">
      <c r="BI2438" s="386"/>
    </row>
    <row r="2439" spans="61:61">
      <c r="BI2439" s="386"/>
    </row>
    <row r="2440" spans="61:61">
      <c r="BI2440" s="386"/>
    </row>
    <row r="2441" spans="61:61">
      <c r="BI2441" s="386"/>
    </row>
    <row r="2442" spans="61:61">
      <c r="BI2442" s="386"/>
    </row>
    <row r="2443" spans="61:61">
      <c r="BI2443" s="386"/>
    </row>
    <row r="2444" spans="61:61">
      <c r="BI2444" s="386"/>
    </row>
    <row r="2445" spans="61:61">
      <c r="BI2445" s="386"/>
    </row>
    <row r="2446" spans="61:61">
      <c r="BI2446" s="386"/>
    </row>
    <row r="2447" spans="61:61">
      <c r="BI2447" s="386"/>
    </row>
    <row r="2448" spans="61:61">
      <c r="BI2448" s="386"/>
    </row>
    <row r="2449" spans="61:61">
      <c r="BI2449" s="386"/>
    </row>
    <row r="2450" spans="61:61">
      <c r="BI2450" s="386"/>
    </row>
    <row r="2451" spans="61:61">
      <c r="BI2451" s="386"/>
    </row>
    <row r="2452" spans="61:61">
      <c r="BI2452" s="386"/>
    </row>
    <row r="2453" spans="61:61">
      <c r="BI2453" s="386"/>
    </row>
    <row r="2454" spans="61:61">
      <c r="BI2454" s="386"/>
    </row>
    <row r="2455" spans="61:61">
      <c r="BI2455" s="386"/>
    </row>
    <row r="2456" spans="61:61">
      <c r="BI2456" s="386"/>
    </row>
    <row r="2457" spans="61:61">
      <c r="BI2457" s="386"/>
    </row>
    <row r="2458" spans="61:61">
      <c r="BI2458" s="386"/>
    </row>
    <row r="2459" spans="61:61">
      <c r="BI2459" s="386"/>
    </row>
    <row r="2460" spans="61:61">
      <c r="BI2460" s="386"/>
    </row>
    <row r="2461" spans="61:61">
      <c r="BI2461" s="386"/>
    </row>
    <row r="2462" spans="61:61">
      <c r="BI2462" s="386"/>
    </row>
    <row r="2463" spans="61:61">
      <c r="BI2463" s="386"/>
    </row>
    <row r="2464" spans="61:61">
      <c r="BI2464" s="386"/>
    </row>
    <row r="2465" spans="61:61">
      <c r="BI2465" s="386"/>
    </row>
    <row r="2466" spans="61:61">
      <c r="BI2466" s="386"/>
    </row>
    <row r="2467" spans="61:61">
      <c r="BI2467" s="386"/>
    </row>
    <row r="2468" spans="61:61">
      <c r="BI2468" s="386"/>
    </row>
    <row r="2469" spans="61:61">
      <c r="BI2469" s="386"/>
    </row>
    <row r="2470" spans="61:61">
      <c r="BI2470" s="386"/>
    </row>
    <row r="2471" spans="61:61">
      <c r="BI2471" s="386"/>
    </row>
    <row r="2472" spans="61:61">
      <c r="BI2472" s="386"/>
    </row>
    <row r="2473" spans="61:61">
      <c r="BI2473" s="386"/>
    </row>
    <row r="2474" spans="61:61">
      <c r="BI2474" s="386"/>
    </row>
    <row r="2475" spans="61:61">
      <c r="BI2475" s="386"/>
    </row>
    <row r="2476" spans="61:61">
      <c r="BI2476" s="386"/>
    </row>
    <row r="2477" spans="61:61">
      <c r="BI2477" s="386"/>
    </row>
    <row r="2478" spans="61:61">
      <c r="BI2478" s="386"/>
    </row>
    <row r="2479" spans="61:61">
      <c r="BI2479" s="386"/>
    </row>
    <row r="2480" spans="61:61">
      <c r="BI2480" s="386"/>
    </row>
    <row r="2481" spans="61:61">
      <c r="BI2481" s="386"/>
    </row>
    <row r="2482" spans="61:61">
      <c r="BI2482" s="386"/>
    </row>
    <row r="2483" spans="61:61">
      <c r="BI2483" s="386"/>
    </row>
    <row r="2484" spans="61:61">
      <c r="BI2484" s="386"/>
    </row>
    <row r="2485" spans="61:61">
      <c r="BI2485" s="386"/>
    </row>
    <row r="2486" spans="61:61">
      <c r="BI2486" s="386"/>
    </row>
    <row r="2487" spans="61:61">
      <c r="BI2487" s="386"/>
    </row>
    <row r="2488" spans="61:61">
      <c r="BI2488" s="386"/>
    </row>
    <row r="2489" spans="61:61">
      <c r="BI2489" s="386"/>
    </row>
    <row r="2490" spans="61:61">
      <c r="BI2490" s="386"/>
    </row>
    <row r="2491" spans="61:61">
      <c r="BI2491" s="386"/>
    </row>
    <row r="2492" spans="61:61">
      <c r="BI2492" s="386"/>
    </row>
    <row r="2493" spans="61:61">
      <c r="BI2493" s="386"/>
    </row>
    <row r="2494" spans="61:61">
      <c r="BI2494" s="386"/>
    </row>
    <row r="2495" spans="61:61">
      <c r="BI2495" s="386"/>
    </row>
    <row r="2496" spans="61:61">
      <c r="BI2496" s="386"/>
    </row>
    <row r="2497" spans="61:61">
      <c r="BI2497" s="386"/>
    </row>
    <row r="2498" spans="61:61">
      <c r="BI2498" s="386"/>
    </row>
    <row r="2499" spans="61:61">
      <c r="BI2499" s="386"/>
    </row>
    <row r="2500" spans="61:61">
      <c r="BI2500" s="386"/>
    </row>
    <row r="2501" spans="61:61">
      <c r="BI2501" s="386"/>
    </row>
    <row r="2502" spans="61:61">
      <c r="BI2502" s="386"/>
    </row>
    <row r="2503" spans="61:61">
      <c r="BI2503" s="386"/>
    </row>
    <row r="2504" spans="61:61">
      <c r="BI2504" s="386"/>
    </row>
    <row r="2505" spans="61:61">
      <c r="BI2505" s="386"/>
    </row>
    <row r="2506" spans="61:61">
      <c r="BI2506" s="386"/>
    </row>
    <row r="2507" spans="61:61">
      <c r="BI2507" s="386"/>
    </row>
    <row r="2508" spans="61:61">
      <c r="BI2508" s="386"/>
    </row>
    <row r="2509" spans="61:61">
      <c r="BI2509" s="386"/>
    </row>
    <row r="2510" spans="61:61">
      <c r="BI2510" s="386"/>
    </row>
    <row r="2511" spans="61:61">
      <c r="BI2511" s="386"/>
    </row>
    <row r="2512" spans="61:61">
      <c r="BI2512" s="386"/>
    </row>
    <row r="2513" spans="61:61">
      <c r="BI2513" s="386"/>
    </row>
    <row r="2514" spans="61:61">
      <c r="BI2514" s="386"/>
    </row>
    <row r="2515" spans="61:61">
      <c r="BI2515" s="386"/>
    </row>
    <row r="2516" spans="61:61">
      <c r="BI2516" s="386"/>
    </row>
    <row r="2517" spans="61:61">
      <c r="BI2517" s="386"/>
    </row>
    <row r="2518" spans="61:61">
      <c r="BI2518" s="386"/>
    </row>
    <row r="2519" spans="61:61">
      <c r="BI2519" s="386"/>
    </row>
    <row r="2520" spans="61:61">
      <c r="BI2520" s="386"/>
    </row>
    <row r="2521" spans="61:61">
      <c r="BI2521" s="386"/>
    </row>
    <row r="2522" spans="61:61">
      <c r="BI2522" s="386"/>
    </row>
    <row r="2523" spans="61:61">
      <c r="BI2523" s="386"/>
    </row>
    <row r="2524" spans="61:61">
      <c r="BI2524" s="386"/>
    </row>
    <row r="2525" spans="61:61">
      <c r="BI2525" s="386"/>
    </row>
    <row r="2526" spans="61:61">
      <c r="BI2526" s="386"/>
    </row>
    <row r="2527" spans="61:61">
      <c r="BI2527" s="386"/>
    </row>
    <row r="2528" spans="61:61">
      <c r="BI2528" s="386"/>
    </row>
    <row r="2529" spans="61:61">
      <c r="BI2529" s="386"/>
    </row>
    <row r="2530" spans="61:61">
      <c r="BI2530" s="386"/>
    </row>
    <row r="2531" spans="61:61">
      <c r="BI2531" s="386"/>
    </row>
    <row r="2532" spans="61:61">
      <c r="BI2532" s="386"/>
    </row>
    <row r="2533" spans="61:61">
      <c r="BI2533" s="386"/>
    </row>
    <row r="2534" spans="61:61">
      <c r="BI2534" s="386"/>
    </row>
    <row r="2535" spans="61:61">
      <c r="BI2535" s="386"/>
    </row>
    <row r="2536" spans="61:61">
      <c r="BI2536" s="386"/>
    </row>
    <row r="2537" spans="61:61">
      <c r="BI2537" s="386"/>
    </row>
    <row r="2538" spans="61:61">
      <c r="BI2538" s="386"/>
    </row>
    <row r="2539" spans="61:61">
      <c r="BI2539" s="386"/>
    </row>
    <row r="2540" spans="61:61">
      <c r="BI2540" s="386"/>
    </row>
    <row r="2541" spans="61:61">
      <c r="BI2541" s="386"/>
    </row>
    <row r="2542" spans="61:61">
      <c r="BI2542" s="386"/>
    </row>
    <row r="2543" spans="61:61">
      <c r="BI2543" s="386"/>
    </row>
    <row r="2544" spans="61:61">
      <c r="BI2544" s="386"/>
    </row>
    <row r="2545" spans="61:61">
      <c r="BI2545" s="386"/>
    </row>
    <row r="2546" spans="61:61">
      <c r="BI2546" s="386"/>
    </row>
    <row r="2547" spans="61:61">
      <c r="BI2547" s="386"/>
    </row>
    <row r="2548" spans="61:61">
      <c r="BI2548" s="386"/>
    </row>
    <row r="2549" spans="61:61">
      <c r="BI2549" s="386"/>
    </row>
    <row r="2550" spans="61:61">
      <c r="BI2550" s="386"/>
    </row>
    <row r="2551" spans="61:61">
      <c r="BI2551" s="386"/>
    </row>
    <row r="2552" spans="61:61">
      <c r="BI2552" s="386"/>
    </row>
    <row r="2553" spans="61:61">
      <c r="BI2553" s="386"/>
    </row>
    <row r="2554" spans="61:61">
      <c r="BI2554" s="386"/>
    </row>
    <row r="2555" spans="61:61">
      <c r="BI2555" s="386"/>
    </row>
    <row r="2556" spans="61:61">
      <c r="BI2556" s="386"/>
    </row>
    <row r="2557" spans="61:61">
      <c r="BI2557" s="386"/>
    </row>
    <row r="2558" spans="61:61">
      <c r="BI2558" s="386"/>
    </row>
    <row r="2559" spans="61:61">
      <c r="BI2559" s="386"/>
    </row>
    <row r="2560" spans="61:61">
      <c r="BI2560" s="386"/>
    </row>
    <row r="2561" spans="61:61">
      <c r="BI2561" s="386"/>
    </row>
    <row r="2562" spans="61:61">
      <c r="BI2562" s="386"/>
    </row>
    <row r="2563" spans="61:61">
      <c r="BI2563" s="386"/>
    </row>
    <row r="2564" spans="61:61">
      <c r="BI2564" s="386"/>
    </row>
    <row r="2565" spans="61:61">
      <c r="BI2565" s="386"/>
    </row>
    <row r="2566" spans="61:61">
      <c r="BI2566" s="386"/>
    </row>
    <row r="2567" spans="61:61">
      <c r="BI2567" s="386"/>
    </row>
    <row r="2568" spans="61:61">
      <c r="BI2568" s="386"/>
    </row>
    <row r="2569" spans="61:61">
      <c r="BI2569" s="386"/>
    </row>
    <row r="2570" spans="61:61">
      <c r="BI2570" s="386"/>
    </row>
    <row r="2571" spans="61:61">
      <c r="BI2571" s="386"/>
    </row>
    <row r="2572" spans="61:61">
      <c r="BI2572" s="386"/>
    </row>
    <row r="2573" spans="61:61">
      <c r="BI2573" s="386"/>
    </row>
    <row r="2574" spans="61:61">
      <c r="BI2574" s="386"/>
    </row>
    <row r="2575" spans="61:61">
      <c r="BI2575" s="386"/>
    </row>
    <row r="2576" spans="61:61">
      <c r="BI2576" s="386"/>
    </row>
    <row r="2577" spans="61:61">
      <c r="BI2577" s="386"/>
    </row>
    <row r="2578" spans="61:61">
      <c r="BI2578" s="386"/>
    </row>
    <row r="2579" spans="61:61">
      <c r="BI2579" s="386"/>
    </row>
    <row r="2580" spans="61:61">
      <c r="BI2580" s="386"/>
    </row>
    <row r="2581" spans="61:61">
      <c r="BI2581" s="386"/>
    </row>
    <row r="2582" spans="61:61">
      <c r="BI2582" s="386"/>
    </row>
    <row r="2583" spans="61:61">
      <c r="BI2583" s="386"/>
    </row>
    <row r="2584" spans="61:61">
      <c r="BI2584" s="386"/>
    </row>
    <row r="2585" spans="61:61">
      <c r="BI2585" s="386"/>
    </row>
    <row r="2586" spans="61:61">
      <c r="BI2586" s="386"/>
    </row>
    <row r="2587" spans="61:61">
      <c r="BI2587" s="386"/>
    </row>
    <row r="2588" spans="61:61">
      <c r="BI2588" s="386"/>
    </row>
    <row r="2589" spans="61:61">
      <c r="BI2589" s="386"/>
    </row>
    <row r="2590" spans="61:61">
      <c r="BI2590" s="386"/>
    </row>
    <row r="2591" spans="61:61">
      <c r="BI2591" s="386"/>
    </row>
    <row r="2592" spans="61:61">
      <c r="BI2592" s="386"/>
    </row>
    <row r="2593" spans="61:61">
      <c r="BI2593" s="386"/>
    </row>
    <row r="2594" spans="61:61">
      <c r="BI2594" s="386"/>
    </row>
    <row r="2595" spans="61:61">
      <c r="BI2595" s="386"/>
    </row>
    <row r="2596" spans="61:61">
      <c r="BI2596" s="386"/>
    </row>
    <row r="2597" spans="61:61">
      <c r="BI2597" s="386"/>
    </row>
    <row r="2598" spans="61:61">
      <c r="BI2598" s="386"/>
    </row>
    <row r="2599" spans="61:61">
      <c r="BI2599" s="386"/>
    </row>
    <row r="2600" spans="61:61">
      <c r="BI2600" s="386"/>
    </row>
    <row r="2601" spans="61:61">
      <c r="BI2601" s="386"/>
    </row>
    <row r="2602" spans="61:61">
      <c r="BI2602" s="386"/>
    </row>
    <row r="2603" spans="61:61">
      <c r="BI2603" s="386"/>
    </row>
    <row r="2604" spans="61:61">
      <c r="BI2604" s="386"/>
    </row>
    <row r="2605" spans="61:61">
      <c r="BI2605" s="386"/>
    </row>
    <row r="2606" spans="61:61">
      <c r="BI2606" s="386"/>
    </row>
    <row r="2607" spans="61:61">
      <c r="BI2607" s="386"/>
    </row>
    <row r="2608" spans="61:61">
      <c r="BI2608" s="386"/>
    </row>
    <row r="2609" spans="61:61">
      <c r="BI2609" s="386"/>
    </row>
    <row r="2610" spans="61:61">
      <c r="BI2610" s="386"/>
    </row>
    <row r="2611" spans="61:61">
      <c r="BI2611" s="386"/>
    </row>
    <row r="2612" spans="61:61">
      <c r="BI2612" s="386"/>
    </row>
    <row r="2613" spans="61:61">
      <c r="BI2613" s="386"/>
    </row>
    <row r="2614" spans="61:61">
      <c r="BI2614" s="386"/>
    </row>
    <row r="2615" spans="61:61">
      <c r="BI2615" s="386"/>
    </row>
    <row r="2616" spans="61:61">
      <c r="BI2616" s="386"/>
    </row>
    <row r="2617" spans="61:61">
      <c r="BI2617" s="386"/>
    </row>
    <row r="2618" spans="61:61">
      <c r="BI2618" s="386"/>
    </row>
    <row r="2619" spans="61:61">
      <c r="BI2619" s="386"/>
    </row>
    <row r="2620" spans="61:61">
      <c r="BI2620" s="386"/>
    </row>
    <row r="2621" spans="61:61">
      <c r="BI2621" s="386"/>
    </row>
    <row r="2622" spans="61:61">
      <c r="BI2622" s="386"/>
    </row>
    <row r="2623" spans="61:61">
      <c r="BI2623" s="386"/>
    </row>
    <row r="2624" spans="61:61">
      <c r="BI2624" s="386"/>
    </row>
    <row r="2625" spans="61:61">
      <c r="BI2625" s="386"/>
    </row>
    <row r="2626" spans="61:61">
      <c r="BI2626" s="386"/>
    </row>
    <row r="2627" spans="61:61">
      <c r="BI2627" s="386"/>
    </row>
    <row r="2628" spans="61:61">
      <c r="BI2628" s="386"/>
    </row>
    <row r="2629" spans="61:61">
      <c r="BI2629" s="386"/>
    </row>
    <row r="2630" spans="61:61">
      <c r="BI2630" s="386"/>
    </row>
    <row r="2631" spans="61:61">
      <c r="BI2631" s="386"/>
    </row>
    <row r="2632" spans="61:61">
      <c r="BI2632" s="386"/>
    </row>
    <row r="2633" spans="61:61">
      <c r="BI2633" s="386"/>
    </row>
    <row r="2634" spans="61:61">
      <c r="BI2634" s="386"/>
    </row>
    <row r="2635" spans="61:61">
      <c r="BI2635" s="386"/>
    </row>
    <row r="2636" spans="61:61">
      <c r="BI2636" s="386"/>
    </row>
    <row r="2637" spans="61:61">
      <c r="BI2637" s="386"/>
    </row>
    <row r="2638" spans="61:61">
      <c r="BI2638" s="386"/>
    </row>
    <row r="2639" spans="61:61">
      <c r="BI2639" s="386"/>
    </row>
    <row r="2640" spans="61:61">
      <c r="BI2640" s="386"/>
    </row>
    <row r="2641" spans="61:61">
      <c r="BI2641" s="386"/>
    </row>
    <row r="2642" spans="61:61">
      <c r="BI2642" s="386"/>
    </row>
    <row r="2643" spans="61:61">
      <c r="BI2643" s="386"/>
    </row>
    <row r="2644" spans="61:61">
      <c r="BI2644" s="386"/>
    </row>
    <row r="2645" spans="61:61">
      <c r="BI2645" s="386"/>
    </row>
    <row r="2646" spans="61:61">
      <c r="BI2646" s="386"/>
    </row>
    <row r="2647" spans="61:61">
      <c r="BI2647" s="386"/>
    </row>
    <row r="2648" spans="61:61">
      <c r="BI2648" s="386"/>
    </row>
    <row r="2649" spans="61:61">
      <c r="BI2649" s="386"/>
    </row>
    <row r="2650" spans="61:61">
      <c r="BI2650" s="386"/>
    </row>
    <row r="2651" spans="61:61">
      <c r="BI2651" s="386"/>
    </row>
    <row r="2652" spans="61:61">
      <c r="BI2652" s="386"/>
    </row>
    <row r="2653" spans="61:61">
      <c r="BI2653" s="386"/>
    </row>
    <row r="2654" spans="61:61">
      <c r="BI2654" s="386"/>
    </row>
    <row r="2655" spans="61:61">
      <c r="BI2655" s="386"/>
    </row>
    <row r="2656" spans="61:61">
      <c r="BI2656" s="386"/>
    </row>
    <row r="2657" spans="61:61">
      <c r="BI2657" s="386"/>
    </row>
    <row r="2658" spans="61:61">
      <c r="BI2658" s="386"/>
    </row>
    <row r="2659" spans="61:61">
      <c r="BI2659" s="386"/>
    </row>
    <row r="2660" spans="61:61">
      <c r="BI2660" s="386"/>
    </row>
    <row r="2661" spans="61:61">
      <c r="BI2661" s="386"/>
    </row>
    <row r="2662" spans="61:61">
      <c r="BI2662" s="386"/>
    </row>
    <row r="2663" spans="61:61">
      <c r="BI2663" s="386"/>
    </row>
    <row r="2664" spans="61:61">
      <c r="BI2664" s="386"/>
    </row>
    <row r="2665" spans="61:61">
      <c r="BI2665" s="386"/>
    </row>
    <row r="2666" spans="61:61">
      <c r="BI2666" s="386"/>
    </row>
    <row r="2667" spans="61:61">
      <c r="BI2667" s="386"/>
    </row>
    <row r="2668" spans="61:61">
      <c r="BI2668" s="386"/>
    </row>
    <row r="2669" spans="61:61">
      <c r="BI2669" s="386"/>
    </row>
    <row r="2670" spans="61:61">
      <c r="BI2670" s="386"/>
    </row>
    <row r="2671" spans="61:61">
      <c r="BI2671" s="386"/>
    </row>
    <row r="2672" spans="61:61">
      <c r="BI2672" s="386"/>
    </row>
    <row r="2673" spans="61:61">
      <c r="BI2673" s="386"/>
    </row>
    <row r="2674" spans="61:61">
      <c r="BI2674" s="386"/>
    </row>
    <row r="2675" spans="61:61">
      <c r="BI2675" s="386"/>
    </row>
    <row r="2676" spans="61:61">
      <c r="BI2676" s="386"/>
    </row>
    <row r="2677" spans="61:61">
      <c r="BI2677" s="386"/>
    </row>
    <row r="2678" spans="61:61">
      <c r="BI2678" s="386"/>
    </row>
    <row r="2679" spans="61:61">
      <c r="BI2679" s="386"/>
    </row>
    <row r="2680" spans="61:61">
      <c r="BI2680" s="386"/>
    </row>
    <row r="2681" spans="61:61">
      <c r="BI2681" s="386"/>
    </row>
    <row r="2682" spans="61:61">
      <c r="BI2682" s="386"/>
    </row>
    <row r="2683" spans="61:61">
      <c r="BI2683" s="386"/>
    </row>
    <row r="2684" spans="61:61">
      <c r="BI2684" s="386"/>
    </row>
    <row r="2685" spans="61:61">
      <c r="BI2685" s="386"/>
    </row>
    <row r="2686" spans="61:61">
      <c r="BI2686" s="386"/>
    </row>
    <row r="2687" spans="61:61">
      <c r="BI2687" s="386"/>
    </row>
    <row r="2688" spans="61:61">
      <c r="BI2688" s="386"/>
    </row>
    <row r="2689" spans="61:61">
      <c r="BI2689" s="386"/>
    </row>
    <row r="2690" spans="61:61">
      <c r="BI2690" s="386"/>
    </row>
    <row r="2691" spans="61:61">
      <c r="BI2691" s="386"/>
    </row>
    <row r="2692" spans="61:61">
      <c r="BI2692" s="386"/>
    </row>
    <row r="2693" spans="61:61">
      <c r="BI2693" s="386"/>
    </row>
    <row r="2694" spans="61:61">
      <c r="BI2694" s="386"/>
    </row>
    <row r="2695" spans="61:61">
      <c r="BI2695" s="386"/>
    </row>
    <row r="2696" spans="61:61">
      <c r="BI2696" s="386"/>
    </row>
    <row r="2697" spans="61:61">
      <c r="BI2697" s="386"/>
    </row>
    <row r="2698" spans="61:61">
      <c r="BI2698" s="386"/>
    </row>
    <row r="2699" spans="61:61">
      <c r="BI2699" s="386"/>
    </row>
    <row r="2700" spans="61:61">
      <c r="BI2700" s="386"/>
    </row>
    <row r="2701" spans="61:61">
      <c r="BI2701" s="386"/>
    </row>
    <row r="2702" spans="61:61">
      <c r="BI2702" s="386"/>
    </row>
    <row r="2703" spans="61:61">
      <c r="BI2703" s="386"/>
    </row>
    <row r="2704" spans="61:61">
      <c r="BI2704" s="386"/>
    </row>
    <row r="2705" spans="61:61">
      <c r="BI2705" s="386"/>
    </row>
    <row r="2706" spans="61:61">
      <c r="BI2706" s="386"/>
    </row>
    <row r="2707" spans="61:61">
      <c r="BI2707" s="386"/>
    </row>
    <row r="2708" spans="61:61">
      <c r="BI2708" s="386"/>
    </row>
    <row r="2709" spans="61:61">
      <c r="BI2709" s="386"/>
    </row>
    <row r="2710" spans="61:61">
      <c r="BI2710" s="386"/>
    </row>
    <row r="2711" spans="61:61">
      <c r="BI2711" s="386"/>
    </row>
    <row r="2712" spans="61:61">
      <c r="BI2712" s="386"/>
    </row>
    <row r="2713" spans="61:61">
      <c r="BI2713" s="386"/>
    </row>
    <row r="2714" spans="61:61">
      <c r="BI2714" s="386"/>
    </row>
    <row r="2715" spans="61:61">
      <c r="BI2715" s="386"/>
    </row>
    <row r="2716" spans="61:61">
      <c r="BI2716" s="386"/>
    </row>
    <row r="2717" spans="61:61">
      <c r="BI2717" s="386"/>
    </row>
    <row r="2718" spans="61:61">
      <c r="BI2718" s="386"/>
    </row>
    <row r="2719" spans="61:61">
      <c r="BI2719" s="386"/>
    </row>
    <row r="2720" spans="61:61">
      <c r="BI2720" s="386"/>
    </row>
    <row r="2721" spans="61:61">
      <c r="BI2721" s="386"/>
    </row>
    <row r="2722" spans="61:61">
      <c r="BI2722" s="386"/>
    </row>
    <row r="2723" spans="61:61">
      <c r="BI2723" s="386"/>
    </row>
    <row r="2724" spans="61:61">
      <c r="BI2724" s="386"/>
    </row>
    <row r="2725" spans="61:61">
      <c r="BI2725" s="386"/>
    </row>
    <row r="2726" spans="61:61">
      <c r="BI2726" s="386"/>
    </row>
    <row r="2727" spans="61:61">
      <c r="BI2727" s="386"/>
    </row>
    <row r="2728" spans="61:61">
      <c r="BI2728" s="386"/>
    </row>
    <row r="2729" spans="61:61">
      <c r="BI2729" s="386"/>
    </row>
    <row r="2730" spans="61:61">
      <c r="BI2730" s="386"/>
    </row>
    <row r="2731" spans="61:61">
      <c r="BI2731" s="386"/>
    </row>
    <row r="2732" spans="61:61">
      <c r="BI2732" s="386"/>
    </row>
    <row r="2733" spans="61:61">
      <c r="BI2733" s="386"/>
    </row>
    <row r="2734" spans="61:61">
      <c r="BI2734" s="386"/>
    </row>
    <row r="2735" spans="61:61">
      <c r="BI2735" s="386"/>
    </row>
    <row r="2736" spans="61:61">
      <c r="BI2736" s="386"/>
    </row>
    <row r="2737" spans="61:61">
      <c r="BI2737" s="386"/>
    </row>
    <row r="2738" spans="61:61">
      <c r="BI2738" s="386"/>
    </row>
    <row r="2739" spans="61:61">
      <c r="BI2739" s="386"/>
    </row>
    <row r="2740" spans="61:61">
      <c r="BI2740" s="386"/>
    </row>
    <row r="2741" spans="61:61">
      <c r="BI2741" s="386"/>
    </row>
    <row r="2742" spans="61:61">
      <c r="BI2742" s="386"/>
    </row>
    <row r="2743" spans="61:61">
      <c r="BI2743" s="386"/>
    </row>
    <row r="2744" spans="61:61">
      <c r="BI2744" s="386"/>
    </row>
    <row r="2745" spans="61:61">
      <c r="BI2745" s="386"/>
    </row>
    <row r="2746" spans="61:61">
      <c r="BI2746" s="386"/>
    </row>
    <row r="2747" spans="61:61">
      <c r="BI2747" s="386"/>
    </row>
    <row r="2748" spans="61:61">
      <c r="BI2748" s="386"/>
    </row>
    <row r="2749" spans="61:61">
      <c r="BI2749" s="386"/>
    </row>
    <row r="2750" spans="61:61">
      <c r="BI2750" s="386"/>
    </row>
    <row r="2751" spans="61:61">
      <c r="BI2751" s="386"/>
    </row>
    <row r="2752" spans="61:61">
      <c r="BI2752" s="386"/>
    </row>
    <row r="2753" spans="61:61">
      <c r="BI2753" s="386"/>
    </row>
    <row r="2754" spans="61:61">
      <c r="BI2754" s="386"/>
    </row>
    <row r="2755" spans="61:61">
      <c r="BI2755" s="386"/>
    </row>
    <row r="2756" spans="61:61">
      <c r="BI2756" s="386"/>
    </row>
    <row r="2757" spans="61:61">
      <c r="BI2757" s="386"/>
    </row>
    <row r="2758" spans="61:61">
      <c r="BI2758" s="386"/>
    </row>
    <row r="2759" spans="61:61">
      <c r="BI2759" s="386"/>
    </row>
    <row r="2760" spans="61:61">
      <c r="BI2760" s="386"/>
    </row>
    <row r="2761" spans="61:61">
      <c r="BI2761" s="386"/>
    </row>
    <row r="2762" spans="61:61">
      <c r="BI2762" s="386"/>
    </row>
    <row r="2763" spans="61:61">
      <c r="BI2763" s="386"/>
    </row>
    <row r="2764" spans="61:61">
      <c r="BI2764" s="386"/>
    </row>
    <row r="2765" spans="61:61">
      <c r="BI2765" s="386"/>
    </row>
    <row r="2766" spans="61:61">
      <c r="BI2766" s="386"/>
    </row>
    <row r="2767" spans="61:61">
      <c r="BI2767" s="386"/>
    </row>
    <row r="2768" spans="61:61">
      <c r="BI2768" s="386"/>
    </row>
    <row r="2769" spans="61:61">
      <c r="BI2769" s="386"/>
    </row>
    <row r="2770" spans="61:61">
      <c r="BI2770" s="386"/>
    </row>
    <row r="2771" spans="61:61">
      <c r="BI2771" s="386"/>
    </row>
    <row r="2772" spans="61:61">
      <c r="BI2772" s="386"/>
    </row>
    <row r="2773" spans="61:61">
      <c r="BI2773" s="386"/>
    </row>
    <row r="2774" spans="61:61">
      <c r="BI2774" s="386"/>
    </row>
    <row r="2775" spans="61:61">
      <c r="BI2775" s="386"/>
    </row>
    <row r="2776" spans="61:61">
      <c r="BI2776" s="386"/>
    </row>
    <row r="2777" spans="61:61">
      <c r="BI2777" s="386"/>
    </row>
    <row r="2778" spans="61:61">
      <c r="BI2778" s="386"/>
    </row>
    <row r="2779" spans="61:61">
      <c r="BI2779" s="386"/>
    </row>
    <row r="2780" spans="61:61">
      <c r="BI2780" s="386"/>
    </row>
    <row r="2781" spans="61:61">
      <c r="BI2781" s="386"/>
    </row>
    <row r="2782" spans="61:61">
      <c r="BI2782" s="386"/>
    </row>
    <row r="2783" spans="61:61">
      <c r="BI2783" s="386"/>
    </row>
    <row r="2784" spans="61:61">
      <c r="BI2784" s="386"/>
    </row>
    <row r="2785" spans="61:61">
      <c r="BI2785" s="386"/>
    </row>
    <row r="2786" spans="61:61">
      <c r="BI2786" s="386"/>
    </row>
    <row r="2787" spans="61:61">
      <c r="BI2787" s="386"/>
    </row>
    <row r="2788" spans="61:61">
      <c r="BI2788" s="386"/>
    </row>
    <row r="2789" spans="61:61">
      <c r="BI2789" s="386"/>
    </row>
    <row r="2790" spans="61:61">
      <c r="BI2790" s="386"/>
    </row>
    <row r="2791" spans="61:61">
      <c r="BI2791" s="386"/>
    </row>
    <row r="2792" spans="61:61">
      <c r="BI2792" s="386"/>
    </row>
    <row r="2793" spans="61:61">
      <c r="BI2793" s="386"/>
    </row>
    <row r="2794" spans="61:61">
      <c r="BI2794" s="386"/>
    </row>
    <row r="2795" spans="61:61">
      <c r="BI2795" s="386"/>
    </row>
    <row r="2796" spans="61:61">
      <c r="BI2796" s="386"/>
    </row>
    <row r="2797" spans="61:61">
      <c r="BI2797" s="386"/>
    </row>
    <row r="2798" spans="61:61">
      <c r="BI2798" s="386"/>
    </row>
    <row r="2799" spans="61:61">
      <c r="BI2799" s="386"/>
    </row>
    <row r="2800" spans="61:61">
      <c r="BI2800" s="386"/>
    </row>
    <row r="2801" spans="61:61">
      <c r="BI2801" s="386"/>
    </row>
    <row r="2802" spans="61:61">
      <c r="BI2802" s="386"/>
    </row>
    <row r="2803" spans="61:61">
      <c r="BI2803" s="386"/>
    </row>
    <row r="2804" spans="61:61">
      <c r="BI2804" s="386"/>
    </row>
    <row r="2805" spans="61:61">
      <c r="BI2805" s="386"/>
    </row>
    <row r="2806" spans="61:61">
      <c r="BI2806" s="386"/>
    </row>
    <row r="2807" spans="61:61">
      <c r="BI2807" s="386"/>
    </row>
    <row r="2808" spans="61:61">
      <c r="BI2808" s="386"/>
    </row>
    <row r="2809" spans="61:61">
      <c r="BI2809" s="386"/>
    </row>
    <row r="2810" spans="61:61">
      <c r="BI2810" s="386"/>
    </row>
    <row r="2811" spans="61:61">
      <c r="BI2811" s="386"/>
    </row>
    <row r="2812" spans="61:61">
      <c r="BI2812" s="386"/>
    </row>
    <row r="2813" spans="61:61">
      <c r="BI2813" s="386"/>
    </row>
    <row r="2814" spans="61:61">
      <c r="BI2814" s="386"/>
    </row>
    <row r="2815" spans="61:61">
      <c r="BI2815" s="386"/>
    </row>
    <row r="2816" spans="61:61">
      <c r="BI2816" s="386"/>
    </row>
    <row r="2817" spans="61:61">
      <c r="BI2817" s="386"/>
    </row>
    <row r="2818" spans="61:61">
      <c r="BI2818" s="386"/>
    </row>
    <row r="2819" spans="61:61">
      <c r="BI2819" s="386"/>
    </row>
    <row r="2820" spans="61:61">
      <c r="BI2820" s="386"/>
    </row>
    <row r="2821" spans="61:61">
      <c r="BI2821" s="386"/>
    </row>
    <row r="2822" spans="61:61">
      <c r="BI2822" s="386"/>
    </row>
    <row r="2823" spans="61:61">
      <c r="BI2823" s="386"/>
    </row>
    <row r="2824" spans="61:61">
      <c r="BI2824" s="386"/>
    </row>
    <row r="2825" spans="61:61">
      <c r="BI2825" s="386"/>
    </row>
    <row r="2826" spans="61:61">
      <c r="BI2826" s="386"/>
    </row>
    <row r="2827" spans="61:61">
      <c r="BI2827" s="386"/>
    </row>
    <row r="2828" spans="61:61">
      <c r="BI2828" s="386"/>
    </row>
    <row r="2829" spans="61:61">
      <c r="BI2829" s="386"/>
    </row>
    <row r="2830" spans="61:61">
      <c r="BI2830" s="386"/>
    </row>
    <row r="2831" spans="61:61">
      <c r="BI2831" s="386"/>
    </row>
    <row r="2832" spans="61:61">
      <c r="BI2832" s="386"/>
    </row>
    <row r="2833" spans="61:61">
      <c r="BI2833" s="386"/>
    </row>
    <row r="2834" spans="61:61">
      <c r="BI2834" s="386"/>
    </row>
    <row r="2835" spans="61:61">
      <c r="BI2835" s="386"/>
    </row>
    <row r="2836" spans="61:61">
      <c r="BI2836" s="386"/>
    </row>
    <row r="2837" spans="61:61">
      <c r="BI2837" s="386"/>
    </row>
    <row r="2838" spans="61:61">
      <c r="BI2838" s="386"/>
    </row>
    <row r="2839" spans="61:61">
      <c r="BI2839" s="386"/>
    </row>
    <row r="2840" spans="61:61">
      <c r="BI2840" s="386"/>
    </row>
    <row r="2841" spans="61:61">
      <c r="BI2841" s="386"/>
    </row>
    <row r="2842" spans="61:61">
      <c r="BI2842" s="386"/>
    </row>
    <row r="2843" spans="61:61">
      <c r="BI2843" s="386"/>
    </row>
    <row r="2844" spans="61:61">
      <c r="BI2844" s="386"/>
    </row>
    <row r="2845" spans="61:61">
      <c r="BI2845" s="386"/>
    </row>
    <row r="2846" spans="61:61">
      <c r="BI2846" s="386"/>
    </row>
    <row r="2847" spans="61:61">
      <c r="BI2847" s="386"/>
    </row>
    <row r="2848" spans="61:61">
      <c r="BI2848" s="386"/>
    </row>
    <row r="2849" spans="61:61">
      <c r="BI2849" s="386"/>
    </row>
    <row r="2850" spans="61:61">
      <c r="BI2850" s="386"/>
    </row>
    <row r="2851" spans="61:61">
      <c r="BI2851" s="386"/>
    </row>
    <row r="2852" spans="61:61">
      <c r="BI2852" s="386"/>
    </row>
    <row r="2853" spans="61:61">
      <c r="BI2853" s="386"/>
    </row>
    <row r="2854" spans="61:61">
      <c r="BI2854" s="386"/>
    </row>
    <row r="2855" spans="61:61">
      <c r="BI2855" s="386"/>
    </row>
    <row r="2856" spans="61:61">
      <c r="BI2856" s="386"/>
    </row>
    <row r="2857" spans="61:61">
      <c r="BI2857" s="386"/>
    </row>
    <row r="2858" spans="61:61">
      <c r="BI2858" s="386"/>
    </row>
    <row r="2859" spans="61:61">
      <c r="BI2859" s="386"/>
    </row>
    <row r="2860" spans="61:61">
      <c r="BI2860" s="386"/>
    </row>
    <row r="2861" spans="61:61">
      <c r="BI2861" s="386"/>
    </row>
    <row r="2862" spans="61:61">
      <c r="BI2862" s="386"/>
    </row>
    <row r="2863" spans="61:61">
      <c r="BI2863" s="386"/>
    </row>
    <row r="2864" spans="61:61">
      <c r="BI2864" s="386"/>
    </row>
    <row r="2865" spans="61:61">
      <c r="BI2865" s="386"/>
    </row>
    <row r="2866" spans="61:61">
      <c r="BI2866" s="386"/>
    </row>
    <row r="2867" spans="61:61">
      <c r="BI2867" s="386"/>
    </row>
    <row r="2868" spans="61:61">
      <c r="BI2868" s="386"/>
    </row>
    <row r="2869" spans="61:61">
      <c r="BI2869" s="386"/>
    </row>
    <row r="2870" spans="61:61">
      <c r="BI2870" s="386"/>
    </row>
    <row r="2871" spans="61:61">
      <c r="BI2871" s="386"/>
    </row>
    <row r="2872" spans="61:61">
      <c r="BI2872" s="386"/>
    </row>
    <row r="2873" spans="61:61">
      <c r="BI2873" s="386"/>
    </row>
    <row r="2874" spans="61:61">
      <c r="BI2874" s="386"/>
    </row>
    <row r="2875" spans="61:61">
      <c r="BI2875" s="386"/>
    </row>
    <row r="2876" spans="61:61">
      <c r="BI2876" s="386"/>
    </row>
    <row r="2877" spans="61:61">
      <c r="BI2877" s="386"/>
    </row>
    <row r="2878" spans="61:61">
      <c r="BI2878" s="386"/>
    </row>
    <row r="2879" spans="61:61">
      <c r="BI2879" s="386"/>
    </row>
    <row r="2880" spans="61:61">
      <c r="BI2880" s="386"/>
    </row>
    <row r="2881" spans="61:61">
      <c r="BI2881" s="386"/>
    </row>
    <row r="2882" spans="61:61">
      <c r="BI2882" s="386"/>
    </row>
    <row r="2883" spans="61:61">
      <c r="BI2883" s="386"/>
    </row>
    <row r="2884" spans="61:61">
      <c r="BI2884" s="386"/>
    </row>
    <row r="2885" spans="61:61">
      <c r="BI2885" s="386"/>
    </row>
    <row r="2886" spans="61:61">
      <c r="BI2886" s="386"/>
    </row>
    <row r="2887" spans="61:61">
      <c r="BI2887" s="386"/>
    </row>
    <row r="2888" spans="61:61">
      <c r="BI2888" s="386"/>
    </row>
    <row r="2889" spans="61:61">
      <c r="BI2889" s="386"/>
    </row>
    <row r="2890" spans="61:61">
      <c r="BI2890" s="386"/>
    </row>
    <row r="2891" spans="61:61">
      <c r="BI2891" s="386"/>
    </row>
    <row r="2892" spans="61:61">
      <c r="BI2892" s="386"/>
    </row>
    <row r="2893" spans="61:61">
      <c r="BI2893" s="386"/>
    </row>
    <row r="2894" spans="61:61">
      <c r="BI2894" s="386"/>
    </row>
    <row r="2895" spans="61:61">
      <c r="BI2895" s="386"/>
    </row>
    <row r="2896" spans="61:61">
      <c r="BI2896" s="386"/>
    </row>
    <row r="2897" spans="61:61">
      <c r="BI2897" s="386"/>
    </row>
    <row r="2898" spans="61:61">
      <c r="BI2898" s="386"/>
    </row>
    <row r="2899" spans="61:61">
      <c r="BI2899" s="386"/>
    </row>
    <row r="2900" spans="61:61">
      <c r="BI2900" s="386"/>
    </row>
    <row r="2901" spans="61:61">
      <c r="BI2901" s="386"/>
    </row>
    <row r="2902" spans="61:61">
      <c r="BI2902" s="386"/>
    </row>
    <row r="2903" spans="61:61">
      <c r="BI2903" s="386"/>
    </row>
    <row r="2904" spans="61:61">
      <c r="BI2904" s="386"/>
    </row>
    <row r="2905" spans="61:61">
      <c r="BI2905" s="386"/>
    </row>
    <row r="2906" spans="61:61">
      <c r="BI2906" s="386"/>
    </row>
    <row r="2907" spans="61:61">
      <c r="BI2907" s="386"/>
    </row>
    <row r="2908" spans="61:61">
      <c r="BI2908" s="386"/>
    </row>
    <row r="2909" spans="61:61">
      <c r="BI2909" s="386"/>
    </row>
    <row r="2910" spans="61:61">
      <c r="BI2910" s="386"/>
    </row>
    <row r="2911" spans="61:61">
      <c r="BI2911" s="386"/>
    </row>
    <row r="2912" spans="61:61">
      <c r="BI2912" s="386"/>
    </row>
    <row r="2913" spans="61:61">
      <c r="BI2913" s="386"/>
    </row>
    <row r="2914" spans="61:61">
      <c r="BI2914" s="386"/>
    </row>
    <row r="2915" spans="61:61">
      <c r="BI2915" s="386"/>
    </row>
    <row r="2916" spans="61:61">
      <c r="BI2916" s="386"/>
    </row>
    <row r="2917" spans="61:61">
      <c r="BI2917" s="386"/>
    </row>
    <row r="2918" spans="61:61">
      <c r="BI2918" s="386"/>
    </row>
    <row r="2919" spans="61:61">
      <c r="BI2919" s="386"/>
    </row>
    <row r="2920" spans="61:61">
      <c r="BI2920" s="386"/>
    </row>
    <row r="2921" spans="61:61">
      <c r="BI2921" s="386"/>
    </row>
    <row r="2922" spans="61:61">
      <c r="BI2922" s="386"/>
    </row>
    <row r="2923" spans="61:61">
      <c r="BI2923" s="386"/>
    </row>
    <row r="2924" spans="61:61">
      <c r="BI2924" s="386"/>
    </row>
    <row r="2925" spans="61:61">
      <c r="BI2925" s="386"/>
    </row>
    <row r="2926" spans="61:61">
      <c r="BI2926" s="386"/>
    </row>
    <row r="2927" spans="61:61">
      <c r="BI2927" s="386"/>
    </row>
    <row r="2928" spans="61:61">
      <c r="BI2928" s="386"/>
    </row>
    <row r="2929" spans="61:61">
      <c r="BI2929" s="386"/>
    </row>
    <row r="2930" spans="61:61">
      <c r="BI2930" s="386"/>
    </row>
    <row r="2931" spans="61:61">
      <c r="BI2931" s="386"/>
    </row>
    <row r="2932" spans="61:61">
      <c r="BI2932" s="386"/>
    </row>
    <row r="2933" spans="61:61">
      <c r="BI2933" s="386"/>
    </row>
    <row r="2934" spans="61:61">
      <c r="BI2934" s="386"/>
    </row>
    <row r="2935" spans="61:61">
      <c r="BI2935" s="386"/>
    </row>
    <row r="2936" spans="61:61">
      <c r="BI2936" s="386"/>
    </row>
    <row r="2937" spans="61:61">
      <c r="BI2937" s="386"/>
    </row>
    <row r="2938" spans="61:61">
      <c r="BI2938" s="386"/>
    </row>
    <row r="2939" spans="61:61">
      <c r="BI2939" s="386"/>
    </row>
    <row r="2940" spans="61:61">
      <c r="BI2940" s="386"/>
    </row>
    <row r="2941" spans="61:61">
      <c r="BI2941" s="386"/>
    </row>
    <row r="2942" spans="61:61">
      <c r="BI2942" s="386"/>
    </row>
    <row r="2943" spans="61:61">
      <c r="BI2943" s="386"/>
    </row>
    <row r="2944" spans="61:61">
      <c r="BI2944" s="386"/>
    </row>
    <row r="2945" spans="61:61">
      <c r="BI2945" s="386"/>
    </row>
    <row r="2946" spans="61:61">
      <c r="BI2946" s="386"/>
    </row>
    <row r="2947" spans="61:61">
      <c r="BI2947" s="386"/>
    </row>
    <row r="2948" spans="61:61">
      <c r="BI2948" s="386"/>
    </row>
    <row r="2949" spans="61:61">
      <c r="BI2949" s="386"/>
    </row>
    <row r="2950" spans="61:61">
      <c r="BI2950" s="386"/>
    </row>
    <row r="2951" spans="61:61">
      <c r="BI2951" s="386"/>
    </row>
    <row r="2952" spans="61:61">
      <c r="BI2952" s="386"/>
    </row>
    <row r="2953" spans="61:61">
      <c r="BI2953" s="386"/>
    </row>
    <row r="2954" spans="61:61">
      <c r="BI2954" s="386"/>
    </row>
    <row r="2955" spans="61:61">
      <c r="BI2955" s="386"/>
    </row>
    <row r="2956" spans="61:61">
      <c r="BI2956" s="386"/>
    </row>
    <row r="2957" spans="61:61">
      <c r="BI2957" s="386"/>
    </row>
    <row r="2958" spans="61:61">
      <c r="BI2958" s="386"/>
    </row>
    <row r="2959" spans="61:61">
      <c r="BI2959" s="386"/>
    </row>
    <row r="2960" spans="61:61">
      <c r="BI2960" s="386"/>
    </row>
    <row r="2961" spans="61:61">
      <c r="BI2961" s="386"/>
    </row>
    <row r="2962" spans="61:61">
      <c r="BI2962" s="386"/>
    </row>
    <row r="2963" spans="61:61">
      <c r="BI2963" s="386"/>
    </row>
    <row r="2964" spans="61:61">
      <c r="BI2964" s="386"/>
    </row>
    <row r="2965" spans="61:61">
      <c r="BI2965" s="386"/>
    </row>
    <row r="2966" spans="61:61">
      <c r="BI2966" s="386"/>
    </row>
    <row r="2967" spans="61:61">
      <c r="BI2967" s="386"/>
    </row>
    <row r="2968" spans="61:61">
      <c r="BI2968" s="386"/>
    </row>
    <row r="2969" spans="61:61">
      <c r="BI2969" s="386"/>
    </row>
    <row r="2970" spans="61:61">
      <c r="BI2970" s="386"/>
    </row>
    <row r="2971" spans="61:61">
      <c r="BI2971" s="386"/>
    </row>
    <row r="2972" spans="61:61">
      <c r="BI2972" s="386"/>
    </row>
    <row r="2973" spans="61:61">
      <c r="BI2973" s="386"/>
    </row>
    <row r="2974" spans="61:61">
      <c r="BI2974" s="386"/>
    </row>
    <row r="2975" spans="61:61">
      <c r="BI2975" s="386"/>
    </row>
    <row r="2976" spans="61:61">
      <c r="BI2976" s="386"/>
    </row>
    <row r="2977" spans="61:61">
      <c r="BI2977" s="386"/>
    </row>
    <row r="2978" spans="61:61">
      <c r="BI2978" s="386"/>
    </row>
    <row r="2979" spans="61:61">
      <c r="BI2979" s="386"/>
    </row>
    <row r="2980" spans="61:61">
      <c r="BI2980" s="386"/>
    </row>
    <row r="2981" spans="61:61">
      <c r="BI2981" s="386"/>
    </row>
    <row r="2982" spans="61:61">
      <c r="BI2982" s="386"/>
    </row>
    <row r="2983" spans="61:61">
      <c r="BI2983" s="386"/>
    </row>
    <row r="2984" spans="61:61">
      <c r="BI2984" s="386"/>
    </row>
    <row r="2985" spans="61:61">
      <c r="BI2985" s="386"/>
    </row>
    <row r="2986" spans="61:61">
      <c r="BI2986" s="386"/>
    </row>
    <row r="2987" spans="61:61">
      <c r="BI2987" s="386"/>
    </row>
    <row r="2988" spans="61:61">
      <c r="BI2988" s="386"/>
    </row>
    <row r="2989" spans="61:61">
      <c r="BI2989" s="386"/>
    </row>
    <row r="2990" spans="61:61">
      <c r="BI2990" s="386"/>
    </row>
    <row r="2991" spans="61:61">
      <c r="BI2991" s="386"/>
    </row>
    <row r="2992" spans="61:61">
      <c r="BI2992" s="386"/>
    </row>
    <row r="2993" spans="61:61">
      <c r="BI2993" s="386"/>
    </row>
    <row r="2994" spans="61:61">
      <c r="BI2994" s="386"/>
    </row>
    <row r="2995" spans="61:61">
      <c r="BI2995" s="386"/>
    </row>
    <row r="2996" spans="61:61">
      <c r="BI2996" s="386"/>
    </row>
    <row r="2997" spans="61:61">
      <c r="BI2997" s="386"/>
    </row>
    <row r="2998" spans="61:61">
      <c r="BI2998" s="386"/>
    </row>
    <row r="2999" spans="61:61">
      <c r="BI2999" s="386"/>
    </row>
    <row r="3000" spans="61:61">
      <c r="BI3000" s="386"/>
    </row>
    <row r="3001" spans="61:61">
      <c r="BI3001" s="386"/>
    </row>
    <row r="3002" spans="61:61">
      <c r="BI3002" s="386"/>
    </row>
    <row r="3003" spans="61:61">
      <c r="BI3003" s="386"/>
    </row>
    <row r="3004" spans="61:61">
      <c r="BI3004" s="386"/>
    </row>
    <row r="3005" spans="61:61">
      <c r="BI3005" s="386"/>
    </row>
    <row r="3006" spans="61:61">
      <c r="BI3006" s="386"/>
    </row>
    <row r="3007" spans="61:61">
      <c r="BI3007" s="386"/>
    </row>
    <row r="3008" spans="61:61">
      <c r="BI3008" s="386"/>
    </row>
    <row r="3009" spans="61:61">
      <c r="BI3009" s="386"/>
    </row>
    <row r="3010" spans="61:61">
      <c r="BI3010" s="386"/>
    </row>
    <row r="3011" spans="61:61">
      <c r="BI3011" s="386"/>
    </row>
    <row r="3012" spans="61:61">
      <c r="BI3012" s="386"/>
    </row>
    <row r="3013" spans="61:61">
      <c r="BI3013" s="386"/>
    </row>
    <row r="3014" spans="61:61">
      <c r="BI3014" s="386"/>
    </row>
    <row r="3015" spans="61:61">
      <c r="BI3015" s="386"/>
    </row>
    <row r="3016" spans="61:61">
      <c r="BI3016" s="386"/>
    </row>
    <row r="3017" spans="61:61">
      <c r="BI3017" s="386"/>
    </row>
    <row r="3018" spans="61:61">
      <c r="BI3018" s="386"/>
    </row>
    <row r="3019" spans="61:61">
      <c r="BI3019" s="386"/>
    </row>
    <row r="3020" spans="61:61">
      <c r="BI3020" s="386"/>
    </row>
    <row r="3021" spans="61:61">
      <c r="BI3021" s="386"/>
    </row>
    <row r="3022" spans="61:61">
      <c r="BI3022" s="386"/>
    </row>
    <row r="3023" spans="61:61">
      <c r="BI3023" s="386"/>
    </row>
    <row r="3024" spans="61:61">
      <c r="BI3024" s="386"/>
    </row>
    <row r="3025" spans="61:61">
      <c r="BI3025" s="386"/>
    </row>
    <row r="3026" spans="61:61">
      <c r="BI3026" s="386"/>
    </row>
    <row r="3027" spans="61:61">
      <c r="BI3027" s="386"/>
    </row>
    <row r="3028" spans="61:61">
      <c r="BI3028" s="386"/>
    </row>
    <row r="3029" spans="61:61">
      <c r="BI3029" s="386"/>
    </row>
    <row r="3030" spans="61:61">
      <c r="BI3030" s="386"/>
    </row>
    <row r="3031" spans="61:61">
      <c r="BI3031" s="386"/>
    </row>
    <row r="3032" spans="61:61">
      <c r="BI3032" s="386"/>
    </row>
    <row r="3033" spans="61:61">
      <c r="BI3033" s="386"/>
    </row>
    <row r="3034" spans="61:61">
      <c r="BI3034" s="386"/>
    </row>
    <row r="3035" spans="61:61">
      <c r="BI3035" s="386"/>
    </row>
    <row r="3036" spans="61:61">
      <c r="BI3036" s="386"/>
    </row>
    <row r="3037" spans="61:61">
      <c r="BI3037" s="386"/>
    </row>
    <row r="3038" spans="61:61">
      <c r="BI3038" s="386"/>
    </row>
    <row r="3039" spans="61:61">
      <c r="BI3039" s="386"/>
    </row>
    <row r="3040" spans="61:61">
      <c r="BI3040" s="386"/>
    </row>
    <row r="3041" spans="61:61">
      <c r="BI3041" s="386"/>
    </row>
    <row r="3042" spans="61:61">
      <c r="BI3042" s="386"/>
    </row>
    <row r="3043" spans="61:61">
      <c r="BI3043" s="386"/>
    </row>
    <row r="3044" spans="61:61">
      <c r="BI3044" s="386"/>
    </row>
    <row r="3045" spans="61:61">
      <c r="BI3045" s="386"/>
    </row>
    <row r="3046" spans="61:61">
      <c r="BI3046" s="386"/>
    </row>
    <row r="3047" spans="61:61">
      <c r="BI3047" s="386"/>
    </row>
    <row r="3048" spans="61:61">
      <c r="BI3048" s="386"/>
    </row>
    <row r="3049" spans="61:61">
      <c r="BI3049" s="386"/>
    </row>
    <row r="3050" spans="61:61">
      <c r="BI3050" s="386"/>
    </row>
    <row r="3051" spans="61:61">
      <c r="BI3051" s="386"/>
    </row>
    <row r="3052" spans="61:61">
      <c r="BI3052" s="386"/>
    </row>
    <row r="3053" spans="61:61">
      <c r="BI3053" s="386"/>
    </row>
    <row r="3054" spans="61:61">
      <c r="BI3054" s="386"/>
    </row>
    <row r="3055" spans="61:61">
      <c r="BI3055" s="386"/>
    </row>
    <row r="3056" spans="61:61">
      <c r="BI3056" s="386"/>
    </row>
    <row r="3057" spans="61:61">
      <c r="BI3057" s="386"/>
    </row>
    <row r="3058" spans="61:61">
      <c r="BI3058" s="386"/>
    </row>
    <row r="3059" spans="61:61">
      <c r="BI3059" s="386"/>
    </row>
    <row r="3060" spans="61:61">
      <c r="BI3060" s="386"/>
    </row>
    <row r="3061" spans="61:61">
      <c r="BI3061" s="386"/>
    </row>
    <row r="3062" spans="61:61">
      <c r="BI3062" s="386"/>
    </row>
    <row r="3063" spans="61:61">
      <c r="BI3063" s="386"/>
    </row>
    <row r="3064" spans="61:61">
      <c r="BI3064" s="386"/>
    </row>
    <row r="3065" spans="61:61">
      <c r="BI3065" s="386"/>
    </row>
    <row r="3066" spans="61:61">
      <c r="BI3066" s="386"/>
    </row>
    <row r="3067" spans="61:61">
      <c r="BI3067" s="386"/>
    </row>
    <row r="3068" spans="61:61">
      <c r="BI3068" s="386"/>
    </row>
    <row r="3069" spans="61:61">
      <c r="BI3069" s="386"/>
    </row>
    <row r="3070" spans="61:61">
      <c r="BI3070" s="386"/>
    </row>
    <row r="3071" spans="61:61">
      <c r="BI3071" s="386"/>
    </row>
    <row r="3072" spans="61:61">
      <c r="BI3072" s="386"/>
    </row>
    <row r="3073" spans="61:61">
      <c r="BI3073" s="386"/>
    </row>
    <row r="3074" spans="61:61">
      <c r="BI3074" s="386"/>
    </row>
    <row r="3075" spans="61:61">
      <c r="BI3075" s="386"/>
    </row>
    <row r="3076" spans="61:61">
      <c r="BI3076" s="386"/>
    </row>
    <row r="3077" spans="61:61">
      <c r="BI3077" s="386"/>
    </row>
    <row r="3078" spans="61:61">
      <c r="BI3078" s="386"/>
    </row>
    <row r="3079" spans="61:61">
      <c r="BI3079" s="386"/>
    </row>
    <row r="3080" spans="61:61">
      <c r="BI3080" s="386"/>
    </row>
    <row r="3081" spans="61:61">
      <c r="BI3081" s="386"/>
    </row>
    <row r="3082" spans="61:61">
      <c r="BI3082" s="386"/>
    </row>
    <row r="3083" spans="61:61">
      <c r="BI3083" s="386"/>
    </row>
    <row r="3084" spans="61:61">
      <c r="BI3084" s="386"/>
    </row>
    <row r="3085" spans="61:61">
      <c r="BI3085" s="386"/>
    </row>
    <row r="3086" spans="61:61">
      <c r="BI3086" s="386"/>
    </row>
    <row r="3087" spans="61:61">
      <c r="BI3087" s="386"/>
    </row>
    <row r="3088" spans="61:61">
      <c r="BI3088" s="386"/>
    </row>
    <row r="3089" spans="61:61">
      <c r="BI3089" s="386"/>
    </row>
    <row r="3090" spans="61:61">
      <c r="BI3090" s="386"/>
    </row>
    <row r="3091" spans="61:61">
      <c r="BI3091" s="386"/>
    </row>
    <row r="3092" spans="61:61">
      <c r="BI3092" s="386"/>
    </row>
    <row r="3093" spans="61:61">
      <c r="BI3093" s="386"/>
    </row>
    <row r="3094" spans="61:61">
      <c r="BI3094" s="386"/>
    </row>
    <row r="3095" spans="61:61">
      <c r="BI3095" s="386"/>
    </row>
    <row r="3096" spans="61:61">
      <c r="BI3096" s="386"/>
    </row>
    <row r="3097" spans="61:61">
      <c r="BI3097" s="386"/>
    </row>
    <row r="3098" spans="61:61">
      <c r="BI3098" s="386"/>
    </row>
    <row r="3099" spans="61:61">
      <c r="BI3099" s="386"/>
    </row>
    <row r="3100" spans="61:61">
      <c r="BI3100" s="386"/>
    </row>
    <row r="3101" spans="61:61">
      <c r="BI3101" s="386"/>
    </row>
    <row r="3102" spans="61:61">
      <c r="BI3102" s="386"/>
    </row>
    <row r="3103" spans="61:61">
      <c r="BI3103" s="386"/>
    </row>
    <row r="3104" spans="61:61">
      <c r="BI3104" s="386"/>
    </row>
    <row r="3105" spans="61:61">
      <c r="BI3105" s="386"/>
    </row>
    <row r="3106" spans="61:61">
      <c r="BI3106" s="386"/>
    </row>
    <row r="3107" spans="61:61">
      <c r="BI3107" s="386"/>
    </row>
    <row r="3108" spans="61:61">
      <c r="BI3108" s="386"/>
    </row>
    <row r="3109" spans="61:61">
      <c r="BI3109" s="386"/>
    </row>
    <row r="3110" spans="61:61">
      <c r="BI3110" s="386"/>
    </row>
    <row r="3111" spans="61:61">
      <c r="BI3111" s="386"/>
    </row>
    <row r="3112" spans="61:61">
      <c r="BI3112" s="386"/>
    </row>
    <row r="3113" spans="61:61">
      <c r="BI3113" s="386"/>
    </row>
    <row r="3114" spans="61:61">
      <c r="BI3114" s="386"/>
    </row>
    <row r="3115" spans="61:61">
      <c r="BI3115" s="386"/>
    </row>
    <row r="3116" spans="61:61">
      <c r="BI3116" s="386"/>
    </row>
    <row r="3117" spans="61:61">
      <c r="BI3117" s="386"/>
    </row>
    <row r="3118" spans="61:61">
      <c r="BI3118" s="386"/>
    </row>
    <row r="3119" spans="61:61">
      <c r="BI3119" s="386"/>
    </row>
    <row r="3120" spans="61:61">
      <c r="BI3120" s="386"/>
    </row>
    <row r="3121" spans="61:61">
      <c r="BI3121" s="386"/>
    </row>
    <row r="3122" spans="61:61">
      <c r="BI3122" s="386"/>
    </row>
    <row r="3123" spans="61:61">
      <c r="BI3123" s="386"/>
    </row>
    <row r="3124" spans="61:61">
      <c r="BI3124" s="386"/>
    </row>
    <row r="3125" spans="61:61">
      <c r="BI3125" s="386"/>
    </row>
    <row r="3126" spans="61:61">
      <c r="BI3126" s="386"/>
    </row>
    <row r="3127" spans="61:61">
      <c r="BI3127" s="386"/>
    </row>
    <row r="3128" spans="61:61">
      <c r="BI3128" s="386"/>
    </row>
    <row r="3129" spans="61:61">
      <c r="BI3129" s="386"/>
    </row>
    <row r="3130" spans="61:61">
      <c r="BI3130" s="386"/>
    </row>
    <row r="3131" spans="61:61">
      <c r="BI3131" s="386"/>
    </row>
    <row r="3132" spans="61:61">
      <c r="BI3132" s="386"/>
    </row>
    <row r="3133" spans="61:61">
      <c r="BI3133" s="386"/>
    </row>
    <row r="3134" spans="61:61">
      <c r="BI3134" s="386"/>
    </row>
    <row r="3135" spans="61:61">
      <c r="BI3135" s="386"/>
    </row>
    <row r="3136" spans="61:61">
      <c r="BI3136" s="386"/>
    </row>
    <row r="3137" spans="61:61">
      <c r="BI3137" s="386"/>
    </row>
    <row r="3138" spans="61:61">
      <c r="BI3138" s="386"/>
    </row>
    <row r="3139" spans="61:61">
      <c r="BI3139" s="386"/>
    </row>
    <row r="3140" spans="61:61">
      <c r="BI3140" s="386"/>
    </row>
    <row r="3141" spans="61:61">
      <c r="BI3141" s="386"/>
    </row>
    <row r="3142" spans="61:61">
      <c r="BI3142" s="386"/>
    </row>
    <row r="3143" spans="61:61">
      <c r="BI3143" s="386"/>
    </row>
    <row r="3144" spans="61:61">
      <c r="BI3144" s="386"/>
    </row>
    <row r="3145" spans="61:61">
      <c r="BI3145" s="386"/>
    </row>
    <row r="3146" spans="61:61">
      <c r="BI3146" s="386"/>
    </row>
    <row r="3147" spans="61:61">
      <c r="BI3147" s="386"/>
    </row>
    <row r="3148" spans="61:61">
      <c r="BI3148" s="386"/>
    </row>
    <row r="3149" spans="61:61">
      <c r="BI3149" s="386"/>
    </row>
    <row r="3150" spans="61:61">
      <c r="BI3150" s="386"/>
    </row>
    <row r="3151" spans="61:61">
      <c r="BI3151" s="386"/>
    </row>
    <row r="3152" spans="61:61">
      <c r="BI3152" s="386"/>
    </row>
    <row r="3153" spans="61:61">
      <c r="BI3153" s="386"/>
    </row>
    <row r="3154" spans="61:61">
      <c r="BI3154" s="386"/>
    </row>
    <row r="3155" spans="61:61">
      <c r="BI3155" s="386"/>
    </row>
    <row r="3156" spans="61:61">
      <c r="BI3156" s="386"/>
    </row>
    <row r="3157" spans="61:61">
      <c r="BI3157" s="386"/>
    </row>
    <row r="3158" spans="61:61">
      <c r="BI3158" s="386"/>
    </row>
    <row r="3159" spans="61:61">
      <c r="BI3159" s="386"/>
    </row>
    <row r="3160" spans="61:61">
      <c r="BI3160" s="386"/>
    </row>
    <row r="3161" spans="61:61">
      <c r="BI3161" s="386"/>
    </row>
    <row r="3162" spans="61:61">
      <c r="BI3162" s="386"/>
    </row>
    <row r="3163" spans="61:61">
      <c r="BI3163" s="386"/>
    </row>
    <row r="3164" spans="61:61">
      <c r="BI3164" s="386"/>
    </row>
    <row r="3165" spans="61:61">
      <c r="BI3165" s="386"/>
    </row>
    <row r="3166" spans="61:61">
      <c r="BI3166" s="386"/>
    </row>
    <row r="3167" spans="61:61">
      <c r="BI3167" s="386"/>
    </row>
    <row r="3168" spans="61:61">
      <c r="BI3168" s="386"/>
    </row>
    <row r="3169" spans="61:61">
      <c r="BI3169" s="386"/>
    </row>
    <row r="3170" spans="61:61">
      <c r="BI3170" s="386"/>
    </row>
    <row r="3171" spans="61:61">
      <c r="BI3171" s="386"/>
    </row>
    <row r="3172" spans="61:61">
      <c r="BI3172" s="386"/>
    </row>
    <row r="3173" spans="61:61">
      <c r="BI3173" s="386"/>
    </row>
    <row r="3174" spans="61:61">
      <c r="BI3174" s="386"/>
    </row>
    <row r="3175" spans="61:61">
      <c r="BI3175" s="386"/>
    </row>
    <row r="3176" spans="61:61">
      <c r="BI3176" s="386"/>
    </row>
    <row r="3177" spans="61:61">
      <c r="BI3177" s="386"/>
    </row>
    <row r="3178" spans="61:61">
      <c r="BI3178" s="386"/>
    </row>
    <row r="3179" spans="61:61">
      <c r="BI3179" s="386"/>
    </row>
    <row r="3180" spans="61:61">
      <c r="BI3180" s="386"/>
    </row>
    <row r="3181" spans="61:61">
      <c r="BI3181" s="386"/>
    </row>
    <row r="3182" spans="61:61">
      <c r="BI3182" s="386"/>
    </row>
    <row r="3183" spans="61:61">
      <c r="BI3183" s="386"/>
    </row>
    <row r="3184" spans="61:61">
      <c r="BI3184" s="386"/>
    </row>
    <row r="3185" spans="61:61">
      <c r="BI3185" s="386"/>
    </row>
    <row r="3186" spans="61:61">
      <c r="BI3186" s="386"/>
    </row>
    <row r="3187" spans="61:61">
      <c r="BI3187" s="386"/>
    </row>
    <row r="3188" spans="61:61">
      <c r="BI3188" s="386"/>
    </row>
    <row r="3189" spans="61:61">
      <c r="BI3189" s="386"/>
    </row>
    <row r="3190" spans="61:61">
      <c r="BI3190" s="386"/>
    </row>
    <row r="3191" spans="61:61">
      <c r="BI3191" s="386"/>
    </row>
    <row r="3192" spans="61:61">
      <c r="BI3192" s="386"/>
    </row>
    <row r="3193" spans="61:61">
      <c r="BI3193" s="386"/>
    </row>
    <row r="3194" spans="61:61">
      <c r="BI3194" s="386"/>
    </row>
    <row r="3195" spans="61:61">
      <c r="BI3195" s="386"/>
    </row>
    <row r="3196" spans="61:61">
      <c r="BI3196" s="386"/>
    </row>
    <row r="3197" spans="61:61">
      <c r="BI3197" s="386"/>
    </row>
    <row r="3198" spans="61:61">
      <c r="BI3198" s="386"/>
    </row>
    <row r="3199" spans="61:61">
      <c r="BI3199" s="386"/>
    </row>
    <row r="3200" spans="61:61">
      <c r="BI3200" s="386"/>
    </row>
    <row r="3201" spans="61:61">
      <c r="BI3201" s="386"/>
    </row>
    <row r="3202" spans="61:61">
      <c r="BI3202" s="386"/>
    </row>
    <row r="3203" spans="61:61">
      <c r="BI3203" s="386"/>
    </row>
    <row r="3204" spans="61:61">
      <c r="BI3204" s="386"/>
    </row>
    <row r="3205" spans="61:61">
      <c r="BI3205" s="386"/>
    </row>
    <row r="3206" spans="61:61">
      <c r="BI3206" s="386"/>
    </row>
    <row r="3207" spans="61:61">
      <c r="BI3207" s="386"/>
    </row>
    <row r="3208" spans="61:61">
      <c r="BI3208" s="386"/>
    </row>
    <row r="3209" spans="61:61">
      <c r="BI3209" s="386"/>
    </row>
    <row r="3210" spans="61:61">
      <c r="BI3210" s="386"/>
    </row>
    <row r="3211" spans="61:61">
      <c r="BI3211" s="386"/>
    </row>
    <row r="3212" spans="61:61">
      <c r="BI3212" s="386"/>
    </row>
    <row r="3213" spans="61:61">
      <c r="BI3213" s="386"/>
    </row>
    <row r="3214" spans="61:61">
      <c r="BI3214" s="386"/>
    </row>
    <row r="3215" spans="61:61">
      <c r="BI3215" s="386"/>
    </row>
    <row r="3216" spans="61:61">
      <c r="BI3216" s="386"/>
    </row>
    <row r="3217" spans="61:61">
      <c r="BI3217" s="386"/>
    </row>
    <row r="3218" spans="61:61">
      <c r="BI3218" s="386"/>
    </row>
    <row r="3219" spans="61:61">
      <c r="BI3219" s="386"/>
    </row>
    <row r="3220" spans="61:61">
      <c r="BI3220" s="386"/>
    </row>
    <row r="3221" spans="61:61">
      <c r="BI3221" s="386"/>
    </row>
    <row r="3222" spans="61:61">
      <c r="BI3222" s="386"/>
    </row>
    <row r="3223" spans="61:61">
      <c r="BI3223" s="386"/>
    </row>
    <row r="3224" spans="61:61">
      <c r="BI3224" s="386"/>
    </row>
    <row r="3225" spans="61:61">
      <c r="BI3225" s="386"/>
    </row>
    <row r="3226" spans="61:61">
      <c r="BI3226" s="386"/>
    </row>
    <row r="3227" spans="61:61">
      <c r="BI3227" s="386"/>
    </row>
    <row r="3228" spans="61:61">
      <c r="BI3228" s="386"/>
    </row>
    <row r="3229" spans="61:61">
      <c r="BI3229" s="386"/>
    </row>
    <row r="3230" spans="61:61">
      <c r="BI3230" s="386"/>
    </row>
    <row r="3231" spans="61:61">
      <c r="BI3231" s="386"/>
    </row>
    <row r="3232" spans="61:61">
      <c r="BI3232" s="386"/>
    </row>
    <row r="3233" spans="61:61">
      <c r="BI3233" s="386"/>
    </row>
    <row r="3234" spans="61:61">
      <c r="BI3234" s="386"/>
    </row>
    <row r="3235" spans="61:61">
      <c r="BI3235" s="386"/>
    </row>
    <row r="3236" spans="61:61">
      <c r="BI3236" s="386"/>
    </row>
    <row r="3237" spans="61:61">
      <c r="BI3237" s="386"/>
    </row>
    <row r="3238" spans="61:61">
      <c r="BI3238" s="386"/>
    </row>
    <row r="3239" spans="61:61">
      <c r="BI3239" s="386"/>
    </row>
    <row r="3240" spans="61:61">
      <c r="BI3240" s="386"/>
    </row>
    <row r="3241" spans="61:61">
      <c r="BI3241" s="386"/>
    </row>
    <row r="3242" spans="61:61">
      <c r="BI3242" s="386"/>
    </row>
    <row r="3243" spans="61:61">
      <c r="BI3243" s="386"/>
    </row>
    <row r="3244" spans="61:61">
      <c r="BI3244" s="386"/>
    </row>
    <row r="3245" spans="61:61">
      <c r="BI3245" s="386"/>
    </row>
    <row r="3246" spans="61:61">
      <c r="BI3246" s="386"/>
    </row>
    <row r="3247" spans="61:61">
      <c r="BI3247" s="386"/>
    </row>
    <row r="3248" spans="61:61">
      <c r="BI3248" s="386"/>
    </row>
    <row r="3249" spans="61:61">
      <c r="BI3249" s="386"/>
    </row>
    <row r="3250" spans="61:61">
      <c r="BI3250" s="386"/>
    </row>
    <row r="3251" spans="61:61">
      <c r="BI3251" s="386"/>
    </row>
    <row r="3252" spans="61:61">
      <c r="BI3252" s="386"/>
    </row>
    <row r="3253" spans="61:61">
      <c r="BI3253" s="386"/>
    </row>
    <row r="3254" spans="61:61">
      <c r="BI3254" s="386"/>
    </row>
    <row r="3255" spans="61:61">
      <c r="BI3255" s="386"/>
    </row>
    <row r="3256" spans="61:61">
      <c r="BI3256" s="386"/>
    </row>
    <row r="3257" spans="61:61">
      <c r="BI3257" s="386"/>
    </row>
    <row r="3258" spans="61:61">
      <c r="BI3258" s="386"/>
    </row>
    <row r="3259" spans="61:61">
      <c r="BI3259" s="386"/>
    </row>
    <row r="3260" spans="61:61">
      <c r="BI3260" s="386"/>
    </row>
    <row r="3261" spans="61:61">
      <c r="BI3261" s="386"/>
    </row>
    <row r="3262" spans="61:61">
      <c r="BI3262" s="386"/>
    </row>
    <row r="3263" spans="61:61">
      <c r="BI3263" s="386"/>
    </row>
    <row r="3264" spans="61:61">
      <c r="BI3264" s="386"/>
    </row>
    <row r="3265" spans="61:61">
      <c r="BI3265" s="386"/>
    </row>
    <row r="3266" spans="61:61">
      <c r="BI3266" s="386"/>
    </row>
    <row r="3267" spans="61:61">
      <c r="BI3267" s="386"/>
    </row>
    <row r="3268" spans="61:61">
      <c r="BI3268" s="386"/>
    </row>
    <row r="3269" spans="61:61">
      <c r="BI3269" s="386"/>
    </row>
    <row r="3270" spans="61:61">
      <c r="BI3270" s="386"/>
    </row>
    <row r="3271" spans="61:61">
      <c r="BI3271" s="386"/>
    </row>
    <row r="3272" spans="61:61">
      <c r="BI3272" s="386"/>
    </row>
    <row r="3273" spans="61:61">
      <c r="BI3273" s="386"/>
    </row>
    <row r="3274" spans="61:61">
      <c r="BI3274" s="386"/>
    </row>
    <row r="3275" spans="61:61">
      <c r="BI3275" s="386"/>
    </row>
    <row r="3276" spans="61:61">
      <c r="BI3276" s="386"/>
    </row>
    <row r="3277" spans="61:61">
      <c r="BI3277" s="386"/>
    </row>
    <row r="3278" spans="61:61">
      <c r="BI3278" s="386"/>
    </row>
    <row r="3279" spans="61:61">
      <c r="BI3279" s="386"/>
    </row>
    <row r="3280" spans="61:61">
      <c r="BI3280" s="386"/>
    </row>
    <row r="3281" spans="61:61">
      <c r="BI3281" s="386"/>
    </row>
    <row r="3282" spans="61:61">
      <c r="BI3282" s="386"/>
    </row>
    <row r="3283" spans="61:61">
      <c r="BI3283" s="386"/>
    </row>
    <row r="3284" spans="61:61">
      <c r="BI3284" s="386"/>
    </row>
    <row r="3285" spans="61:61">
      <c r="BI3285" s="386"/>
    </row>
    <row r="3286" spans="61:61">
      <c r="BI3286" s="386"/>
    </row>
    <row r="3287" spans="61:61">
      <c r="BI3287" s="386"/>
    </row>
    <row r="3288" spans="61:61">
      <c r="BI3288" s="386"/>
    </row>
    <row r="3289" spans="61:61">
      <c r="BI3289" s="386"/>
    </row>
    <row r="3290" spans="61:61">
      <c r="BI3290" s="386"/>
    </row>
    <row r="3291" spans="61:61">
      <c r="BI3291" s="386"/>
    </row>
    <row r="3292" spans="61:61">
      <c r="BI3292" s="386"/>
    </row>
    <row r="3293" spans="61:61">
      <c r="BI3293" s="386"/>
    </row>
    <row r="3294" spans="61:61">
      <c r="BI3294" s="386"/>
    </row>
    <row r="3295" spans="61:61">
      <c r="BI3295" s="386"/>
    </row>
    <row r="3296" spans="61:61">
      <c r="BI3296" s="386"/>
    </row>
    <row r="3297" spans="61:61">
      <c r="BI3297" s="386"/>
    </row>
    <row r="3298" spans="61:61">
      <c r="BI3298" s="386"/>
    </row>
    <row r="3299" spans="61:61">
      <c r="BI3299" s="386"/>
    </row>
    <row r="3300" spans="61:61">
      <c r="BI3300" s="386"/>
    </row>
    <row r="3301" spans="61:61">
      <c r="BI3301" s="386"/>
    </row>
    <row r="3302" spans="61:61">
      <c r="BI3302" s="386"/>
    </row>
    <row r="3303" spans="61:61">
      <c r="BI3303" s="386"/>
    </row>
    <row r="3304" spans="61:61">
      <c r="BI3304" s="386"/>
    </row>
    <row r="3305" spans="61:61">
      <c r="BI3305" s="386"/>
    </row>
    <row r="3306" spans="61:61">
      <c r="BI3306" s="386"/>
    </row>
    <row r="3307" spans="61:61">
      <c r="BI3307" s="386"/>
    </row>
    <row r="3308" spans="61:61">
      <c r="BI3308" s="386"/>
    </row>
    <row r="3309" spans="61:61">
      <c r="BI3309" s="386"/>
    </row>
    <row r="3310" spans="61:61">
      <c r="BI3310" s="386"/>
    </row>
    <row r="3311" spans="61:61">
      <c r="BI3311" s="386"/>
    </row>
    <row r="3312" spans="61:61">
      <c r="BI3312" s="386"/>
    </row>
    <row r="3313" spans="61:61">
      <c r="BI3313" s="386"/>
    </row>
    <row r="3314" spans="61:61">
      <c r="BI3314" s="386"/>
    </row>
    <row r="3315" spans="61:61">
      <c r="BI3315" s="386"/>
    </row>
    <row r="3316" spans="61:61">
      <c r="BI3316" s="386"/>
    </row>
    <row r="3317" spans="61:61">
      <c r="BI3317" s="386"/>
    </row>
    <row r="3318" spans="61:61">
      <c r="BI3318" s="386"/>
    </row>
    <row r="3319" spans="61:61">
      <c r="BI3319" s="386"/>
    </row>
    <row r="3320" spans="61:61">
      <c r="BI3320" s="386"/>
    </row>
    <row r="3321" spans="61:61">
      <c r="BI3321" s="386"/>
    </row>
    <row r="3322" spans="61:61">
      <c r="BI3322" s="386"/>
    </row>
    <row r="3323" spans="61:61">
      <c r="BI3323" s="386"/>
    </row>
    <row r="3324" spans="61:61">
      <c r="BI3324" s="386"/>
    </row>
    <row r="3325" spans="61:61">
      <c r="BI3325" s="386"/>
    </row>
    <row r="3326" spans="61:61">
      <c r="BI3326" s="386"/>
    </row>
    <row r="3327" spans="61:61">
      <c r="BI3327" s="386"/>
    </row>
    <row r="3328" spans="61:61">
      <c r="BI3328" s="386"/>
    </row>
    <row r="3329" spans="61:61">
      <c r="BI3329" s="386"/>
    </row>
    <row r="3330" spans="61:61">
      <c r="BI3330" s="386"/>
    </row>
    <row r="3331" spans="61:61">
      <c r="BI3331" s="386"/>
    </row>
    <row r="3332" spans="61:61">
      <c r="BI3332" s="386"/>
    </row>
    <row r="3333" spans="61:61">
      <c r="BI3333" s="386"/>
    </row>
    <row r="3334" spans="61:61">
      <c r="BI3334" s="386"/>
    </row>
    <row r="3335" spans="61:61">
      <c r="BI3335" s="386"/>
    </row>
    <row r="3336" spans="61:61">
      <c r="BI3336" s="386"/>
    </row>
    <row r="3337" spans="61:61">
      <c r="BI3337" s="386"/>
    </row>
    <row r="3338" spans="61:61">
      <c r="BI3338" s="386"/>
    </row>
    <row r="3339" spans="61:61">
      <c r="BI3339" s="386"/>
    </row>
    <row r="3340" spans="61:61">
      <c r="BI3340" s="386"/>
    </row>
    <row r="3341" spans="61:61">
      <c r="BI3341" s="386"/>
    </row>
    <row r="3342" spans="61:61">
      <c r="BI3342" s="386"/>
    </row>
    <row r="3343" spans="61:61">
      <c r="BI3343" s="386"/>
    </row>
    <row r="3344" spans="61:61">
      <c r="BI3344" s="386"/>
    </row>
    <row r="3345" spans="61:61">
      <c r="BI3345" s="386"/>
    </row>
    <row r="3346" spans="61:61">
      <c r="BI3346" s="386"/>
    </row>
    <row r="3347" spans="61:61">
      <c r="BI3347" s="386"/>
    </row>
    <row r="3348" spans="61:61">
      <c r="BI3348" s="386"/>
    </row>
    <row r="3349" spans="61:61">
      <c r="BI3349" s="386"/>
    </row>
    <row r="3350" spans="61:61">
      <c r="BI3350" s="386"/>
    </row>
    <row r="3351" spans="61:61">
      <c r="BI3351" s="386"/>
    </row>
    <row r="3352" spans="61:61">
      <c r="BI3352" s="386"/>
    </row>
    <row r="3353" spans="61:61">
      <c r="BI3353" s="386"/>
    </row>
    <row r="3354" spans="61:61">
      <c r="BI3354" s="386"/>
    </row>
    <row r="3355" spans="61:61">
      <c r="BI3355" s="386"/>
    </row>
    <row r="3356" spans="61:61">
      <c r="BI3356" s="386"/>
    </row>
    <row r="3357" spans="61:61">
      <c r="BI3357" s="386"/>
    </row>
    <row r="3358" spans="61:61">
      <c r="BI3358" s="386"/>
    </row>
    <row r="3359" spans="61:61">
      <c r="BI3359" s="386"/>
    </row>
    <row r="3360" spans="61:61">
      <c r="BI3360" s="386"/>
    </row>
    <row r="3361" spans="61:61">
      <c r="BI3361" s="386"/>
    </row>
    <row r="3362" spans="61:61">
      <c r="BI3362" s="386"/>
    </row>
    <row r="3363" spans="61:61">
      <c r="BI3363" s="386"/>
    </row>
    <row r="3364" spans="61:61">
      <c r="BI3364" s="386"/>
    </row>
    <row r="3365" spans="61:61">
      <c r="BI3365" s="386"/>
    </row>
    <row r="3366" spans="61:61">
      <c r="BI3366" s="386"/>
    </row>
    <row r="3367" spans="61:61">
      <c r="BI3367" s="386"/>
    </row>
    <row r="3368" spans="61:61">
      <c r="BI3368" s="386"/>
    </row>
    <row r="3369" spans="61:61">
      <c r="BI3369" s="386"/>
    </row>
    <row r="3370" spans="61:61">
      <c r="BI3370" s="386"/>
    </row>
    <row r="3371" spans="61:61">
      <c r="BI3371" s="386"/>
    </row>
    <row r="3372" spans="61:61">
      <c r="BI3372" s="386"/>
    </row>
    <row r="3373" spans="61:61">
      <c r="BI3373" s="386"/>
    </row>
    <row r="3374" spans="61:61">
      <c r="BI3374" s="386"/>
    </row>
    <row r="3375" spans="61:61">
      <c r="BI3375" s="386"/>
    </row>
    <row r="3376" spans="61:61">
      <c r="BI3376" s="386"/>
    </row>
    <row r="3377" spans="61:61">
      <c r="BI3377" s="386"/>
    </row>
    <row r="3378" spans="61:61">
      <c r="BI3378" s="386"/>
    </row>
    <row r="3379" spans="61:61">
      <c r="BI3379" s="386"/>
    </row>
    <row r="3380" spans="61:61">
      <c r="BI3380" s="386"/>
    </row>
    <row r="3381" spans="61:61">
      <c r="BI3381" s="386"/>
    </row>
    <row r="3382" spans="61:61">
      <c r="BI3382" s="386"/>
    </row>
    <row r="3383" spans="61:61">
      <c r="BI3383" s="386"/>
    </row>
    <row r="3384" spans="61:61">
      <c r="BI3384" s="386"/>
    </row>
    <row r="3385" spans="61:61">
      <c r="BI3385" s="386"/>
    </row>
    <row r="3386" spans="61:61">
      <c r="BI3386" s="386"/>
    </row>
    <row r="3387" spans="61:61">
      <c r="BI3387" s="386"/>
    </row>
    <row r="3388" spans="61:61">
      <c r="BI3388" s="386"/>
    </row>
    <row r="3389" spans="61:61">
      <c r="BI3389" s="386"/>
    </row>
    <row r="3390" spans="61:61">
      <c r="BI3390" s="386"/>
    </row>
    <row r="3391" spans="61:61">
      <c r="BI3391" s="386"/>
    </row>
    <row r="3392" spans="61:61">
      <c r="BI3392" s="386"/>
    </row>
    <row r="3393" spans="61:61">
      <c r="BI3393" s="386"/>
    </row>
    <row r="3394" spans="61:61">
      <c r="BI3394" s="386"/>
    </row>
    <row r="3395" spans="61:61">
      <c r="BI3395" s="386"/>
    </row>
    <row r="3396" spans="61:61">
      <c r="BI3396" s="386"/>
    </row>
    <row r="3397" spans="61:61">
      <c r="BI3397" s="386"/>
    </row>
    <row r="3398" spans="61:61">
      <c r="BI3398" s="386"/>
    </row>
    <row r="3399" spans="61:61">
      <c r="BI3399" s="386"/>
    </row>
    <row r="3400" spans="61:61">
      <c r="BI3400" s="386"/>
    </row>
    <row r="3401" spans="61:61">
      <c r="BI3401" s="386"/>
    </row>
    <row r="3402" spans="61:61">
      <c r="BI3402" s="386"/>
    </row>
    <row r="3403" spans="61:61">
      <c r="BI3403" s="386"/>
    </row>
    <row r="3404" spans="61:61">
      <c r="BI3404" s="386"/>
    </row>
    <row r="3405" spans="61:61">
      <c r="BI3405" s="386"/>
    </row>
    <row r="3406" spans="61:61">
      <c r="BI3406" s="386"/>
    </row>
    <row r="3407" spans="61:61">
      <c r="BI3407" s="386"/>
    </row>
    <row r="3408" spans="61:61">
      <c r="BI3408" s="386"/>
    </row>
    <row r="3409" spans="61:61">
      <c r="BI3409" s="386"/>
    </row>
    <row r="3410" spans="61:61">
      <c r="BI3410" s="386"/>
    </row>
    <row r="3411" spans="61:61">
      <c r="BI3411" s="386"/>
    </row>
    <row r="3412" spans="61:61">
      <c r="BI3412" s="386"/>
    </row>
    <row r="3413" spans="61:61">
      <c r="BI3413" s="386"/>
    </row>
    <row r="3414" spans="61:61">
      <c r="BI3414" s="386"/>
    </row>
    <row r="3415" spans="61:61">
      <c r="BI3415" s="386"/>
    </row>
    <row r="3416" spans="61:61">
      <c r="BI3416" s="386"/>
    </row>
    <row r="3417" spans="61:61">
      <c r="BI3417" s="386"/>
    </row>
    <row r="3418" spans="61:61">
      <c r="BI3418" s="386"/>
    </row>
    <row r="3419" spans="61:61">
      <c r="BI3419" s="386"/>
    </row>
    <row r="3420" spans="61:61">
      <c r="BI3420" s="386"/>
    </row>
    <row r="3421" spans="61:61">
      <c r="BI3421" s="386"/>
    </row>
    <row r="3422" spans="61:61">
      <c r="BI3422" s="386"/>
    </row>
    <row r="3423" spans="61:61">
      <c r="BI3423" s="386"/>
    </row>
    <row r="3424" spans="61:61">
      <c r="BI3424" s="386"/>
    </row>
    <row r="3425" spans="61:61">
      <c r="BI3425" s="386"/>
    </row>
    <row r="3426" spans="61:61">
      <c r="BI3426" s="386"/>
    </row>
    <row r="3427" spans="61:61">
      <c r="BI3427" s="386"/>
    </row>
    <row r="3428" spans="61:61">
      <c r="BI3428" s="386"/>
    </row>
    <row r="3429" spans="61:61">
      <c r="BI3429" s="386"/>
    </row>
    <row r="3430" spans="61:61">
      <c r="BI3430" s="386"/>
    </row>
    <row r="3431" spans="61:61">
      <c r="BI3431" s="386"/>
    </row>
    <row r="3432" spans="61:61">
      <c r="BI3432" s="386"/>
    </row>
    <row r="3433" spans="61:61">
      <c r="BI3433" s="386"/>
    </row>
    <row r="3434" spans="61:61">
      <c r="BI3434" s="386"/>
    </row>
    <row r="3435" spans="61:61">
      <c r="BI3435" s="386"/>
    </row>
    <row r="3436" spans="61:61">
      <c r="BI3436" s="386"/>
    </row>
    <row r="3437" spans="61:61">
      <c r="BI3437" s="386"/>
    </row>
    <row r="3438" spans="61:61">
      <c r="BI3438" s="386"/>
    </row>
    <row r="3439" spans="61:61">
      <c r="BI3439" s="386"/>
    </row>
    <row r="3440" spans="61:61">
      <c r="BI3440" s="386"/>
    </row>
    <row r="3441" spans="61:61">
      <c r="BI3441" s="386"/>
    </row>
    <row r="3442" spans="61:61">
      <c r="BI3442" s="386"/>
    </row>
    <row r="3443" spans="61:61">
      <c r="BI3443" s="386"/>
    </row>
    <row r="3444" spans="61:61">
      <c r="BI3444" s="386"/>
    </row>
    <row r="3445" spans="61:61">
      <c r="BI3445" s="386"/>
    </row>
    <row r="3446" spans="61:61">
      <c r="BI3446" s="386"/>
    </row>
    <row r="3447" spans="61:61">
      <c r="BI3447" s="386"/>
    </row>
    <row r="3448" spans="61:61">
      <c r="BI3448" s="386"/>
    </row>
    <row r="3449" spans="61:61">
      <c r="BI3449" s="386"/>
    </row>
    <row r="3450" spans="61:61">
      <c r="BI3450" s="386"/>
    </row>
    <row r="3451" spans="61:61">
      <c r="BI3451" s="386"/>
    </row>
    <row r="3452" spans="61:61">
      <c r="BI3452" s="386"/>
    </row>
    <row r="3453" spans="61:61">
      <c r="BI3453" s="386"/>
    </row>
    <row r="3454" spans="61:61">
      <c r="BI3454" s="386"/>
    </row>
    <row r="3455" spans="61:61">
      <c r="BI3455" s="386"/>
    </row>
    <row r="3456" spans="61:61">
      <c r="BI3456" s="386"/>
    </row>
    <row r="3457" spans="61:61">
      <c r="BI3457" s="386"/>
    </row>
    <row r="3458" spans="61:61">
      <c r="BI3458" s="386"/>
    </row>
    <row r="3459" spans="61:61">
      <c r="BI3459" s="386"/>
    </row>
    <row r="3460" spans="61:61">
      <c r="BI3460" s="386"/>
    </row>
    <row r="3461" spans="61:61">
      <c r="BI3461" s="386"/>
    </row>
    <row r="3462" spans="61:61">
      <c r="BI3462" s="386"/>
    </row>
    <row r="3463" spans="61:61">
      <c r="BI3463" s="386"/>
    </row>
    <row r="3464" spans="61:61">
      <c r="BI3464" s="386"/>
    </row>
    <row r="3465" spans="61:61">
      <c r="BI3465" s="386"/>
    </row>
    <row r="3466" spans="61:61">
      <c r="BI3466" s="386"/>
    </row>
    <row r="3467" spans="61:61">
      <c r="BI3467" s="386"/>
    </row>
    <row r="3468" spans="61:61">
      <c r="BI3468" s="386"/>
    </row>
    <row r="3469" spans="61:61">
      <c r="BI3469" s="386"/>
    </row>
    <row r="3470" spans="61:61">
      <c r="BI3470" s="386"/>
    </row>
    <row r="3471" spans="61:61">
      <c r="BI3471" s="386"/>
    </row>
    <row r="3472" spans="61:61">
      <c r="BI3472" s="386"/>
    </row>
    <row r="3473" spans="61:61">
      <c r="BI3473" s="386"/>
    </row>
    <row r="3474" spans="61:61">
      <c r="BI3474" s="386"/>
    </row>
    <row r="3475" spans="61:61">
      <c r="BI3475" s="386"/>
    </row>
    <row r="3476" spans="61:61">
      <c r="BI3476" s="386"/>
    </row>
    <row r="3477" spans="61:61">
      <c r="BI3477" s="386"/>
    </row>
    <row r="3478" spans="61:61">
      <c r="BI3478" s="386"/>
    </row>
    <row r="3479" spans="61:61">
      <c r="BI3479" s="386"/>
    </row>
    <row r="3480" spans="61:61">
      <c r="BI3480" s="386"/>
    </row>
    <row r="3481" spans="61:61">
      <c r="BI3481" s="386"/>
    </row>
    <row r="3482" spans="61:61">
      <c r="BI3482" s="386"/>
    </row>
    <row r="3483" spans="61:61">
      <c r="BI3483" s="386"/>
    </row>
    <row r="3484" spans="61:61">
      <c r="BI3484" s="386"/>
    </row>
    <row r="3485" spans="61:61">
      <c r="BI3485" s="386"/>
    </row>
    <row r="3486" spans="61:61">
      <c r="BI3486" s="386"/>
    </row>
    <row r="3487" spans="61:61">
      <c r="BI3487" s="386"/>
    </row>
    <row r="3488" spans="61:61">
      <c r="BI3488" s="386"/>
    </row>
    <row r="3489" spans="61:61">
      <c r="BI3489" s="386"/>
    </row>
    <row r="3490" spans="61:61">
      <c r="BI3490" s="386"/>
    </row>
    <row r="3491" spans="61:61">
      <c r="BI3491" s="386"/>
    </row>
    <row r="3492" spans="61:61">
      <c r="BI3492" s="386"/>
    </row>
    <row r="3493" spans="61:61">
      <c r="BI3493" s="386"/>
    </row>
    <row r="3494" spans="61:61">
      <c r="BI3494" s="386"/>
    </row>
    <row r="3495" spans="61:61">
      <c r="BI3495" s="386"/>
    </row>
    <row r="3496" spans="61:61">
      <c r="BI3496" s="386"/>
    </row>
    <row r="3497" spans="61:61">
      <c r="BI3497" s="386"/>
    </row>
    <row r="3498" spans="61:61">
      <c r="BI3498" s="386"/>
    </row>
    <row r="3499" spans="61:61">
      <c r="BI3499" s="386"/>
    </row>
    <row r="3500" spans="61:61">
      <c r="BI3500" s="386"/>
    </row>
    <row r="3501" spans="61:61">
      <c r="BI3501" s="386"/>
    </row>
    <row r="3502" spans="61:61">
      <c r="BI3502" s="386"/>
    </row>
    <row r="3503" spans="61:61">
      <c r="BI3503" s="386"/>
    </row>
    <row r="3504" spans="61:61">
      <c r="BI3504" s="386"/>
    </row>
    <row r="3505" spans="61:61">
      <c r="BI3505" s="386"/>
    </row>
    <row r="3506" spans="61:61">
      <c r="BI3506" s="386"/>
    </row>
    <row r="3507" spans="61:61">
      <c r="BI3507" s="386"/>
    </row>
    <row r="3508" spans="61:61">
      <c r="BI3508" s="386"/>
    </row>
    <row r="3509" spans="61:61">
      <c r="BI3509" s="386"/>
    </row>
    <row r="3510" spans="61:61">
      <c r="BI3510" s="386"/>
    </row>
    <row r="3511" spans="61:61">
      <c r="BI3511" s="386"/>
    </row>
    <row r="3512" spans="61:61">
      <c r="BI3512" s="386"/>
    </row>
    <row r="3513" spans="61:61">
      <c r="BI3513" s="386"/>
    </row>
    <row r="3514" spans="61:61">
      <c r="BI3514" s="386"/>
    </row>
    <row r="3515" spans="61:61">
      <c r="BI3515" s="386"/>
    </row>
    <row r="3516" spans="61:61">
      <c r="BI3516" s="386"/>
    </row>
    <row r="3517" spans="61:61">
      <c r="BI3517" s="386"/>
    </row>
    <row r="3518" spans="61:61">
      <c r="BI3518" s="386"/>
    </row>
    <row r="3519" spans="61:61">
      <c r="BI3519" s="386"/>
    </row>
    <row r="3520" spans="61:61">
      <c r="BI3520" s="386"/>
    </row>
    <row r="3521" spans="61:61">
      <c r="BI3521" s="386"/>
    </row>
    <row r="3522" spans="61:61">
      <c r="BI3522" s="386"/>
    </row>
    <row r="3523" spans="61:61">
      <c r="BI3523" s="386"/>
    </row>
    <row r="3524" spans="61:61">
      <c r="BI3524" s="386"/>
    </row>
    <row r="3525" spans="61:61">
      <c r="BI3525" s="386"/>
    </row>
    <row r="3526" spans="61:61">
      <c r="BI3526" s="386"/>
    </row>
    <row r="3527" spans="61:61">
      <c r="BI3527" s="386"/>
    </row>
    <row r="3528" spans="61:61">
      <c r="BI3528" s="386"/>
    </row>
    <row r="3529" spans="61:61">
      <c r="BI3529" s="386"/>
    </row>
    <row r="3530" spans="61:61">
      <c r="BI3530" s="386"/>
    </row>
    <row r="3531" spans="61:61">
      <c r="BI3531" s="386"/>
    </row>
    <row r="3532" spans="61:61">
      <c r="BI3532" s="386"/>
    </row>
    <row r="3533" spans="61:61">
      <c r="BI3533" s="386"/>
    </row>
    <row r="3534" spans="61:61">
      <c r="BI3534" s="386"/>
    </row>
    <row r="3535" spans="61:61">
      <c r="BI3535" s="386"/>
    </row>
    <row r="3536" spans="61:61">
      <c r="BI3536" s="386"/>
    </row>
    <row r="3537" spans="61:61">
      <c r="BI3537" s="386"/>
    </row>
    <row r="3538" spans="61:61">
      <c r="BI3538" s="386"/>
    </row>
    <row r="3539" spans="61:61">
      <c r="BI3539" s="386"/>
    </row>
    <row r="3540" spans="61:61">
      <c r="BI3540" s="386"/>
    </row>
    <row r="3541" spans="61:61">
      <c r="BI3541" s="386"/>
    </row>
    <row r="3542" spans="61:61">
      <c r="BI3542" s="386"/>
    </row>
    <row r="3543" spans="61:61">
      <c r="BI3543" s="386"/>
    </row>
    <row r="3544" spans="61:61">
      <c r="BI3544" s="386"/>
    </row>
    <row r="3545" spans="61:61">
      <c r="BI3545" s="386"/>
    </row>
    <row r="3546" spans="61:61">
      <c r="BI3546" s="386"/>
    </row>
    <row r="3547" spans="61:61">
      <c r="BI3547" s="386"/>
    </row>
    <row r="3548" spans="61:61">
      <c r="BI3548" s="386"/>
    </row>
    <row r="3549" spans="61:61">
      <c r="BI3549" s="386"/>
    </row>
    <row r="3550" spans="61:61">
      <c r="BI3550" s="386"/>
    </row>
    <row r="3551" spans="61:61">
      <c r="BI3551" s="386"/>
    </row>
    <row r="3552" spans="61:61">
      <c r="BI3552" s="386"/>
    </row>
    <row r="3553" spans="61:61">
      <c r="BI3553" s="386"/>
    </row>
    <row r="3554" spans="61:61">
      <c r="BI3554" s="386"/>
    </row>
    <row r="3555" spans="61:61">
      <c r="BI3555" s="386"/>
    </row>
    <row r="3556" spans="61:61">
      <c r="BI3556" s="386"/>
    </row>
    <row r="3557" spans="61:61">
      <c r="BI3557" s="386"/>
    </row>
    <row r="3558" spans="61:61">
      <c r="BI3558" s="386"/>
    </row>
    <row r="3559" spans="61:61">
      <c r="BI3559" s="386"/>
    </row>
    <row r="3560" spans="61:61">
      <c r="BI3560" s="386"/>
    </row>
    <row r="3561" spans="61:61">
      <c r="BI3561" s="386"/>
    </row>
    <row r="3562" spans="61:61">
      <c r="BI3562" s="386"/>
    </row>
    <row r="3563" spans="61:61">
      <c r="BI3563" s="386"/>
    </row>
    <row r="3564" spans="61:61">
      <c r="BI3564" s="386"/>
    </row>
    <row r="3565" spans="61:61">
      <c r="BI3565" s="386"/>
    </row>
    <row r="3566" spans="61:61">
      <c r="BI3566" s="386"/>
    </row>
    <row r="3567" spans="61:61">
      <c r="BI3567" s="386"/>
    </row>
    <row r="3568" spans="61:61">
      <c r="BI3568" s="386"/>
    </row>
    <row r="3569" spans="61:61">
      <c r="BI3569" s="386"/>
    </row>
    <row r="3570" spans="61:61">
      <c r="BI3570" s="386"/>
    </row>
    <row r="3571" spans="61:61">
      <c r="BI3571" s="386"/>
    </row>
    <row r="3572" spans="61:61">
      <c r="BI3572" s="386"/>
    </row>
    <row r="3573" spans="61:61">
      <c r="BI3573" s="386"/>
    </row>
    <row r="3574" spans="61:61">
      <c r="BI3574" s="386"/>
    </row>
    <row r="3575" spans="61:61">
      <c r="BI3575" s="386"/>
    </row>
    <row r="3576" spans="61:61">
      <c r="BI3576" s="386"/>
    </row>
    <row r="3577" spans="61:61">
      <c r="BI3577" s="386"/>
    </row>
    <row r="3578" spans="61:61">
      <c r="BI3578" s="386"/>
    </row>
    <row r="3579" spans="61:61">
      <c r="BI3579" s="386"/>
    </row>
    <row r="3580" spans="61:61">
      <c r="BI3580" s="386"/>
    </row>
    <row r="3581" spans="61:61">
      <c r="BI3581" s="386"/>
    </row>
    <row r="3582" spans="61:61">
      <c r="BI3582" s="386"/>
    </row>
    <row r="3583" spans="61:61">
      <c r="BI3583" s="386"/>
    </row>
    <row r="3584" spans="61:61">
      <c r="BI3584" s="386"/>
    </row>
    <row r="3585" spans="61:61">
      <c r="BI3585" s="386"/>
    </row>
    <row r="3586" spans="61:61">
      <c r="BI3586" s="386"/>
    </row>
    <row r="3587" spans="61:61">
      <c r="BI3587" s="386"/>
    </row>
    <row r="3588" spans="61:61">
      <c r="BI3588" s="386"/>
    </row>
    <row r="3589" spans="61:61">
      <c r="BI3589" s="386"/>
    </row>
    <row r="3590" spans="61:61">
      <c r="BI3590" s="386"/>
    </row>
    <row r="3591" spans="61:61">
      <c r="BI3591" s="386"/>
    </row>
    <row r="3592" spans="61:61">
      <c r="BI3592" s="386"/>
    </row>
    <row r="3593" spans="61:61">
      <c r="BI3593" s="386"/>
    </row>
    <row r="3594" spans="61:61">
      <c r="BI3594" s="386"/>
    </row>
    <row r="3595" spans="61:61">
      <c r="BI3595" s="386"/>
    </row>
    <row r="3596" spans="61:61">
      <c r="BI3596" s="386"/>
    </row>
    <row r="3597" spans="61:61">
      <c r="BI3597" s="386"/>
    </row>
    <row r="3598" spans="61:61">
      <c r="BI3598" s="386"/>
    </row>
    <row r="3599" spans="61:61">
      <c r="BI3599" s="386"/>
    </row>
    <row r="3600" spans="61:61">
      <c r="BI3600" s="386"/>
    </row>
    <row r="3601" spans="61:61">
      <c r="BI3601" s="386"/>
    </row>
    <row r="3602" spans="61:61">
      <c r="BI3602" s="386"/>
    </row>
    <row r="3603" spans="61:61">
      <c r="BI3603" s="386"/>
    </row>
    <row r="3604" spans="61:61">
      <c r="BI3604" s="386"/>
    </row>
    <row r="3605" spans="61:61">
      <c r="BI3605" s="386"/>
    </row>
    <row r="3606" spans="61:61">
      <c r="BI3606" s="386"/>
    </row>
    <row r="3607" spans="61:61">
      <c r="BI3607" s="386"/>
    </row>
    <row r="3608" spans="61:61">
      <c r="BI3608" s="386"/>
    </row>
    <row r="3609" spans="61:61">
      <c r="BI3609" s="386"/>
    </row>
    <row r="3610" spans="61:61">
      <c r="BI3610" s="386"/>
    </row>
    <row r="3611" spans="61:61">
      <c r="BI3611" s="386"/>
    </row>
    <row r="3612" spans="61:61">
      <c r="BI3612" s="386"/>
    </row>
    <row r="3613" spans="61:61">
      <c r="BI3613" s="386"/>
    </row>
    <row r="3614" spans="61:61">
      <c r="BI3614" s="386"/>
    </row>
    <row r="3615" spans="61:61">
      <c r="BI3615" s="386"/>
    </row>
    <row r="3616" spans="61:61">
      <c r="BI3616" s="386"/>
    </row>
    <row r="3617" spans="61:61">
      <c r="BI3617" s="386"/>
    </row>
    <row r="3618" spans="61:61">
      <c r="BI3618" s="386"/>
    </row>
    <row r="3619" spans="61:61">
      <c r="BI3619" s="386"/>
    </row>
    <row r="3620" spans="61:61">
      <c r="BI3620" s="386"/>
    </row>
    <row r="3621" spans="61:61">
      <c r="BI3621" s="386"/>
    </row>
    <row r="3622" spans="61:61">
      <c r="BI3622" s="386"/>
    </row>
    <row r="3623" spans="61:61">
      <c r="BI3623" s="386"/>
    </row>
    <row r="3624" spans="61:61">
      <c r="BI3624" s="386"/>
    </row>
    <row r="3625" spans="61:61">
      <c r="BI3625" s="386"/>
    </row>
    <row r="3626" spans="61:61">
      <c r="BI3626" s="386"/>
    </row>
    <row r="3627" spans="61:61">
      <c r="BI3627" s="386"/>
    </row>
    <row r="3628" spans="61:61">
      <c r="BI3628" s="386"/>
    </row>
    <row r="3629" spans="61:61">
      <c r="BI3629" s="386"/>
    </row>
    <row r="3630" spans="61:61">
      <c r="BI3630" s="386"/>
    </row>
    <row r="3631" spans="61:61">
      <c r="BI3631" s="386"/>
    </row>
    <row r="3632" spans="61:61">
      <c r="BI3632" s="386"/>
    </row>
    <row r="3633" spans="61:61">
      <c r="BI3633" s="386"/>
    </row>
    <row r="3634" spans="61:61">
      <c r="BI3634" s="386"/>
    </row>
    <row r="3635" spans="61:61">
      <c r="BI3635" s="386"/>
    </row>
    <row r="3636" spans="61:61">
      <c r="BI3636" s="386"/>
    </row>
    <row r="3637" spans="61:61">
      <c r="BI3637" s="386"/>
    </row>
    <row r="3638" spans="61:61">
      <c r="BI3638" s="386"/>
    </row>
    <row r="3639" spans="61:61">
      <c r="BI3639" s="386"/>
    </row>
    <row r="3640" spans="61:61">
      <c r="BI3640" s="386"/>
    </row>
    <row r="3641" spans="61:61">
      <c r="BI3641" s="386"/>
    </row>
    <row r="3642" spans="61:61">
      <c r="BI3642" s="386"/>
    </row>
    <row r="3643" spans="61:61">
      <c r="BI3643" s="386"/>
    </row>
    <row r="3644" spans="61:61">
      <c r="BI3644" s="386"/>
    </row>
    <row r="3645" spans="61:61">
      <c r="BI3645" s="386"/>
    </row>
    <row r="3646" spans="61:61">
      <c r="BI3646" s="386"/>
    </row>
    <row r="3647" spans="61:61">
      <c r="BI3647" s="386"/>
    </row>
    <row r="3648" spans="61:61">
      <c r="BI3648" s="386"/>
    </row>
    <row r="3649" spans="61:61">
      <c r="BI3649" s="386"/>
    </row>
    <row r="3650" spans="61:61">
      <c r="BI3650" s="386"/>
    </row>
    <row r="3651" spans="61:61">
      <c r="BI3651" s="386"/>
    </row>
    <row r="3652" spans="61:61">
      <c r="BI3652" s="386"/>
    </row>
    <row r="3653" spans="61:61">
      <c r="BI3653" s="386"/>
    </row>
    <row r="3654" spans="61:61">
      <c r="BI3654" s="386"/>
    </row>
    <row r="3655" spans="61:61">
      <c r="BI3655" s="386"/>
    </row>
    <row r="3656" spans="61:61">
      <c r="BI3656" s="386"/>
    </row>
    <row r="3657" spans="61:61">
      <c r="BI3657" s="386"/>
    </row>
    <row r="3658" spans="61:61">
      <c r="BI3658" s="386"/>
    </row>
    <row r="3659" spans="61:61">
      <c r="BI3659" s="386"/>
    </row>
    <row r="3660" spans="61:61">
      <c r="BI3660" s="386"/>
    </row>
    <row r="3661" spans="61:61">
      <c r="BI3661" s="386"/>
    </row>
    <row r="3662" spans="61:61">
      <c r="BI3662" s="386"/>
    </row>
    <row r="3663" spans="61:61">
      <c r="BI3663" s="386"/>
    </row>
    <row r="3664" spans="61:61">
      <c r="BI3664" s="386"/>
    </row>
    <row r="3665" spans="61:61">
      <c r="BI3665" s="386"/>
    </row>
    <row r="3666" spans="61:61">
      <c r="BI3666" s="386"/>
    </row>
    <row r="3667" spans="61:61">
      <c r="BI3667" s="386"/>
    </row>
    <row r="3668" spans="61:61">
      <c r="BI3668" s="386"/>
    </row>
    <row r="3669" spans="61:61">
      <c r="BI3669" s="386"/>
    </row>
    <row r="3670" spans="61:61">
      <c r="BI3670" s="386"/>
    </row>
    <row r="3671" spans="61:61">
      <c r="BI3671" s="386"/>
    </row>
    <row r="3672" spans="61:61">
      <c r="BI3672" s="386"/>
    </row>
    <row r="3673" spans="61:61">
      <c r="BI3673" s="386"/>
    </row>
    <row r="3674" spans="61:61">
      <c r="BI3674" s="386"/>
    </row>
    <row r="3675" spans="61:61">
      <c r="BI3675" s="386"/>
    </row>
    <row r="3676" spans="61:61">
      <c r="BI3676" s="386"/>
    </row>
    <row r="3677" spans="61:61">
      <c r="BI3677" s="386"/>
    </row>
    <row r="3678" spans="61:61">
      <c r="BI3678" s="386"/>
    </row>
    <row r="3679" spans="61:61">
      <c r="BI3679" s="386"/>
    </row>
    <row r="3680" spans="61:61">
      <c r="BI3680" s="386"/>
    </row>
    <row r="3681" spans="61:61">
      <c r="BI3681" s="386"/>
    </row>
    <row r="3682" spans="61:61">
      <c r="BI3682" s="386"/>
    </row>
    <row r="3683" spans="61:61">
      <c r="BI3683" s="386"/>
    </row>
    <row r="3684" spans="61:61">
      <c r="BI3684" s="386"/>
    </row>
    <row r="3685" spans="61:61">
      <c r="BI3685" s="386"/>
    </row>
    <row r="3686" spans="61:61">
      <c r="BI3686" s="386"/>
    </row>
    <row r="3687" spans="61:61">
      <c r="BI3687" s="386"/>
    </row>
    <row r="3688" spans="61:61">
      <c r="BI3688" s="386"/>
    </row>
    <row r="3689" spans="61:61">
      <c r="BI3689" s="386"/>
    </row>
    <row r="3690" spans="61:61">
      <c r="BI3690" s="386"/>
    </row>
    <row r="3691" spans="61:61">
      <c r="BI3691" s="386"/>
    </row>
    <row r="3692" spans="61:61">
      <c r="BI3692" s="386"/>
    </row>
    <row r="3693" spans="61:61">
      <c r="BI3693" s="386"/>
    </row>
    <row r="3694" spans="61:61">
      <c r="BI3694" s="386"/>
    </row>
    <row r="3695" spans="61:61">
      <c r="BI3695" s="386"/>
    </row>
    <row r="3696" spans="61:61">
      <c r="BI3696" s="386"/>
    </row>
    <row r="3697" spans="61:61">
      <c r="BI3697" s="386"/>
    </row>
    <row r="3698" spans="61:61">
      <c r="BI3698" s="386"/>
    </row>
    <row r="3699" spans="61:61">
      <c r="BI3699" s="386"/>
    </row>
    <row r="3700" spans="61:61">
      <c r="BI3700" s="386"/>
    </row>
    <row r="3701" spans="61:61">
      <c r="BI3701" s="386"/>
    </row>
    <row r="3702" spans="61:61">
      <c r="BI3702" s="386"/>
    </row>
    <row r="3703" spans="61:61">
      <c r="BI3703" s="386"/>
    </row>
    <row r="3704" spans="61:61">
      <c r="BI3704" s="386"/>
    </row>
    <row r="3705" spans="61:61">
      <c r="BI3705" s="386"/>
    </row>
    <row r="3706" spans="61:61">
      <c r="BI3706" s="386"/>
    </row>
    <row r="3707" spans="61:61">
      <c r="BI3707" s="386"/>
    </row>
    <row r="3708" spans="61:61">
      <c r="BI3708" s="386"/>
    </row>
    <row r="3709" spans="61:61">
      <c r="BI3709" s="386"/>
    </row>
    <row r="3710" spans="61:61">
      <c r="BI3710" s="386"/>
    </row>
    <row r="3711" spans="61:61">
      <c r="BI3711" s="386"/>
    </row>
    <row r="3712" spans="61:61">
      <c r="BI3712" s="386"/>
    </row>
    <row r="3713" spans="61:61">
      <c r="BI3713" s="386"/>
    </row>
    <row r="3714" spans="61:61">
      <c r="BI3714" s="386"/>
    </row>
    <row r="3715" spans="61:61">
      <c r="BI3715" s="386"/>
    </row>
    <row r="3716" spans="61:61">
      <c r="BI3716" s="386"/>
    </row>
    <row r="3717" spans="61:61">
      <c r="BI3717" s="386"/>
    </row>
    <row r="3718" spans="61:61">
      <c r="BI3718" s="386"/>
    </row>
    <row r="3719" spans="61:61">
      <c r="BI3719" s="386"/>
    </row>
    <row r="3720" spans="61:61">
      <c r="BI3720" s="386"/>
    </row>
    <row r="3721" spans="61:61">
      <c r="BI3721" s="386"/>
    </row>
    <row r="3722" spans="61:61">
      <c r="BI3722" s="386"/>
    </row>
    <row r="3723" spans="61:61">
      <c r="BI3723" s="386"/>
    </row>
    <row r="3724" spans="61:61">
      <c r="BI3724" s="386"/>
    </row>
    <row r="3725" spans="61:61">
      <c r="BI3725" s="386"/>
    </row>
    <row r="3726" spans="61:61">
      <c r="BI3726" s="386"/>
    </row>
    <row r="3727" spans="61:61">
      <c r="BI3727" s="386"/>
    </row>
    <row r="3728" spans="61:61">
      <c r="BI3728" s="386"/>
    </row>
    <row r="3729" spans="61:61">
      <c r="BI3729" s="386"/>
    </row>
    <row r="3730" spans="61:61">
      <c r="BI3730" s="386"/>
    </row>
    <row r="3731" spans="61:61">
      <c r="BI3731" s="386"/>
    </row>
    <row r="3732" spans="61:61">
      <c r="BI3732" s="386"/>
    </row>
    <row r="3733" spans="61:61">
      <c r="BI3733" s="386"/>
    </row>
    <row r="3734" spans="61:61">
      <c r="BI3734" s="386"/>
    </row>
    <row r="3735" spans="61:61">
      <c r="BI3735" s="386"/>
    </row>
    <row r="3736" spans="61:61">
      <c r="BI3736" s="386"/>
    </row>
    <row r="3737" spans="61:61">
      <c r="BI3737" s="386"/>
    </row>
    <row r="3738" spans="61:61">
      <c r="BI3738" s="386"/>
    </row>
    <row r="3739" spans="61:61">
      <c r="BI3739" s="386"/>
    </row>
    <row r="3740" spans="61:61">
      <c r="BI3740" s="386"/>
    </row>
    <row r="3741" spans="61:61">
      <c r="BI3741" s="386"/>
    </row>
    <row r="3742" spans="61:61">
      <c r="BI3742" s="386"/>
    </row>
    <row r="3743" spans="61:61">
      <c r="BI3743" s="386"/>
    </row>
    <row r="3744" spans="61:61">
      <c r="BI3744" s="386"/>
    </row>
    <row r="3745" spans="61:61">
      <c r="BI3745" s="386"/>
    </row>
    <row r="3746" spans="61:61">
      <c r="BI3746" s="386"/>
    </row>
    <row r="3747" spans="61:61">
      <c r="BI3747" s="386"/>
    </row>
    <row r="3748" spans="61:61">
      <c r="BI3748" s="386"/>
    </row>
    <row r="3749" spans="61:61">
      <c r="BI3749" s="386"/>
    </row>
    <row r="3750" spans="61:61">
      <c r="BI3750" s="386"/>
    </row>
    <row r="3751" spans="61:61">
      <c r="BI3751" s="386"/>
    </row>
    <row r="3752" spans="61:61">
      <c r="BI3752" s="386"/>
    </row>
    <row r="3753" spans="61:61">
      <c r="BI3753" s="386"/>
    </row>
    <row r="3754" spans="61:61">
      <c r="BI3754" s="386"/>
    </row>
    <row r="3755" spans="61:61">
      <c r="BI3755" s="386"/>
    </row>
    <row r="3756" spans="61:61">
      <c r="BI3756" s="386"/>
    </row>
    <row r="3757" spans="61:61">
      <c r="BI3757" s="386"/>
    </row>
    <row r="3758" spans="61:61">
      <c r="BI3758" s="386"/>
    </row>
    <row r="3759" spans="61:61">
      <c r="BI3759" s="386"/>
    </row>
    <row r="3760" spans="61:61">
      <c r="BI3760" s="386"/>
    </row>
    <row r="3761" spans="61:61">
      <c r="BI3761" s="386"/>
    </row>
    <row r="3762" spans="61:61">
      <c r="BI3762" s="386"/>
    </row>
    <row r="3763" spans="61:61">
      <c r="BI3763" s="386"/>
    </row>
    <row r="3764" spans="61:61">
      <c r="BI3764" s="386"/>
    </row>
    <row r="3765" spans="61:61">
      <c r="BI3765" s="386"/>
    </row>
    <row r="3766" spans="61:61">
      <c r="BI3766" s="386"/>
    </row>
    <row r="3767" spans="61:61">
      <c r="BI3767" s="386"/>
    </row>
    <row r="3768" spans="61:61">
      <c r="BI3768" s="386"/>
    </row>
    <row r="3769" spans="61:61">
      <c r="BI3769" s="386"/>
    </row>
    <row r="3770" spans="61:61">
      <c r="BI3770" s="386"/>
    </row>
    <row r="3771" spans="61:61">
      <c r="BI3771" s="386"/>
    </row>
    <row r="3772" spans="61:61">
      <c r="BI3772" s="386"/>
    </row>
    <row r="3773" spans="61:61">
      <c r="BI3773" s="386"/>
    </row>
    <row r="3774" spans="61:61">
      <c r="BI3774" s="386"/>
    </row>
    <row r="3775" spans="61:61">
      <c r="BI3775" s="386"/>
    </row>
    <row r="3776" spans="61:61">
      <c r="BI3776" s="386"/>
    </row>
    <row r="3777" spans="61:61">
      <c r="BI3777" s="386"/>
    </row>
    <row r="3778" spans="61:61">
      <c r="BI3778" s="386"/>
    </row>
    <row r="3779" spans="61:61">
      <c r="BI3779" s="386"/>
    </row>
    <row r="3780" spans="61:61">
      <c r="BI3780" s="386"/>
    </row>
    <row r="3781" spans="61:61">
      <c r="BI3781" s="386"/>
    </row>
    <row r="3782" spans="61:61">
      <c r="BI3782" s="386"/>
    </row>
    <row r="3783" spans="61:61">
      <c r="BI3783" s="386"/>
    </row>
    <row r="3784" spans="61:61">
      <c r="BI3784" s="386"/>
    </row>
    <row r="3785" spans="61:61">
      <c r="BI3785" s="386"/>
    </row>
    <row r="3786" spans="61:61">
      <c r="BI3786" s="386"/>
    </row>
    <row r="3787" spans="61:61">
      <c r="BI3787" s="386"/>
    </row>
    <row r="3788" spans="61:61">
      <c r="BI3788" s="386"/>
    </row>
    <row r="3789" spans="61:61">
      <c r="BI3789" s="386"/>
    </row>
    <row r="3790" spans="61:61">
      <c r="BI3790" s="386"/>
    </row>
    <row r="3791" spans="61:61">
      <c r="BI3791" s="386"/>
    </row>
    <row r="3792" spans="61:61">
      <c r="BI3792" s="386"/>
    </row>
    <row r="3793" spans="61:61">
      <c r="BI3793" s="386"/>
    </row>
    <row r="3794" spans="61:61">
      <c r="BI3794" s="386"/>
    </row>
    <row r="3795" spans="61:61">
      <c r="BI3795" s="386"/>
    </row>
    <row r="3796" spans="61:61">
      <c r="BI3796" s="386"/>
    </row>
    <row r="3797" spans="61:61">
      <c r="BI3797" s="386"/>
    </row>
    <row r="3798" spans="61:61">
      <c r="BI3798" s="386"/>
    </row>
    <row r="3799" spans="61:61">
      <c r="BI3799" s="386"/>
    </row>
    <row r="3800" spans="61:61">
      <c r="BI3800" s="386"/>
    </row>
    <row r="3801" spans="61:61">
      <c r="BI3801" s="386"/>
    </row>
    <row r="3802" spans="61:61">
      <c r="BI3802" s="386"/>
    </row>
    <row r="3803" spans="61:61">
      <c r="BI3803" s="386"/>
    </row>
    <row r="3804" spans="61:61">
      <c r="BI3804" s="386"/>
    </row>
    <row r="3805" spans="61:61">
      <c r="BI3805" s="386"/>
    </row>
    <row r="3806" spans="61:61">
      <c r="BI3806" s="386"/>
    </row>
    <row r="3807" spans="61:61">
      <c r="BI3807" s="386"/>
    </row>
    <row r="3808" spans="61:61">
      <c r="BI3808" s="386"/>
    </row>
    <row r="3809" spans="61:61">
      <c r="BI3809" s="386"/>
    </row>
    <row r="3810" spans="61:61">
      <c r="BI3810" s="386"/>
    </row>
    <row r="3811" spans="61:61">
      <c r="BI3811" s="386"/>
    </row>
    <row r="3812" spans="61:61">
      <c r="BI3812" s="386"/>
    </row>
    <row r="3813" spans="61:61">
      <c r="BI3813" s="386"/>
    </row>
    <row r="3814" spans="61:61">
      <c r="BI3814" s="386"/>
    </row>
    <row r="3815" spans="61:61">
      <c r="BI3815" s="386"/>
    </row>
    <row r="3816" spans="61:61">
      <c r="BI3816" s="386"/>
    </row>
    <row r="3817" spans="61:61">
      <c r="BI3817" s="386"/>
    </row>
    <row r="3818" spans="61:61">
      <c r="BI3818" s="386"/>
    </row>
    <row r="3819" spans="61:61">
      <c r="BI3819" s="386"/>
    </row>
    <row r="3820" spans="61:61">
      <c r="BI3820" s="386"/>
    </row>
    <row r="3821" spans="61:61">
      <c r="BI3821" s="386"/>
    </row>
    <row r="3822" spans="61:61">
      <c r="BI3822" s="386"/>
    </row>
    <row r="3823" spans="61:61">
      <c r="BI3823" s="386"/>
    </row>
    <row r="3824" spans="61:61">
      <c r="BI3824" s="386"/>
    </row>
    <row r="3825" spans="61:61">
      <c r="BI3825" s="386"/>
    </row>
    <row r="3826" spans="61:61">
      <c r="BI3826" s="386"/>
    </row>
    <row r="3827" spans="61:61">
      <c r="BI3827" s="386"/>
    </row>
    <row r="3828" spans="61:61">
      <c r="BI3828" s="386"/>
    </row>
    <row r="3829" spans="61:61">
      <c r="BI3829" s="386"/>
    </row>
    <row r="3830" spans="61:61">
      <c r="BI3830" s="386"/>
    </row>
    <row r="3831" spans="61:61">
      <c r="BI3831" s="386"/>
    </row>
    <row r="3832" spans="61:61">
      <c r="BI3832" s="386"/>
    </row>
    <row r="3833" spans="61:61">
      <c r="BI3833" s="386"/>
    </row>
    <row r="3834" spans="61:61">
      <c r="BI3834" s="386"/>
    </row>
    <row r="3835" spans="61:61">
      <c r="BI3835" s="386"/>
    </row>
    <row r="3836" spans="61:61">
      <c r="BI3836" s="386"/>
    </row>
    <row r="3837" spans="61:61">
      <c r="BI3837" s="386"/>
    </row>
    <row r="3838" spans="61:61">
      <c r="BI3838" s="386"/>
    </row>
    <row r="3839" spans="61:61">
      <c r="BI3839" s="386"/>
    </row>
    <row r="3840" spans="61:61">
      <c r="BI3840" s="386"/>
    </row>
    <row r="3841" spans="61:61">
      <c r="BI3841" s="386"/>
    </row>
    <row r="3842" spans="61:61">
      <c r="BI3842" s="386"/>
    </row>
    <row r="3843" spans="61:61">
      <c r="BI3843" s="386"/>
    </row>
    <row r="3844" spans="61:61">
      <c r="BI3844" s="386"/>
    </row>
    <row r="3845" spans="61:61">
      <c r="BI3845" s="386"/>
    </row>
    <row r="3846" spans="61:61">
      <c r="BI3846" s="386"/>
    </row>
    <row r="3847" spans="61:61">
      <c r="BI3847" s="386"/>
    </row>
    <row r="3848" spans="61:61">
      <c r="BI3848" s="386"/>
    </row>
    <row r="3849" spans="61:61">
      <c r="BI3849" s="386"/>
    </row>
    <row r="3850" spans="61:61">
      <c r="BI3850" s="386"/>
    </row>
    <row r="3851" spans="61:61">
      <c r="BI3851" s="386"/>
    </row>
    <row r="3852" spans="61:61">
      <c r="BI3852" s="386"/>
    </row>
    <row r="3853" spans="61:61">
      <c r="BI3853" s="386"/>
    </row>
    <row r="3854" spans="61:61">
      <c r="BI3854" s="386"/>
    </row>
    <row r="3855" spans="61:61">
      <c r="BI3855" s="386"/>
    </row>
    <row r="3856" spans="61:61">
      <c r="BI3856" s="386"/>
    </row>
    <row r="3857" spans="61:61">
      <c r="BI3857" s="386"/>
    </row>
    <row r="3858" spans="61:61">
      <c r="BI3858" s="386"/>
    </row>
    <row r="3859" spans="61:61">
      <c r="BI3859" s="386"/>
    </row>
    <row r="3860" spans="61:61">
      <c r="BI3860" s="386"/>
    </row>
    <row r="3861" spans="61:61">
      <c r="BI3861" s="386"/>
    </row>
    <row r="3862" spans="61:61">
      <c r="BI3862" s="386"/>
    </row>
    <row r="3863" spans="61:61">
      <c r="BI3863" s="386"/>
    </row>
    <row r="3864" spans="61:61">
      <c r="BI3864" s="386"/>
    </row>
    <row r="3865" spans="61:61">
      <c r="BI3865" s="386"/>
    </row>
    <row r="3866" spans="61:61">
      <c r="BI3866" s="386"/>
    </row>
    <row r="3867" spans="61:61">
      <c r="BI3867" s="386"/>
    </row>
    <row r="3868" spans="61:61">
      <c r="BI3868" s="386"/>
    </row>
    <row r="3869" spans="61:61">
      <c r="BI3869" s="386"/>
    </row>
    <row r="3870" spans="61:61">
      <c r="BI3870" s="386"/>
    </row>
    <row r="3871" spans="61:61">
      <c r="BI3871" s="386"/>
    </row>
    <row r="3872" spans="61:61">
      <c r="BI3872" s="386"/>
    </row>
    <row r="3873" spans="61:61">
      <c r="BI3873" s="386"/>
    </row>
    <row r="3874" spans="61:61">
      <c r="BI3874" s="386"/>
    </row>
    <row r="3875" spans="61:61">
      <c r="BI3875" s="386"/>
    </row>
    <row r="3876" spans="61:61">
      <c r="BI3876" s="386"/>
    </row>
    <row r="3877" spans="61:61">
      <c r="BI3877" s="386"/>
    </row>
    <row r="3878" spans="61:61">
      <c r="BI3878" s="386"/>
    </row>
    <row r="3879" spans="61:61">
      <c r="BI3879" s="386"/>
    </row>
    <row r="3880" spans="61:61">
      <c r="BI3880" s="386"/>
    </row>
    <row r="3881" spans="61:61">
      <c r="BI3881" s="386"/>
    </row>
    <row r="3882" spans="61:61">
      <c r="BI3882" s="386"/>
    </row>
    <row r="3883" spans="61:61">
      <c r="BI3883" s="386"/>
    </row>
    <row r="3884" spans="61:61">
      <c r="BI3884" s="386"/>
    </row>
    <row r="3885" spans="61:61">
      <c r="BI3885" s="386"/>
    </row>
    <row r="3886" spans="61:61">
      <c r="BI3886" s="386"/>
    </row>
    <row r="3887" spans="61:61">
      <c r="BI3887" s="386"/>
    </row>
    <row r="3888" spans="61:61">
      <c r="BI3888" s="386"/>
    </row>
    <row r="3889" spans="61:61">
      <c r="BI3889" s="386"/>
    </row>
    <row r="3890" spans="61:61">
      <c r="BI3890" s="386"/>
    </row>
    <row r="3891" spans="61:61">
      <c r="BI3891" s="386"/>
    </row>
    <row r="3892" spans="61:61">
      <c r="BI3892" s="386"/>
    </row>
    <row r="3893" spans="61:61">
      <c r="BI3893" s="386"/>
    </row>
    <row r="3894" spans="61:61">
      <c r="BI3894" s="386"/>
    </row>
    <row r="3895" spans="61:61">
      <c r="BI3895" s="386"/>
    </row>
    <row r="3896" spans="61:61">
      <c r="BI3896" s="386"/>
    </row>
    <row r="3897" spans="61:61">
      <c r="BI3897" s="386"/>
    </row>
    <row r="3898" spans="61:61">
      <c r="BI3898" s="386"/>
    </row>
    <row r="3899" spans="61:61">
      <c r="BI3899" s="386"/>
    </row>
    <row r="3900" spans="61:61">
      <c r="BI3900" s="386"/>
    </row>
    <row r="3901" spans="61:61">
      <c r="BI3901" s="386"/>
    </row>
    <row r="3902" spans="61:61">
      <c r="BI3902" s="386"/>
    </row>
    <row r="3903" spans="61:61">
      <c r="BI3903" s="386"/>
    </row>
    <row r="3904" spans="61:61">
      <c r="BI3904" s="386"/>
    </row>
    <row r="3905" spans="61:61">
      <c r="BI3905" s="386"/>
    </row>
    <row r="3906" spans="61:61">
      <c r="BI3906" s="386"/>
    </row>
    <row r="3907" spans="61:61">
      <c r="BI3907" s="386"/>
    </row>
    <row r="3908" spans="61:61">
      <c r="BI3908" s="386"/>
    </row>
    <row r="3909" spans="61:61">
      <c r="BI3909" s="386"/>
    </row>
    <row r="3910" spans="61:61">
      <c r="BI3910" s="386"/>
    </row>
    <row r="3911" spans="61:61">
      <c r="BI3911" s="386"/>
    </row>
    <row r="3912" spans="61:61">
      <c r="BI3912" s="386"/>
    </row>
    <row r="3913" spans="61:61">
      <c r="BI3913" s="386"/>
    </row>
    <row r="3914" spans="61:61">
      <c r="BI3914" s="386"/>
    </row>
    <row r="3915" spans="61:61">
      <c r="BI3915" s="386"/>
    </row>
    <row r="3916" spans="61:61">
      <c r="BI3916" s="386"/>
    </row>
    <row r="3917" spans="61:61">
      <c r="BI3917" s="386"/>
    </row>
    <row r="3918" spans="61:61">
      <c r="BI3918" s="386"/>
    </row>
    <row r="3919" spans="61:61">
      <c r="BI3919" s="386"/>
    </row>
    <row r="3920" spans="61:61">
      <c r="BI3920" s="386"/>
    </row>
    <row r="3921" spans="61:61">
      <c r="BI3921" s="386"/>
    </row>
    <row r="3922" spans="61:61">
      <c r="BI3922" s="386"/>
    </row>
    <row r="3923" spans="61:61">
      <c r="BI3923" s="386"/>
    </row>
    <row r="3924" spans="61:61">
      <c r="BI3924" s="386"/>
    </row>
    <row r="3925" spans="61:61">
      <c r="BI3925" s="386"/>
    </row>
    <row r="3926" spans="61:61">
      <c r="BI3926" s="386"/>
    </row>
    <row r="3927" spans="61:61">
      <c r="BI3927" s="386"/>
    </row>
    <row r="3928" spans="61:61">
      <c r="BI3928" s="386"/>
    </row>
    <row r="3929" spans="61:61">
      <c r="BI3929" s="386"/>
    </row>
    <row r="3930" spans="61:61">
      <c r="BI3930" s="386"/>
    </row>
    <row r="3931" spans="61:61">
      <c r="BI3931" s="386"/>
    </row>
    <row r="3932" spans="61:61">
      <c r="BI3932" s="386"/>
    </row>
    <row r="3933" spans="61:61">
      <c r="BI3933" s="386"/>
    </row>
    <row r="3934" spans="61:61">
      <c r="BI3934" s="386"/>
    </row>
    <row r="3935" spans="61:61">
      <c r="BI3935" s="386"/>
    </row>
    <row r="3936" spans="61:61">
      <c r="BI3936" s="386"/>
    </row>
    <row r="3937" spans="61:61">
      <c r="BI3937" s="386"/>
    </row>
    <row r="3938" spans="61:61">
      <c r="BI3938" s="386"/>
    </row>
    <row r="3939" spans="61:61">
      <c r="BI3939" s="386"/>
    </row>
    <row r="3940" spans="61:61">
      <c r="BI3940" s="386"/>
    </row>
    <row r="3941" spans="61:61">
      <c r="BI3941" s="386"/>
    </row>
    <row r="3942" spans="61:61">
      <c r="BI3942" s="386"/>
    </row>
    <row r="3943" spans="61:61">
      <c r="BI3943" s="386"/>
    </row>
    <row r="3944" spans="61:61">
      <c r="BI3944" s="386"/>
    </row>
    <row r="3945" spans="61:61">
      <c r="BI3945" s="386"/>
    </row>
    <row r="3946" spans="61:61">
      <c r="BI3946" s="386"/>
    </row>
    <row r="3947" spans="61:61">
      <c r="BI3947" s="386"/>
    </row>
    <row r="3948" spans="61:61">
      <c r="BI3948" s="386"/>
    </row>
    <row r="3949" spans="61:61">
      <c r="BI3949" s="386"/>
    </row>
    <row r="3950" spans="61:61">
      <c r="BI3950" s="386"/>
    </row>
    <row r="3951" spans="61:61">
      <c r="BI3951" s="386"/>
    </row>
    <row r="3952" spans="61:61">
      <c r="BI3952" s="386"/>
    </row>
    <row r="3953" spans="61:61">
      <c r="BI3953" s="386"/>
    </row>
    <row r="3954" spans="61:61">
      <c r="BI3954" s="386"/>
    </row>
    <row r="3955" spans="61:61">
      <c r="BI3955" s="386"/>
    </row>
    <row r="3956" spans="61:61">
      <c r="BI3956" s="386"/>
    </row>
    <row r="3957" spans="61:61">
      <c r="BI3957" s="386"/>
    </row>
    <row r="3958" spans="61:61">
      <c r="BI3958" s="386"/>
    </row>
    <row r="3959" spans="61:61">
      <c r="BI3959" s="386"/>
    </row>
    <row r="3960" spans="61:61">
      <c r="BI3960" s="386"/>
    </row>
    <row r="3961" spans="61:61">
      <c r="BI3961" s="386"/>
    </row>
    <row r="3962" spans="61:61">
      <c r="BI3962" s="386"/>
    </row>
    <row r="3963" spans="61:61">
      <c r="BI3963" s="386"/>
    </row>
    <row r="3964" spans="61:61">
      <c r="BI3964" s="386"/>
    </row>
    <row r="3965" spans="61:61">
      <c r="BI3965" s="386"/>
    </row>
    <row r="3966" spans="61:61">
      <c r="BI3966" s="386"/>
    </row>
    <row r="3967" spans="61:61">
      <c r="BI3967" s="386"/>
    </row>
    <row r="3968" spans="61:61">
      <c r="BI3968" s="386"/>
    </row>
    <row r="3969" spans="61:61">
      <c r="BI3969" s="386"/>
    </row>
    <row r="3970" spans="61:61">
      <c r="BI3970" s="386"/>
    </row>
    <row r="3971" spans="61:61">
      <c r="BI3971" s="386"/>
    </row>
    <row r="3972" spans="61:61">
      <c r="BI3972" s="386"/>
    </row>
    <row r="3973" spans="61:61">
      <c r="BI3973" s="386"/>
    </row>
    <row r="3974" spans="61:61">
      <c r="BI3974" s="386"/>
    </row>
    <row r="3975" spans="61:61">
      <c r="BI3975" s="386"/>
    </row>
    <row r="3976" spans="61:61">
      <c r="BI3976" s="386"/>
    </row>
    <row r="3977" spans="61:61">
      <c r="BI3977" s="386"/>
    </row>
    <row r="3978" spans="61:61">
      <c r="BI3978" s="386"/>
    </row>
    <row r="3979" spans="61:61">
      <c r="BI3979" s="386"/>
    </row>
    <row r="3980" spans="61:61">
      <c r="BI3980" s="386"/>
    </row>
    <row r="3981" spans="61:61">
      <c r="BI3981" s="386"/>
    </row>
    <row r="3982" spans="61:61">
      <c r="BI3982" s="386"/>
    </row>
    <row r="3983" spans="61:61">
      <c r="BI3983" s="386"/>
    </row>
    <row r="3984" spans="61:61">
      <c r="BI3984" s="386"/>
    </row>
    <row r="3985" spans="61:61">
      <c r="BI3985" s="386"/>
    </row>
    <row r="3986" spans="61:61">
      <c r="BI3986" s="386"/>
    </row>
    <row r="3987" spans="61:61">
      <c r="BI3987" s="386"/>
    </row>
    <row r="3988" spans="61:61">
      <c r="BI3988" s="386"/>
    </row>
    <row r="3989" spans="61:61">
      <c r="BI3989" s="386"/>
    </row>
    <row r="3990" spans="61:61">
      <c r="BI3990" s="386"/>
    </row>
    <row r="3991" spans="61:61">
      <c r="BI3991" s="386"/>
    </row>
    <row r="3992" spans="61:61">
      <c r="BI3992" s="386"/>
    </row>
    <row r="3993" spans="61:61">
      <c r="BI3993" s="386"/>
    </row>
    <row r="3994" spans="61:61">
      <c r="BI3994" s="386"/>
    </row>
    <row r="3995" spans="61:61">
      <c r="BI3995" s="386"/>
    </row>
    <row r="3996" spans="61:61">
      <c r="BI3996" s="386"/>
    </row>
    <row r="3997" spans="61:61">
      <c r="BI3997" s="386"/>
    </row>
    <row r="3998" spans="61:61">
      <c r="BI3998" s="386"/>
    </row>
    <row r="3999" spans="61:61">
      <c r="BI3999" s="386"/>
    </row>
    <row r="4000" spans="61:61">
      <c r="BI4000" s="386"/>
    </row>
    <row r="4001" spans="61:61">
      <c r="BI4001" s="386"/>
    </row>
    <row r="4002" spans="61:61">
      <c r="BI4002" s="386"/>
    </row>
    <row r="4003" spans="61:61">
      <c r="BI4003" s="386"/>
    </row>
    <row r="4004" spans="61:61">
      <c r="BI4004" s="386"/>
    </row>
    <row r="4005" spans="61:61">
      <c r="BI4005" s="386"/>
    </row>
    <row r="4006" spans="61:61">
      <c r="BI4006" s="386"/>
    </row>
    <row r="4007" spans="61:61">
      <c r="BI4007" s="386"/>
    </row>
    <row r="4008" spans="61:61">
      <c r="BI4008" s="386"/>
    </row>
    <row r="4009" spans="61:61">
      <c r="BI4009" s="386"/>
    </row>
    <row r="4010" spans="61:61">
      <c r="BI4010" s="386"/>
    </row>
    <row r="4011" spans="61:61">
      <c r="BI4011" s="386"/>
    </row>
    <row r="4012" spans="61:61">
      <c r="BI4012" s="386"/>
    </row>
    <row r="4013" spans="61:61">
      <c r="BI4013" s="386"/>
    </row>
    <row r="4014" spans="61:61">
      <c r="BI4014" s="386"/>
    </row>
    <row r="4015" spans="61:61">
      <c r="BI4015" s="386"/>
    </row>
    <row r="4016" spans="61:61">
      <c r="BI4016" s="386"/>
    </row>
    <row r="4017" spans="61:61">
      <c r="BI4017" s="386"/>
    </row>
    <row r="4018" spans="61:61">
      <c r="BI4018" s="386"/>
    </row>
    <row r="4019" spans="61:61">
      <c r="BI4019" s="386"/>
    </row>
    <row r="4020" spans="61:61">
      <c r="BI4020" s="386"/>
    </row>
    <row r="4021" spans="61:61">
      <c r="BI4021" s="386"/>
    </row>
    <row r="4022" spans="61:61">
      <c r="BI4022" s="386"/>
    </row>
    <row r="4023" spans="61:61">
      <c r="BI4023" s="386"/>
    </row>
    <row r="4024" spans="61:61">
      <c r="BI4024" s="386"/>
    </row>
    <row r="4025" spans="61:61">
      <c r="BI4025" s="386"/>
    </row>
    <row r="4026" spans="61:61">
      <c r="BI4026" s="386"/>
    </row>
    <row r="4027" spans="61:61">
      <c r="BI4027" s="386"/>
    </row>
    <row r="4028" spans="61:61">
      <c r="BI4028" s="386"/>
    </row>
    <row r="4029" spans="61:61">
      <c r="BI4029" s="386"/>
    </row>
    <row r="4030" spans="61:61">
      <c r="BI4030" s="386"/>
    </row>
    <row r="4031" spans="61:61">
      <c r="BI4031" s="386"/>
    </row>
    <row r="4032" spans="61:61">
      <c r="BI4032" s="386"/>
    </row>
    <row r="4033" spans="61:61">
      <c r="BI4033" s="386"/>
    </row>
    <row r="4034" spans="61:61">
      <c r="BI4034" s="386"/>
    </row>
    <row r="4035" spans="61:61">
      <c r="BI4035" s="386"/>
    </row>
    <row r="4036" spans="61:61">
      <c r="BI4036" s="386"/>
    </row>
    <row r="4037" spans="61:61">
      <c r="BI4037" s="386"/>
    </row>
    <row r="4038" spans="61:61">
      <c r="BI4038" s="386"/>
    </row>
    <row r="4039" spans="61:61">
      <c r="BI4039" s="386"/>
    </row>
    <row r="4040" spans="61:61">
      <c r="BI4040" s="386"/>
    </row>
    <row r="4041" spans="61:61">
      <c r="BI4041" s="386"/>
    </row>
    <row r="4042" spans="61:61">
      <c r="BI4042" s="386"/>
    </row>
    <row r="4043" spans="61:61">
      <c r="BI4043" s="386"/>
    </row>
    <row r="4044" spans="61:61">
      <c r="BI4044" s="386"/>
    </row>
    <row r="4045" spans="61:61">
      <c r="BI4045" s="386"/>
    </row>
    <row r="4046" spans="61:61">
      <c r="BI4046" s="386"/>
    </row>
    <row r="4047" spans="61:61">
      <c r="BI4047" s="386"/>
    </row>
    <row r="4048" spans="61:61">
      <c r="BI4048" s="386"/>
    </row>
    <row r="4049" spans="61:61">
      <c r="BI4049" s="386"/>
    </row>
    <row r="4050" spans="61:61">
      <c r="BI4050" s="386"/>
    </row>
    <row r="4051" spans="61:61">
      <c r="BI4051" s="386"/>
    </row>
    <row r="4052" spans="61:61">
      <c r="BI4052" s="386"/>
    </row>
    <row r="4053" spans="61:61">
      <c r="BI4053" s="386"/>
    </row>
    <row r="4054" spans="61:61">
      <c r="BI4054" s="386"/>
    </row>
    <row r="4055" spans="61:61">
      <c r="BI4055" s="386"/>
    </row>
    <row r="4056" spans="61:61">
      <c r="BI4056" s="386"/>
    </row>
    <row r="4057" spans="61:61">
      <c r="BI4057" s="386"/>
    </row>
    <row r="4058" spans="61:61">
      <c r="BI4058" s="386"/>
    </row>
    <row r="4059" spans="61:61">
      <c r="BI4059" s="386"/>
    </row>
    <row r="4060" spans="61:61">
      <c r="BI4060" s="386"/>
    </row>
    <row r="4061" spans="61:61">
      <c r="BI4061" s="386"/>
    </row>
    <row r="4062" spans="61:61">
      <c r="BI4062" s="386"/>
    </row>
    <row r="4063" spans="61:61">
      <c r="BI4063" s="386"/>
    </row>
    <row r="4064" spans="61:61">
      <c r="BI4064" s="386"/>
    </row>
    <row r="4065" spans="61:61">
      <c r="BI4065" s="386"/>
    </row>
    <row r="4066" spans="61:61">
      <c r="BI4066" s="386"/>
    </row>
    <row r="4067" spans="61:61">
      <c r="BI4067" s="386"/>
    </row>
    <row r="4068" spans="61:61">
      <c r="BI4068" s="386"/>
    </row>
    <row r="4069" spans="61:61">
      <c r="BI4069" s="386"/>
    </row>
    <row r="4070" spans="61:61">
      <c r="BI4070" s="386"/>
    </row>
    <row r="4071" spans="61:61">
      <c r="BI4071" s="386"/>
    </row>
    <row r="4072" spans="61:61">
      <c r="BI4072" s="386"/>
    </row>
    <row r="4073" spans="61:61">
      <c r="BI4073" s="386"/>
    </row>
    <row r="4074" spans="61:61">
      <c r="BI4074" s="386"/>
    </row>
    <row r="4075" spans="61:61">
      <c r="BI4075" s="386"/>
    </row>
    <row r="4076" spans="61:61">
      <c r="BI4076" s="386"/>
    </row>
    <row r="4077" spans="61:61">
      <c r="BI4077" s="386"/>
    </row>
    <row r="4078" spans="61:61">
      <c r="BI4078" s="386"/>
    </row>
    <row r="4079" spans="61:61">
      <c r="BI4079" s="386"/>
    </row>
    <row r="4080" spans="61:61">
      <c r="BI4080" s="386"/>
    </row>
    <row r="4081" spans="61:61">
      <c r="BI4081" s="386"/>
    </row>
    <row r="4082" spans="61:61">
      <c r="BI4082" s="386"/>
    </row>
    <row r="4083" spans="61:61">
      <c r="BI4083" s="386"/>
    </row>
    <row r="4084" spans="61:61">
      <c r="BI4084" s="386"/>
    </row>
    <row r="4085" spans="61:61">
      <c r="BI4085" s="386"/>
    </row>
    <row r="4086" spans="61:61">
      <c r="BI4086" s="386"/>
    </row>
    <row r="4087" spans="61:61">
      <c r="BI4087" s="386"/>
    </row>
    <row r="4088" spans="61:61">
      <c r="BI4088" s="386"/>
    </row>
    <row r="4089" spans="61:61">
      <c r="BI4089" s="386"/>
    </row>
    <row r="4090" spans="61:61">
      <c r="BI4090" s="386"/>
    </row>
    <row r="4091" spans="61:61">
      <c r="BI4091" s="386"/>
    </row>
    <row r="4092" spans="61:61">
      <c r="BI4092" s="386"/>
    </row>
    <row r="4093" spans="61:61">
      <c r="BI4093" s="386"/>
    </row>
    <row r="4094" spans="61:61">
      <c r="BI4094" s="386"/>
    </row>
    <row r="4095" spans="61:61">
      <c r="BI4095" s="386"/>
    </row>
    <row r="4096" spans="61:61">
      <c r="BI4096" s="386"/>
    </row>
    <row r="4097" spans="61:61">
      <c r="BI4097" s="386"/>
    </row>
    <row r="4098" spans="61:61">
      <c r="BI4098" s="386"/>
    </row>
    <row r="4099" spans="61:61">
      <c r="BI4099" s="386"/>
    </row>
    <row r="4100" spans="61:61">
      <c r="BI4100" s="386"/>
    </row>
    <row r="4101" spans="61:61">
      <c r="BI4101" s="386"/>
    </row>
    <row r="4102" spans="61:61">
      <c r="BI4102" s="386"/>
    </row>
    <row r="4103" spans="61:61">
      <c r="BI4103" s="386"/>
    </row>
    <row r="4104" spans="61:61">
      <c r="BI4104" s="386"/>
    </row>
    <row r="4105" spans="61:61">
      <c r="BI4105" s="386"/>
    </row>
    <row r="4106" spans="61:61">
      <c r="BI4106" s="386"/>
    </row>
    <row r="4107" spans="61:61">
      <c r="BI4107" s="386"/>
    </row>
    <row r="4108" spans="61:61">
      <c r="BI4108" s="386"/>
    </row>
    <row r="4109" spans="61:61">
      <c r="BI4109" s="386"/>
    </row>
    <row r="4110" spans="61:61">
      <c r="BI4110" s="386"/>
    </row>
    <row r="4111" spans="61:61">
      <c r="BI4111" s="386"/>
    </row>
    <row r="4112" spans="61:61">
      <c r="BI4112" s="386"/>
    </row>
    <row r="4113" spans="61:61">
      <c r="BI4113" s="386"/>
    </row>
    <row r="4114" spans="61:61">
      <c r="BI4114" s="386"/>
    </row>
    <row r="4115" spans="61:61">
      <c r="BI4115" s="386"/>
    </row>
    <row r="4116" spans="61:61">
      <c r="BI4116" s="386"/>
    </row>
    <row r="4117" spans="61:61">
      <c r="BI4117" s="386"/>
    </row>
    <row r="4118" spans="61:61">
      <c r="BI4118" s="386"/>
    </row>
    <row r="4119" spans="61:61">
      <c r="BI4119" s="386"/>
    </row>
    <row r="4120" spans="61:61">
      <c r="BI4120" s="386"/>
    </row>
    <row r="4121" spans="61:61">
      <c r="BI4121" s="386"/>
    </row>
    <row r="4122" spans="61:61">
      <c r="BI4122" s="386"/>
    </row>
    <row r="4123" spans="61:61">
      <c r="BI4123" s="386"/>
    </row>
    <row r="4124" spans="61:61">
      <c r="BI4124" s="386"/>
    </row>
    <row r="4125" spans="61:61">
      <c r="BI4125" s="386"/>
    </row>
    <row r="4126" spans="61:61">
      <c r="BI4126" s="386"/>
    </row>
    <row r="4127" spans="61:61">
      <c r="BI4127" s="386"/>
    </row>
    <row r="4128" spans="61:61">
      <c r="BI4128" s="386"/>
    </row>
    <row r="4129" spans="61:61">
      <c r="BI4129" s="386"/>
    </row>
    <row r="4130" spans="61:61">
      <c r="BI4130" s="386"/>
    </row>
    <row r="4131" spans="61:61">
      <c r="BI4131" s="386"/>
    </row>
    <row r="4132" spans="61:61">
      <c r="BI4132" s="386"/>
    </row>
    <row r="4133" spans="61:61">
      <c r="BI4133" s="386"/>
    </row>
    <row r="4134" spans="61:61">
      <c r="BI4134" s="386"/>
    </row>
    <row r="4135" spans="61:61">
      <c r="BI4135" s="386"/>
    </row>
    <row r="4136" spans="61:61">
      <c r="BI4136" s="386"/>
    </row>
    <row r="4137" spans="61:61">
      <c r="BI4137" s="386"/>
    </row>
    <row r="4138" spans="61:61">
      <c r="BI4138" s="386"/>
    </row>
    <row r="4139" spans="61:61">
      <c r="BI4139" s="386"/>
    </row>
    <row r="4140" spans="61:61">
      <c r="BI4140" s="386"/>
    </row>
    <row r="4141" spans="61:61">
      <c r="BI4141" s="386"/>
    </row>
    <row r="4142" spans="61:61">
      <c r="BI4142" s="386"/>
    </row>
    <row r="4143" spans="61:61">
      <c r="BI4143" s="386"/>
    </row>
    <row r="4144" spans="61:61">
      <c r="BI4144" s="386"/>
    </row>
    <row r="4145" spans="61:61">
      <c r="BI4145" s="386"/>
    </row>
    <row r="4146" spans="61:61">
      <c r="BI4146" s="386"/>
    </row>
    <row r="4147" spans="61:61">
      <c r="BI4147" s="386"/>
    </row>
    <row r="4148" spans="61:61">
      <c r="BI4148" s="386"/>
    </row>
    <row r="4149" spans="61:61">
      <c r="BI4149" s="386"/>
    </row>
    <row r="4150" spans="61:61">
      <c r="BI4150" s="386"/>
    </row>
    <row r="4151" spans="61:61">
      <c r="BI4151" s="386"/>
    </row>
    <row r="4152" spans="61:61">
      <c r="BI4152" s="386"/>
    </row>
    <row r="4153" spans="61:61">
      <c r="BI4153" s="386"/>
    </row>
    <row r="4154" spans="61:61">
      <c r="BI4154" s="386"/>
    </row>
    <row r="4155" spans="61:61">
      <c r="BI4155" s="386"/>
    </row>
    <row r="4156" spans="61:61">
      <c r="BI4156" s="386"/>
    </row>
    <row r="4157" spans="61:61">
      <c r="BI4157" s="386"/>
    </row>
    <row r="4158" spans="61:61">
      <c r="BI4158" s="386"/>
    </row>
    <row r="4159" spans="61:61">
      <c r="BI4159" s="386"/>
    </row>
    <row r="4160" spans="61:61">
      <c r="BI4160" s="386"/>
    </row>
    <row r="4161" spans="61:61">
      <c r="BI4161" s="386"/>
    </row>
    <row r="4162" spans="61:61">
      <c r="BI4162" s="386"/>
    </row>
    <row r="4163" spans="61:61">
      <c r="BI4163" s="386"/>
    </row>
    <row r="4164" spans="61:61">
      <c r="BI4164" s="386"/>
    </row>
    <row r="4165" spans="61:61">
      <c r="BI4165" s="386"/>
    </row>
    <row r="4166" spans="61:61">
      <c r="BI4166" s="386"/>
    </row>
    <row r="4167" spans="61:61">
      <c r="BI4167" s="386"/>
    </row>
    <row r="4168" spans="61:61">
      <c r="BI4168" s="386"/>
    </row>
    <row r="4169" spans="61:61">
      <c r="BI4169" s="386"/>
    </row>
    <row r="4170" spans="61:61">
      <c r="BI4170" s="386"/>
    </row>
    <row r="4171" spans="61:61">
      <c r="BI4171" s="386"/>
    </row>
    <row r="4172" spans="61:61">
      <c r="BI4172" s="386"/>
    </row>
    <row r="4173" spans="61:61">
      <c r="BI4173" s="386"/>
    </row>
    <row r="4174" spans="61:61">
      <c r="BI4174" s="386"/>
    </row>
    <row r="4175" spans="61:61">
      <c r="BI4175" s="386"/>
    </row>
    <row r="4176" spans="61:61">
      <c r="BI4176" s="386"/>
    </row>
    <row r="4177" spans="61:61">
      <c r="BI4177" s="386"/>
    </row>
    <row r="4178" spans="61:61">
      <c r="BI4178" s="386"/>
    </row>
    <row r="4179" spans="61:61">
      <c r="BI4179" s="386"/>
    </row>
    <row r="4180" spans="61:61">
      <c r="BI4180" s="386"/>
    </row>
    <row r="4181" spans="61:61">
      <c r="BI4181" s="386"/>
    </row>
    <row r="4182" spans="61:61">
      <c r="BI4182" s="386"/>
    </row>
    <row r="4183" spans="61:61">
      <c r="BI4183" s="386"/>
    </row>
    <row r="4184" spans="61:61">
      <c r="BI4184" s="386"/>
    </row>
    <row r="4185" spans="61:61">
      <c r="BI4185" s="386"/>
    </row>
    <row r="4186" spans="61:61">
      <c r="BI4186" s="386"/>
    </row>
    <row r="4187" spans="61:61">
      <c r="BI4187" s="386"/>
    </row>
    <row r="4188" spans="61:61">
      <c r="BI4188" s="386"/>
    </row>
    <row r="4189" spans="61:61">
      <c r="BI4189" s="386"/>
    </row>
    <row r="4190" spans="61:61">
      <c r="BI4190" s="386"/>
    </row>
    <row r="4191" spans="61:61">
      <c r="BI4191" s="386"/>
    </row>
    <row r="4192" spans="61:61">
      <c r="BI4192" s="386"/>
    </row>
    <row r="4193" spans="61:61">
      <c r="BI4193" s="386"/>
    </row>
    <row r="4194" spans="61:61">
      <c r="BI4194" s="386"/>
    </row>
    <row r="4195" spans="61:61">
      <c r="BI4195" s="386"/>
    </row>
    <row r="4196" spans="61:61">
      <c r="BI4196" s="386"/>
    </row>
    <row r="4197" spans="61:61">
      <c r="BI4197" s="386"/>
    </row>
    <row r="4198" spans="61:61">
      <c r="BI4198" s="386"/>
    </row>
    <row r="4199" spans="61:61">
      <c r="BI4199" s="386"/>
    </row>
    <row r="4200" spans="61:61">
      <c r="BI4200" s="386"/>
    </row>
    <row r="4201" spans="61:61">
      <c r="BI4201" s="386"/>
    </row>
    <row r="4202" spans="61:61">
      <c r="BI4202" s="386"/>
    </row>
    <row r="4203" spans="61:61">
      <c r="BI4203" s="386"/>
    </row>
    <row r="4204" spans="61:61">
      <c r="BI4204" s="386"/>
    </row>
    <row r="4205" spans="61:61">
      <c r="BI4205" s="386"/>
    </row>
    <row r="4206" spans="61:61">
      <c r="BI4206" s="386"/>
    </row>
    <row r="4207" spans="61:61">
      <c r="BI4207" s="386"/>
    </row>
    <row r="4208" spans="61:61">
      <c r="BI4208" s="386"/>
    </row>
    <row r="4209" spans="61:61">
      <c r="BI4209" s="386"/>
    </row>
    <row r="4210" spans="61:61">
      <c r="BI4210" s="386"/>
    </row>
    <row r="4211" spans="61:61">
      <c r="BI4211" s="386"/>
    </row>
    <row r="4212" spans="61:61">
      <c r="BI4212" s="386"/>
    </row>
    <row r="4213" spans="61:61">
      <c r="BI4213" s="386"/>
    </row>
    <row r="4214" spans="61:61">
      <c r="BI4214" s="386"/>
    </row>
    <row r="4215" spans="61:61">
      <c r="BI4215" s="386"/>
    </row>
    <row r="4216" spans="61:61">
      <c r="BI4216" s="386"/>
    </row>
    <row r="4217" spans="61:61">
      <c r="BI4217" s="386"/>
    </row>
    <row r="4218" spans="61:61">
      <c r="BI4218" s="386"/>
    </row>
    <row r="4219" spans="61:61">
      <c r="BI4219" s="386"/>
    </row>
    <row r="4220" spans="61:61">
      <c r="BI4220" s="386"/>
    </row>
    <row r="4221" spans="61:61">
      <c r="BI4221" s="386"/>
    </row>
    <row r="4222" spans="61:61">
      <c r="BI4222" s="386"/>
    </row>
    <row r="4223" spans="61:61">
      <c r="BI4223" s="386"/>
    </row>
    <row r="4224" spans="61:61">
      <c r="BI4224" s="386"/>
    </row>
    <row r="4225" spans="61:61">
      <c r="BI4225" s="386"/>
    </row>
    <row r="4226" spans="61:61">
      <c r="BI4226" s="386"/>
    </row>
    <row r="4227" spans="61:61">
      <c r="BI4227" s="386"/>
    </row>
    <row r="4228" spans="61:61">
      <c r="BI4228" s="386"/>
    </row>
    <row r="4229" spans="61:61">
      <c r="BI4229" s="386"/>
    </row>
    <row r="4230" spans="61:61">
      <c r="BI4230" s="386"/>
    </row>
    <row r="4231" spans="61:61">
      <c r="BI4231" s="386"/>
    </row>
    <row r="4232" spans="61:61">
      <c r="BI4232" s="386"/>
    </row>
    <row r="4233" spans="61:61">
      <c r="BI4233" s="386"/>
    </row>
    <row r="4234" spans="61:61">
      <c r="BI4234" s="386"/>
    </row>
    <row r="4235" spans="61:61">
      <c r="BI4235" s="386"/>
    </row>
    <row r="4236" spans="61:61">
      <c r="BI4236" s="386"/>
    </row>
    <row r="4237" spans="61:61">
      <c r="BI4237" s="386"/>
    </row>
    <row r="4238" spans="61:61">
      <c r="BI4238" s="386"/>
    </row>
    <row r="4239" spans="61:61">
      <c r="BI4239" s="386"/>
    </row>
    <row r="4240" spans="61:61">
      <c r="BI4240" s="386"/>
    </row>
    <row r="4241" spans="61:61">
      <c r="BI4241" s="386"/>
    </row>
    <row r="4242" spans="61:61">
      <c r="BI4242" s="386"/>
    </row>
    <row r="4243" spans="61:61">
      <c r="BI4243" s="386"/>
    </row>
    <row r="4244" spans="61:61">
      <c r="BI4244" s="386"/>
    </row>
    <row r="4245" spans="61:61">
      <c r="BI4245" s="386"/>
    </row>
    <row r="4246" spans="61:61">
      <c r="BI4246" s="386"/>
    </row>
    <row r="4247" spans="61:61">
      <c r="BI4247" s="386"/>
    </row>
    <row r="4248" spans="61:61">
      <c r="BI4248" s="386"/>
    </row>
    <row r="4249" spans="61:61">
      <c r="BI4249" s="386"/>
    </row>
    <row r="4250" spans="61:61">
      <c r="BI4250" s="386"/>
    </row>
    <row r="4251" spans="61:61">
      <c r="BI4251" s="386"/>
    </row>
    <row r="4252" spans="61:61">
      <c r="BI4252" s="386"/>
    </row>
    <row r="4253" spans="61:61">
      <c r="BI4253" s="386"/>
    </row>
    <row r="4254" spans="61:61">
      <c r="BI4254" s="386"/>
    </row>
    <row r="4255" spans="61:61">
      <c r="BI4255" s="386"/>
    </row>
    <row r="4256" spans="61:61">
      <c r="BI4256" s="386"/>
    </row>
    <row r="4257" spans="61:61">
      <c r="BI4257" s="386"/>
    </row>
    <row r="4258" spans="61:61">
      <c r="BI4258" s="386"/>
    </row>
    <row r="4259" spans="61:61">
      <c r="BI4259" s="386"/>
    </row>
    <row r="4260" spans="61:61">
      <c r="BI4260" s="386"/>
    </row>
    <row r="4261" spans="61:61">
      <c r="BI4261" s="386"/>
    </row>
    <row r="4262" spans="61:61">
      <c r="BI4262" s="386"/>
    </row>
    <row r="4263" spans="61:61">
      <c r="BI4263" s="386"/>
    </row>
    <row r="4264" spans="61:61">
      <c r="BI4264" s="386"/>
    </row>
    <row r="4265" spans="61:61">
      <c r="BI4265" s="386"/>
    </row>
    <row r="4266" spans="61:61">
      <c r="BI4266" s="386"/>
    </row>
    <row r="4267" spans="61:61">
      <c r="BI4267" s="386"/>
    </row>
    <row r="4268" spans="61:61">
      <c r="BI4268" s="386"/>
    </row>
    <row r="4269" spans="61:61">
      <c r="BI4269" s="386"/>
    </row>
    <row r="4270" spans="61:61">
      <c r="BI4270" s="386"/>
    </row>
    <row r="4271" spans="61:61">
      <c r="BI4271" s="386"/>
    </row>
    <row r="4272" spans="61:61">
      <c r="BI4272" s="386"/>
    </row>
    <row r="4273" spans="61:61">
      <c r="BI4273" s="386"/>
    </row>
    <row r="4274" spans="61:61">
      <c r="BI4274" s="386"/>
    </row>
    <row r="4275" spans="61:61">
      <c r="BI4275" s="386"/>
    </row>
    <row r="4276" spans="61:61">
      <c r="BI4276" s="386"/>
    </row>
    <row r="4277" spans="61:61">
      <c r="BI4277" s="386"/>
    </row>
    <row r="4278" spans="61:61">
      <c r="BI4278" s="386"/>
    </row>
    <row r="4279" spans="61:61">
      <c r="BI4279" s="386"/>
    </row>
    <row r="4280" spans="61:61">
      <c r="BI4280" s="386"/>
    </row>
    <row r="4281" spans="61:61">
      <c r="BI4281" s="386"/>
    </row>
    <row r="4282" spans="61:61">
      <c r="BI4282" s="386"/>
    </row>
    <row r="4283" spans="61:61">
      <c r="BI4283" s="386"/>
    </row>
    <row r="4284" spans="61:61">
      <c r="BI4284" s="386"/>
    </row>
    <row r="4285" spans="61:61">
      <c r="BI4285" s="386"/>
    </row>
    <row r="4286" spans="61:61">
      <c r="BI4286" s="386"/>
    </row>
    <row r="4287" spans="61:61">
      <c r="BI4287" s="386"/>
    </row>
    <row r="4288" spans="61:61">
      <c r="BI4288" s="386"/>
    </row>
    <row r="4289" spans="61:61">
      <c r="BI4289" s="386"/>
    </row>
    <row r="4290" spans="61:61">
      <c r="BI4290" s="386"/>
    </row>
    <row r="4291" spans="61:61">
      <c r="BI4291" s="386"/>
    </row>
    <row r="4292" spans="61:61">
      <c r="BI4292" s="386"/>
    </row>
    <row r="4293" spans="61:61">
      <c r="BI4293" s="386"/>
    </row>
    <row r="4294" spans="61:61">
      <c r="BI4294" s="386"/>
    </row>
    <row r="4295" spans="61:61">
      <c r="BI4295" s="386"/>
    </row>
    <row r="4296" spans="61:61">
      <c r="BI4296" s="386"/>
    </row>
    <row r="4297" spans="61:61">
      <c r="BI4297" s="386"/>
    </row>
    <row r="4298" spans="61:61">
      <c r="BI4298" s="386"/>
    </row>
    <row r="4299" spans="61:61">
      <c r="BI4299" s="386"/>
    </row>
    <row r="4300" spans="61:61">
      <c r="BI4300" s="386"/>
    </row>
    <row r="4301" spans="61:61">
      <c r="BI4301" s="386"/>
    </row>
    <row r="4302" spans="61:61">
      <c r="BI4302" s="386"/>
    </row>
    <row r="4303" spans="61:61">
      <c r="BI4303" s="386"/>
    </row>
    <row r="4304" spans="61:61">
      <c r="BI4304" s="386"/>
    </row>
    <row r="4305" spans="61:61">
      <c r="BI4305" s="386"/>
    </row>
    <row r="4306" spans="61:61">
      <c r="BI4306" s="386"/>
    </row>
    <row r="4307" spans="61:61">
      <c r="BI4307" s="386"/>
    </row>
    <row r="4308" spans="61:61">
      <c r="BI4308" s="386"/>
    </row>
    <row r="4309" spans="61:61">
      <c r="BI4309" s="386"/>
    </row>
    <row r="4310" spans="61:61">
      <c r="BI4310" s="386"/>
    </row>
    <row r="4311" spans="61:61">
      <c r="BI4311" s="386"/>
    </row>
    <row r="4312" spans="61:61">
      <c r="BI4312" s="386"/>
    </row>
    <row r="4313" spans="61:61">
      <c r="BI4313" s="386"/>
    </row>
    <row r="4314" spans="61:61">
      <c r="BI4314" s="386"/>
    </row>
    <row r="4315" spans="61:61">
      <c r="BI4315" s="386"/>
    </row>
    <row r="4316" spans="61:61">
      <c r="BI4316" s="386"/>
    </row>
    <row r="4317" spans="61:61">
      <c r="BI4317" s="386"/>
    </row>
    <row r="4318" spans="61:61">
      <c r="BI4318" s="386"/>
    </row>
    <row r="4319" spans="61:61">
      <c r="BI4319" s="386"/>
    </row>
    <row r="4320" spans="61:61">
      <c r="BI4320" s="386"/>
    </row>
    <row r="4321" spans="61:61">
      <c r="BI4321" s="386"/>
    </row>
    <row r="4322" spans="61:61">
      <c r="BI4322" s="386"/>
    </row>
    <row r="4323" spans="61:61">
      <c r="BI4323" s="386"/>
    </row>
    <row r="4324" spans="61:61">
      <c r="BI4324" s="386"/>
    </row>
    <row r="4325" spans="61:61">
      <c r="BI4325" s="386"/>
    </row>
    <row r="4326" spans="61:61">
      <c r="BI4326" s="386"/>
    </row>
    <row r="4327" spans="61:61">
      <c r="BI4327" s="386"/>
    </row>
    <row r="4328" spans="61:61">
      <c r="BI4328" s="386"/>
    </row>
    <row r="4329" spans="61:61">
      <c r="BI4329" s="386"/>
    </row>
    <row r="4330" spans="61:61">
      <c r="BI4330" s="386"/>
    </row>
    <row r="4331" spans="61:61">
      <c r="BI4331" s="386"/>
    </row>
    <row r="4332" spans="61:61">
      <c r="BI4332" s="386"/>
    </row>
    <row r="4333" spans="61:61">
      <c r="BI4333" s="386"/>
    </row>
    <row r="4334" spans="61:61">
      <c r="BI4334" s="386"/>
    </row>
    <row r="4335" spans="61:61">
      <c r="BI4335" s="386"/>
    </row>
    <row r="4336" spans="61:61">
      <c r="BI4336" s="386"/>
    </row>
    <row r="4337" spans="61:61">
      <c r="BI4337" s="386"/>
    </row>
    <row r="4338" spans="61:61">
      <c r="BI4338" s="386"/>
    </row>
    <row r="4339" spans="61:61">
      <c r="BI4339" s="386"/>
    </row>
    <row r="4340" spans="61:61">
      <c r="BI4340" s="386"/>
    </row>
    <row r="4341" spans="61:61">
      <c r="BI4341" s="386"/>
    </row>
    <row r="4342" spans="61:61">
      <c r="BI4342" s="386"/>
    </row>
    <row r="4343" spans="61:61">
      <c r="BI4343" s="386"/>
    </row>
    <row r="4344" spans="61:61">
      <c r="BI4344" s="386"/>
    </row>
    <row r="4345" spans="61:61">
      <c r="BI4345" s="386"/>
    </row>
    <row r="4346" spans="61:61">
      <c r="BI4346" s="386"/>
    </row>
    <row r="4347" spans="61:61">
      <c r="BI4347" s="386"/>
    </row>
    <row r="4348" spans="61:61">
      <c r="BI4348" s="386"/>
    </row>
    <row r="4349" spans="61:61">
      <c r="BI4349" s="386"/>
    </row>
    <row r="4350" spans="61:61">
      <c r="BI4350" s="386"/>
    </row>
    <row r="4351" spans="61:61">
      <c r="BI4351" s="386"/>
    </row>
    <row r="4352" spans="61:61">
      <c r="BI4352" s="386"/>
    </row>
    <row r="4353" spans="61:61">
      <c r="BI4353" s="386"/>
    </row>
    <row r="4354" spans="61:61">
      <c r="BI4354" s="386"/>
    </row>
    <row r="4355" spans="61:61">
      <c r="BI4355" s="386"/>
    </row>
    <row r="4356" spans="61:61">
      <c r="BI4356" s="386"/>
    </row>
    <row r="4357" spans="61:61">
      <c r="BI4357" s="386"/>
    </row>
    <row r="4358" spans="61:61">
      <c r="BI4358" s="386"/>
    </row>
    <row r="4359" spans="61:61">
      <c r="BI4359" s="386"/>
    </row>
    <row r="4360" spans="61:61">
      <c r="BI4360" s="386"/>
    </row>
    <row r="4361" spans="61:61">
      <c r="BI4361" s="386"/>
    </row>
    <row r="4362" spans="61:61">
      <c r="BI4362" s="386"/>
    </row>
    <row r="4363" spans="61:61">
      <c r="BI4363" s="386"/>
    </row>
    <row r="4364" spans="61:61">
      <c r="BI4364" s="386"/>
    </row>
    <row r="4365" spans="61:61">
      <c r="BI4365" s="386"/>
    </row>
    <row r="4366" spans="61:61">
      <c r="BI4366" s="386"/>
    </row>
    <row r="4367" spans="61:61">
      <c r="BI4367" s="386"/>
    </row>
    <row r="4368" spans="61:61">
      <c r="BI4368" s="386"/>
    </row>
    <row r="4369" spans="61:61">
      <c r="BI4369" s="386"/>
    </row>
    <row r="4370" spans="61:61">
      <c r="BI4370" s="386"/>
    </row>
    <row r="4371" spans="61:61">
      <c r="BI4371" s="386"/>
    </row>
    <row r="4372" spans="61:61">
      <c r="BI4372" s="386"/>
    </row>
    <row r="4373" spans="61:61">
      <c r="BI4373" s="386"/>
    </row>
    <row r="4374" spans="61:61">
      <c r="BI4374" s="386"/>
    </row>
    <row r="4375" spans="61:61">
      <c r="BI4375" s="386"/>
    </row>
    <row r="4376" spans="61:61">
      <c r="BI4376" s="386"/>
    </row>
    <row r="4377" spans="61:61">
      <c r="BI4377" s="386"/>
    </row>
    <row r="4378" spans="61:61">
      <c r="BI4378" s="386"/>
    </row>
    <row r="4379" spans="61:61">
      <c r="BI4379" s="386"/>
    </row>
    <row r="4380" spans="61:61">
      <c r="BI4380" s="386"/>
    </row>
    <row r="4381" spans="61:61">
      <c r="BI4381" s="386"/>
    </row>
    <row r="4382" spans="61:61">
      <c r="BI4382" s="386"/>
    </row>
    <row r="4383" spans="61:61">
      <c r="BI4383" s="386"/>
    </row>
    <row r="4384" spans="61:61">
      <c r="BI4384" s="386"/>
    </row>
    <row r="4385" spans="61:61">
      <c r="BI4385" s="386"/>
    </row>
    <row r="4386" spans="61:61">
      <c r="BI4386" s="386"/>
    </row>
    <row r="4387" spans="61:61">
      <c r="BI4387" s="386"/>
    </row>
    <row r="4388" spans="61:61">
      <c r="BI4388" s="386"/>
    </row>
  </sheetData>
  <phoneticPr fontId="16" type="noConversion"/>
  <conditionalFormatting sqref="BQ125:BQ65421">
    <cfRule type="cellIs" dxfId="16" priority="1" stopIfTrue="1" operator="lessThan">
      <formula>0</formula>
    </cfRule>
  </conditionalFormatting>
  <pageMargins left="0.75" right="0.75" top="1" bottom="1" header="0.5" footer="0.5"/>
  <headerFooter alignWithMargins="0"/>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FF0000"/>
  </sheetPr>
  <dimension ref="A1:M126"/>
  <sheetViews>
    <sheetView workbookViewId="0">
      <pane xSplit="3" ySplit="4" topLeftCell="D5" activePane="bottomRight" state="frozen"/>
      <selection activeCell="BS64" sqref="BS64"/>
      <selection pane="topRight" activeCell="BS64" sqref="BS64"/>
      <selection pane="bottomLeft" activeCell="BS64" sqref="BS64"/>
      <selection pane="bottomRight" activeCell="D83" sqref="D83"/>
    </sheetView>
  </sheetViews>
  <sheetFormatPr defaultColWidth="9.21875" defaultRowHeight="13.2"/>
  <cols>
    <col min="1" max="1" width="8.77734375" style="221" customWidth="1"/>
    <col min="2" max="2" width="44.77734375" style="222" bestFit="1" customWidth="1"/>
    <col min="3" max="3" width="15.77734375" style="222" bestFit="1" customWidth="1"/>
    <col min="4" max="4" width="8.77734375" style="221" customWidth="1"/>
    <col min="5" max="5" width="9.77734375" style="171" bestFit="1" customWidth="1"/>
    <col min="6" max="6" width="9.21875" style="171"/>
    <col min="7" max="7" width="9.77734375" style="171" bestFit="1" customWidth="1"/>
    <col min="8" max="8" width="2.44140625" style="169" customWidth="1"/>
    <col min="9" max="9" width="9.77734375" style="291" bestFit="1" customWidth="1"/>
    <col min="10" max="10" width="9.77734375" style="292" bestFit="1" customWidth="1"/>
    <col min="11" max="16384" width="9.21875" style="169"/>
  </cols>
  <sheetData>
    <row r="1" spans="1:13">
      <c r="A1" s="238" t="s">
        <v>1378</v>
      </c>
      <c r="B1" s="246"/>
      <c r="C1" s="246"/>
      <c r="D1" s="384"/>
      <c r="E1" s="387"/>
      <c r="F1" s="387"/>
      <c r="G1" s="387"/>
      <c r="H1" s="251"/>
      <c r="I1" s="388"/>
      <c r="K1" s="251"/>
      <c r="L1" s="251"/>
      <c r="M1" s="251"/>
    </row>
    <row r="2" spans="1:13">
      <c r="A2" s="384"/>
      <c r="B2" s="246"/>
      <c r="C2" s="246"/>
      <c r="D2" s="384"/>
      <c r="E2" s="389"/>
      <c r="F2" s="387"/>
      <c r="G2" s="387"/>
      <c r="H2" s="251"/>
      <c r="I2" s="388"/>
      <c r="K2" s="251"/>
      <c r="L2" s="251"/>
      <c r="M2" s="251"/>
    </row>
    <row r="3" spans="1:13">
      <c r="A3" s="298">
        <v>1</v>
      </c>
      <c r="B3" s="237">
        <v>2</v>
      </c>
      <c r="C3" s="381">
        <v>3</v>
      </c>
      <c r="D3" s="298">
        <v>4</v>
      </c>
      <c r="E3" s="387">
        <v>5</v>
      </c>
      <c r="F3" s="387">
        <v>6</v>
      </c>
      <c r="G3" s="387"/>
      <c r="H3" s="251"/>
      <c r="I3" s="388"/>
      <c r="K3" s="251"/>
      <c r="L3" s="251"/>
      <c r="M3" s="251"/>
    </row>
    <row r="4" spans="1:13" s="240" customFormat="1" ht="39.6">
      <c r="A4" s="217" t="s">
        <v>878</v>
      </c>
      <c r="B4" s="264" t="s">
        <v>877</v>
      </c>
      <c r="C4" s="218" t="s">
        <v>873</v>
      </c>
      <c r="D4" s="217" t="s">
        <v>1366</v>
      </c>
      <c r="E4" s="254" t="s">
        <v>1379</v>
      </c>
      <c r="F4" s="254" t="s">
        <v>672</v>
      </c>
      <c r="G4" s="239" t="s">
        <v>1380</v>
      </c>
      <c r="H4" s="390"/>
      <c r="I4" s="293" t="s">
        <v>1381</v>
      </c>
      <c r="J4" s="294" t="s">
        <v>1382</v>
      </c>
      <c r="K4" s="390"/>
      <c r="L4" s="390"/>
      <c r="M4" s="390"/>
    </row>
    <row r="5" spans="1:13" ht="13.8">
      <c r="A5" s="288">
        <v>3373</v>
      </c>
      <c r="B5" s="288" t="s">
        <v>703</v>
      </c>
      <c r="C5" s="248" t="str">
        <f>IF(LEFT(A5,1)="1","Nursery",IF(LEFT(A5,1)="2","Primary",IF(LEFT(A5,1)="3","Primary",IF(LEFT(A5,1)="7","Special","NA"))))</f>
        <v>Primary</v>
      </c>
      <c r="D5" s="380"/>
      <c r="E5" s="284">
        <f>VLOOKUP($A5,'Data - CFR 202526'!$B$4:$CO$134,69,0)+VLOOKUP($A5,'Data - CFR 202526'!$B$4:$CJ$134,70,0)</f>
        <v>12316.100000000079</v>
      </c>
      <c r="F5" s="284">
        <f>VLOOKUP($A5,'Data - CFR 202526'!$B$4:$CO$134,71,0)</f>
        <v>0</v>
      </c>
      <c r="G5" s="207">
        <f>SUM(E5:F5)</f>
        <v>12316.100000000079</v>
      </c>
      <c r="H5" s="251"/>
      <c r="I5" s="391"/>
      <c r="J5" s="295">
        <f>G5-I5</f>
        <v>12316.100000000079</v>
      </c>
      <c r="K5" s="251"/>
      <c r="L5" s="251"/>
      <c r="M5" s="392"/>
    </row>
    <row r="6" spans="1:13" ht="13.8">
      <c r="A6" s="288">
        <v>3061</v>
      </c>
      <c r="B6" s="288" t="s">
        <v>705</v>
      </c>
      <c r="C6" s="248" t="str">
        <f t="shared" ref="C6:C69" si="0">IF(LEFT(A6,1)="1","Nursery",IF(LEFT(A6,1)="2","Primary",IF(LEFT(A6,1)="3","Primary",IF(LEFT(A6,1)="7","Special","NA"))))</f>
        <v>Primary</v>
      </c>
      <c r="D6" s="380"/>
      <c r="E6" s="284">
        <f>VLOOKUP($A6,'Data - CFR 202526'!$B$4:$CO$134,69,0)+VLOOKUP($A6,'Data - CFR 202526'!$B$4:$CJ$134,70,0)</f>
        <v>72574.309999999619</v>
      </c>
      <c r="F6" s="284">
        <f>VLOOKUP($A6,'Data - CFR 202526'!$B$4:$CO$134,71,0)</f>
        <v>0</v>
      </c>
      <c r="G6" s="207">
        <f t="shared" ref="G6:G16" si="1">SUM(E6:F6)</f>
        <v>72574.309999999619</v>
      </c>
      <c r="H6" s="251"/>
      <c r="I6" s="391"/>
      <c r="J6" s="295">
        <f t="shared" ref="J6:J26" si="2">G6-I6</f>
        <v>72574.309999999619</v>
      </c>
      <c r="K6" s="251"/>
      <c r="L6" s="251"/>
      <c r="M6" s="392"/>
    </row>
    <row r="7" spans="1:13" ht="13.8">
      <c r="A7" s="288">
        <v>2083</v>
      </c>
      <c r="B7" s="288" t="s">
        <v>706</v>
      </c>
      <c r="C7" s="248" t="str">
        <f t="shared" si="0"/>
        <v>Primary</v>
      </c>
      <c r="D7" s="380"/>
      <c r="E7" s="284">
        <f>VLOOKUP($A7,'Data - CFR 202526'!$B$4:$CO$134,69,0)+VLOOKUP($A7,'Data - CFR 202526'!$B$4:$CJ$134,70,0)</f>
        <v>152241.20999999996</v>
      </c>
      <c r="F7" s="284">
        <f>VLOOKUP($A7,'Data - CFR 202526'!$B$4:$CO$134,71,0)</f>
        <v>0</v>
      </c>
      <c r="G7" s="207">
        <f t="shared" si="1"/>
        <v>152241.20999999996</v>
      </c>
      <c r="H7" s="251"/>
      <c r="I7" s="391"/>
      <c r="J7" s="295">
        <f t="shared" si="2"/>
        <v>152241.20999999996</v>
      </c>
      <c r="K7" s="251"/>
      <c r="L7" s="251"/>
      <c r="M7" s="392"/>
    </row>
    <row r="8" spans="1:13" ht="13.8">
      <c r="A8" s="288">
        <v>2118</v>
      </c>
      <c r="B8" s="288" t="s">
        <v>707</v>
      </c>
      <c r="C8" s="248" t="str">
        <f t="shared" si="0"/>
        <v>Primary</v>
      </c>
      <c r="D8" s="380"/>
      <c r="E8" s="284">
        <f>VLOOKUP($A8,'Data - CFR 202526'!$B$4:$CO$134,69,0)+VLOOKUP($A8,'Data - CFR 202526'!$B$4:$CJ$134,70,0)</f>
        <v>399417.75000000081</v>
      </c>
      <c r="F8" s="284">
        <f>VLOOKUP($A8,'Data - CFR 202526'!$B$4:$CO$134,71,0)</f>
        <v>0</v>
      </c>
      <c r="G8" s="207">
        <f t="shared" si="1"/>
        <v>399417.75000000081</v>
      </c>
      <c r="H8" s="251"/>
      <c r="I8" s="391"/>
      <c r="J8" s="295">
        <f t="shared" si="2"/>
        <v>399417.75000000081</v>
      </c>
      <c r="K8" s="251"/>
      <c r="L8" s="251"/>
      <c r="M8" s="392"/>
    </row>
    <row r="9" spans="1:13" ht="13.8">
      <c r="A9" s="288">
        <v>2217</v>
      </c>
      <c r="B9" s="288" t="s">
        <v>708</v>
      </c>
      <c r="C9" s="248" t="str">
        <f t="shared" si="0"/>
        <v>Primary</v>
      </c>
      <c r="D9" s="380"/>
      <c r="E9" s="284">
        <f>VLOOKUP($A9,'Data - CFR 202526'!$B$4:$CO$134,69,0)+VLOOKUP($A9,'Data - CFR 202526'!$B$4:$CJ$134,70,0)</f>
        <v>-8989.7199999997756</v>
      </c>
      <c r="F9" s="284">
        <f>VLOOKUP($A9,'Data - CFR 202526'!$B$4:$CO$134,71,0)</f>
        <v>4164.9100000000008</v>
      </c>
      <c r="G9" s="207">
        <f t="shared" si="1"/>
        <v>-4824.8099999997748</v>
      </c>
      <c r="H9" s="251"/>
      <c r="I9" s="391"/>
      <c r="J9" s="295">
        <f t="shared" si="2"/>
        <v>-4824.8099999997748</v>
      </c>
      <c r="K9" s="251"/>
      <c r="L9" s="251"/>
      <c r="M9" s="392"/>
    </row>
    <row r="10" spans="1:13" ht="13.8">
      <c r="A10" s="288">
        <v>3067</v>
      </c>
      <c r="B10" s="288" t="s">
        <v>709</v>
      </c>
      <c r="C10" s="248" t="str">
        <f t="shared" si="0"/>
        <v>Primary</v>
      </c>
      <c r="D10" s="380"/>
      <c r="E10" s="284">
        <f>VLOOKUP($A10,'Data - CFR 202526'!$B$4:$CO$134,69,0)+VLOOKUP($A10,'Data - CFR 202526'!$B$4:$CJ$134,70,0)</f>
        <v>91035.759999999806</v>
      </c>
      <c r="F10" s="284">
        <f>VLOOKUP($A10,'Data - CFR 202526'!$B$4:$CO$134,71,0)</f>
        <v>0</v>
      </c>
      <c r="G10" s="207">
        <f t="shared" si="1"/>
        <v>91035.759999999806</v>
      </c>
      <c r="H10" s="251"/>
      <c r="I10" s="391"/>
      <c r="J10" s="295">
        <f t="shared" si="2"/>
        <v>91035.759999999806</v>
      </c>
      <c r="K10" s="251"/>
      <c r="L10" s="251"/>
      <c r="M10" s="392"/>
    </row>
    <row r="11" spans="1:13" ht="13.8">
      <c r="A11" s="289">
        <v>3001</v>
      </c>
      <c r="B11" s="289" t="s">
        <v>710</v>
      </c>
      <c r="C11" s="248" t="str">
        <f t="shared" si="0"/>
        <v>Primary</v>
      </c>
      <c r="D11" s="380"/>
      <c r="E11" s="284">
        <f>VLOOKUP($A11,'Data - CFR 202526'!$B$4:$CO$134,69,0)+VLOOKUP($A11,'Data - CFR 202526'!$B$4:$CJ$134,70,0)</f>
        <v>-83991.379999999335</v>
      </c>
      <c r="F11" s="284">
        <f>VLOOKUP($A11,'Data - CFR 202526'!$B$4:$CO$134,71,0)</f>
        <v>0</v>
      </c>
      <c r="G11" s="207">
        <f t="shared" si="1"/>
        <v>-83991.379999999335</v>
      </c>
      <c r="H11" s="251"/>
      <c r="I11" s="391"/>
      <c r="J11" s="295">
        <f t="shared" si="2"/>
        <v>-83991.379999999335</v>
      </c>
      <c r="K11" s="251"/>
      <c r="L11" s="251"/>
      <c r="M11" s="392"/>
    </row>
    <row r="12" spans="1:13" ht="13.8">
      <c r="A12" s="288">
        <v>3301</v>
      </c>
      <c r="B12" s="288" t="s">
        <v>711</v>
      </c>
      <c r="C12" s="248" t="str">
        <f t="shared" si="0"/>
        <v>Primary</v>
      </c>
      <c r="D12" s="380"/>
      <c r="E12" s="284">
        <f>VLOOKUP($A12,'Data - CFR 202526'!$B$4:$CO$134,69,0)+VLOOKUP($A12,'Data - CFR 202526'!$B$4:$CJ$134,70,0)</f>
        <v>101672.35999999978</v>
      </c>
      <c r="F12" s="284">
        <f>VLOOKUP($A12,'Data - CFR 202526'!$B$4:$CO$134,71,0)</f>
        <v>0</v>
      </c>
      <c r="G12" s="207">
        <f t="shared" si="1"/>
        <v>101672.35999999978</v>
      </c>
      <c r="H12" s="251"/>
      <c r="I12" s="391"/>
      <c r="J12" s="295">
        <f t="shared" si="2"/>
        <v>101672.35999999978</v>
      </c>
      <c r="K12" s="251"/>
      <c r="L12" s="251"/>
      <c r="M12" s="392"/>
    </row>
    <row r="13" spans="1:13" ht="13.8">
      <c r="A13" s="288">
        <v>2002</v>
      </c>
      <c r="B13" s="288" t="s">
        <v>712</v>
      </c>
      <c r="C13" s="248" t="str">
        <f t="shared" si="0"/>
        <v>Primary</v>
      </c>
      <c r="D13" s="380"/>
      <c r="E13" s="284">
        <f>VLOOKUP($A13,'Data - CFR 202526'!$B$4:$CO$134,69,0)+VLOOKUP($A13,'Data - CFR 202526'!$B$4:$CJ$134,70,0)</f>
        <v>132734.10000000003</v>
      </c>
      <c r="F13" s="284">
        <f>VLOOKUP($A13,'Data - CFR 202526'!$B$4:$CO$134,71,0)</f>
        <v>0</v>
      </c>
      <c r="G13" s="207">
        <f t="shared" si="1"/>
        <v>132734.10000000003</v>
      </c>
      <c r="H13" s="251"/>
      <c r="I13" s="391"/>
      <c r="J13" s="295">
        <f t="shared" si="2"/>
        <v>132734.10000000003</v>
      </c>
      <c r="K13" s="251"/>
      <c r="L13" s="251"/>
      <c r="M13" s="392"/>
    </row>
    <row r="14" spans="1:13" ht="13.8">
      <c r="A14" s="288">
        <v>2082</v>
      </c>
      <c r="B14" s="288" t="s">
        <v>713</v>
      </c>
      <c r="C14" s="248" t="str">
        <f t="shared" si="0"/>
        <v>Primary</v>
      </c>
      <c r="D14" s="380"/>
      <c r="E14" s="284">
        <f>VLOOKUP($A14,'Data - CFR 202526'!$B$4:$CO$134,69,0)+VLOOKUP($A14,'Data - CFR 202526'!$B$4:$CJ$134,70,0)</f>
        <v>177588.24999999971</v>
      </c>
      <c r="F14" s="284">
        <f>VLOOKUP($A14,'Data - CFR 202526'!$B$4:$CO$134,71,0)</f>
        <v>0</v>
      </c>
      <c r="G14" s="207">
        <f t="shared" si="1"/>
        <v>177588.24999999971</v>
      </c>
      <c r="H14" s="251"/>
      <c r="I14" s="391"/>
      <c r="J14" s="295">
        <f t="shared" si="2"/>
        <v>177588.24999999971</v>
      </c>
      <c r="K14" s="251"/>
      <c r="L14" s="251"/>
      <c r="M14" s="392"/>
    </row>
    <row r="15" spans="1:13" ht="13.8">
      <c r="A15" s="288">
        <v>3943</v>
      </c>
      <c r="B15" s="288" t="s">
        <v>714</v>
      </c>
      <c r="C15" s="248" t="str">
        <f t="shared" si="0"/>
        <v>Primary</v>
      </c>
      <c r="D15" s="380"/>
      <c r="E15" s="284">
        <f>VLOOKUP($A15,'Data - CFR 202526'!$B$4:$CO$134,69,0)+VLOOKUP($A15,'Data - CFR 202526'!$B$4:$CJ$134,70,0)</f>
        <v>95309.329999998736</v>
      </c>
      <c r="F15" s="284">
        <f>VLOOKUP($A15,'Data - CFR 202526'!$B$4:$CO$134,71,0)</f>
        <v>0</v>
      </c>
      <c r="G15" s="207">
        <f t="shared" si="1"/>
        <v>95309.329999998736</v>
      </c>
      <c r="H15" s="251"/>
      <c r="I15" s="391"/>
      <c r="J15" s="295">
        <f t="shared" si="2"/>
        <v>95309.329999998736</v>
      </c>
      <c r="K15" s="251"/>
      <c r="L15" s="251"/>
      <c r="M15" s="392"/>
    </row>
    <row r="16" spans="1:13" ht="13.8">
      <c r="A16" s="288">
        <v>2060</v>
      </c>
      <c r="B16" s="288" t="s">
        <v>715</v>
      </c>
      <c r="C16" s="248" t="str">
        <f t="shared" si="0"/>
        <v>Primary</v>
      </c>
      <c r="D16" s="380"/>
      <c r="E16" s="284">
        <f>VLOOKUP($A16,'Data - CFR 202526'!$B$4:$CO$134,69,0)+VLOOKUP($A16,'Data - CFR 202526'!$B$4:$CJ$134,70,0)</f>
        <v>59429.290000000154</v>
      </c>
      <c r="F16" s="284">
        <f>VLOOKUP($A16,'Data - CFR 202526'!$B$4:$CO$134,71,0)</f>
        <v>0</v>
      </c>
      <c r="G16" s="207">
        <f t="shared" si="1"/>
        <v>59429.290000000154</v>
      </c>
      <c r="H16" s="251"/>
      <c r="I16" s="391"/>
      <c r="J16" s="295">
        <f t="shared" si="2"/>
        <v>59429.290000000154</v>
      </c>
      <c r="K16" s="251"/>
      <c r="L16" s="251"/>
      <c r="M16" s="392"/>
    </row>
    <row r="17" spans="1:13" ht="13.8">
      <c r="A17" s="288">
        <v>2312</v>
      </c>
      <c r="B17" s="288" t="s">
        <v>716</v>
      </c>
      <c r="C17" s="248" t="str">
        <f t="shared" si="0"/>
        <v>Primary</v>
      </c>
      <c r="D17" s="380"/>
      <c r="E17" s="284">
        <f>VLOOKUP($A17,'Data - CFR 202526'!$B$4:$CO$134,69,0)+VLOOKUP($A17,'Data - CFR 202526'!$B$4:$CJ$134,70,0)</f>
        <v>72875.960000000254</v>
      </c>
      <c r="F17" s="284">
        <f>VLOOKUP($A17,'Data - CFR 202526'!$B$4:$CO$134,71,0)</f>
        <v>62951.14</v>
      </c>
      <c r="G17" s="207">
        <f t="shared" ref="G17:G26" si="3">SUM(E17:F17)</f>
        <v>135827.10000000027</v>
      </c>
      <c r="H17" s="251"/>
      <c r="I17" s="391"/>
      <c r="J17" s="295">
        <f t="shared" si="2"/>
        <v>135827.10000000027</v>
      </c>
      <c r="K17" s="251"/>
      <c r="L17" s="251"/>
      <c r="M17" s="392"/>
    </row>
    <row r="18" spans="1:13" ht="13.8">
      <c r="A18" s="288">
        <v>3942</v>
      </c>
      <c r="B18" s="288" t="s">
        <v>717</v>
      </c>
      <c r="C18" s="248" t="str">
        <f t="shared" si="0"/>
        <v>Primary</v>
      </c>
      <c r="D18" s="380"/>
      <c r="E18" s="284">
        <f>VLOOKUP($A18,'Data - CFR 202526'!$B$4:$CO$134,69,0)+VLOOKUP($A18,'Data - CFR 202526'!$B$4:$CJ$134,70,0)</f>
        <v>527103.78000000038</v>
      </c>
      <c r="F18" s="284">
        <f>VLOOKUP($A18,'Data - CFR 202526'!$B$4:$CO$134,71,0)</f>
        <v>140935.77999999997</v>
      </c>
      <c r="G18" s="207">
        <f t="shared" si="3"/>
        <v>668039.56000000029</v>
      </c>
      <c r="H18" s="251"/>
      <c r="I18" s="391"/>
      <c r="J18" s="295">
        <f t="shared" si="2"/>
        <v>668039.56000000029</v>
      </c>
      <c r="K18" s="251"/>
      <c r="L18" s="251"/>
      <c r="M18" s="392"/>
    </row>
    <row r="19" spans="1:13" ht="13.8">
      <c r="A19" s="288">
        <v>3081</v>
      </c>
      <c r="B19" s="288" t="s">
        <v>718</v>
      </c>
      <c r="C19" s="248" t="str">
        <f t="shared" si="0"/>
        <v>Primary</v>
      </c>
      <c r="D19" s="380"/>
      <c r="E19" s="284">
        <f>VLOOKUP($A19,'Data - CFR 202526'!$B$4:$CO$134,69,0)+VLOOKUP($A19,'Data - CFR 202526'!$B$4:$CJ$134,70,0)</f>
        <v>111330.6799999997</v>
      </c>
      <c r="F19" s="284">
        <f>VLOOKUP($A19,'Data - CFR 202526'!$B$4:$CO$134,71,0)</f>
        <v>0</v>
      </c>
      <c r="G19" s="207">
        <f t="shared" si="3"/>
        <v>111330.6799999997</v>
      </c>
      <c r="H19" s="251"/>
      <c r="I19" s="391"/>
      <c r="J19" s="295">
        <f t="shared" si="2"/>
        <v>111330.6799999997</v>
      </c>
      <c r="K19" s="251"/>
      <c r="L19" s="251"/>
      <c r="M19" s="392"/>
    </row>
    <row r="20" spans="1:13" ht="13.8">
      <c r="A20" s="288">
        <v>1005</v>
      </c>
      <c r="B20" s="288" t="s">
        <v>719</v>
      </c>
      <c r="C20" s="248" t="str">
        <f t="shared" si="0"/>
        <v>Nursery</v>
      </c>
      <c r="D20" s="380"/>
      <c r="E20" s="284">
        <f>VLOOKUP($A20,'Data - CFR 202526'!$B$4:$CO$134,69,0)+VLOOKUP($A20,'Data - CFR 202526'!$B$4:$CJ$134,70,0)</f>
        <v>-45056.34000000036</v>
      </c>
      <c r="F20" s="284">
        <f>VLOOKUP($A20,'Data - CFR 202526'!$B$4:$CO$134,71,0)</f>
        <v>313523.47000000003</v>
      </c>
      <c r="G20" s="207">
        <f t="shared" si="3"/>
        <v>268467.12999999966</v>
      </c>
      <c r="H20" s="251"/>
      <c r="I20" s="391"/>
      <c r="J20" s="295">
        <f t="shared" si="2"/>
        <v>268467.12999999966</v>
      </c>
      <c r="K20" s="251"/>
      <c r="L20" s="251"/>
      <c r="M20" s="392"/>
    </row>
    <row r="21" spans="1:13" ht="13.8">
      <c r="A21" s="288">
        <v>2327</v>
      </c>
      <c r="B21" s="288" t="s">
        <v>721</v>
      </c>
      <c r="C21" s="248" t="str">
        <f t="shared" si="0"/>
        <v>Primary</v>
      </c>
      <c r="D21" s="380"/>
      <c r="E21" s="284">
        <f>VLOOKUP($A21,'Data - CFR 202526'!$B$4:$CO$134,69,0)+VLOOKUP($A21,'Data - CFR 202526'!$B$4:$CJ$134,70,0)</f>
        <v>223748.60000000143</v>
      </c>
      <c r="F21" s="284">
        <f>VLOOKUP($A21,'Data - CFR 202526'!$B$4:$CO$134,71,0)</f>
        <v>0</v>
      </c>
      <c r="G21" s="207">
        <f t="shared" si="3"/>
        <v>223748.60000000143</v>
      </c>
      <c r="H21" s="251"/>
      <c r="I21" s="391"/>
      <c r="J21" s="295">
        <f t="shared" si="2"/>
        <v>223748.60000000143</v>
      </c>
      <c r="K21" s="251"/>
      <c r="L21" s="251"/>
      <c r="M21" s="392"/>
    </row>
    <row r="22" spans="1:13" ht="13.8">
      <c r="A22" s="288">
        <v>2452</v>
      </c>
      <c r="B22" s="288" t="s">
        <v>722</v>
      </c>
      <c r="C22" s="248" t="str">
        <f t="shared" si="0"/>
        <v>Primary</v>
      </c>
      <c r="D22" s="380"/>
      <c r="E22" s="284">
        <f>VLOOKUP($A22,'Data - CFR 202526'!$B$4:$CO$134,69,0)+VLOOKUP($A22,'Data - CFR 202526'!$B$4:$CJ$134,70,0)</f>
        <v>-74166.210000001505</v>
      </c>
      <c r="F22" s="284">
        <f>VLOOKUP($A22,'Data - CFR 202526'!$B$4:$CO$134,71,0)</f>
        <v>0</v>
      </c>
      <c r="G22" s="207">
        <f t="shared" si="3"/>
        <v>-74166.210000001505</v>
      </c>
      <c r="H22" s="251"/>
      <c r="I22" s="391"/>
      <c r="J22" s="295">
        <f t="shared" si="2"/>
        <v>-74166.210000001505</v>
      </c>
      <c r="K22" s="251"/>
      <c r="L22" s="251"/>
      <c r="M22" s="392"/>
    </row>
    <row r="23" spans="1:13" ht="13.8">
      <c r="A23" s="288">
        <v>2004</v>
      </c>
      <c r="B23" s="288" t="s">
        <v>723</v>
      </c>
      <c r="C23" s="248" t="str">
        <f t="shared" si="0"/>
        <v>Primary</v>
      </c>
      <c r="D23" s="380"/>
      <c r="E23" s="284">
        <f>VLOOKUP($A23,'Data - CFR 202526'!$B$4:$CO$134,69,0)+VLOOKUP($A23,'Data - CFR 202526'!$B$4:$CJ$134,70,0)</f>
        <v>55215.779999999955</v>
      </c>
      <c r="F23" s="284">
        <f>VLOOKUP($A23,'Data - CFR 202526'!$B$4:$CO$134,71,0)</f>
        <v>0</v>
      </c>
      <c r="G23" s="207">
        <f t="shared" si="3"/>
        <v>55215.779999999955</v>
      </c>
      <c r="H23" s="251"/>
      <c r="I23" s="391"/>
      <c r="J23" s="295">
        <f t="shared" si="2"/>
        <v>55215.779999999955</v>
      </c>
      <c r="K23" s="251"/>
      <c r="L23" s="251"/>
      <c r="M23" s="392"/>
    </row>
    <row r="24" spans="1:13" ht="13.8">
      <c r="A24" s="288">
        <v>3008</v>
      </c>
      <c r="B24" s="288" t="s">
        <v>724</v>
      </c>
      <c r="C24" s="248" t="str">
        <f t="shared" si="0"/>
        <v>Primary</v>
      </c>
      <c r="D24" s="380"/>
      <c r="E24" s="284">
        <f>VLOOKUP($A24,'Data - CFR 202526'!$B$4:$CO$134,69,0)+VLOOKUP($A24,'Data - CFR 202526'!$B$4:$CJ$134,70,0)</f>
        <v>-21134.8400000004</v>
      </c>
      <c r="F24" s="284">
        <f>VLOOKUP($A24,'Data - CFR 202526'!$B$4:$CO$134,71,0)</f>
        <v>0</v>
      </c>
      <c r="G24" s="207">
        <f t="shared" si="3"/>
        <v>-21134.8400000004</v>
      </c>
      <c r="H24" s="251"/>
      <c r="I24" s="391"/>
      <c r="J24" s="295">
        <f t="shared" si="2"/>
        <v>-21134.8400000004</v>
      </c>
      <c r="K24" s="251"/>
      <c r="L24" s="251"/>
      <c r="M24" s="392"/>
    </row>
    <row r="25" spans="1:13" ht="13.8">
      <c r="A25" s="288">
        <v>7026</v>
      </c>
      <c r="B25" s="288" t="s">
        <v>725</v>
      </c>
      <c r="C25" s="248" t="str">
        <f t="shared" si="0"/>
        <v>Special</v>
      </c>
      <c r="D25" s="380"/>
      <c r="E25" s="284">
        <f>VLOOKUP($A25,'Data - CFR 202526'!$B$4:$CO$134,69,0)+VLOOKUP($A25,'Data - CFR 202526'!$B$4:$CJ$134,70,0)</f>
        <v>-1703566.579999997</v>
      </c>
      <c r="F25" s="284">
        <f>VLOOKUP($A25,'Data - CFR 202526'!$B$4:$CO$134,71,0)</f>
        <v>0</v>
      </c>
      <c r="G25" s="207">
        <f t="shared" si="3"/>
        <v>-1703566.579999997</v>
      </c>
      <c r="H25" s="251"/>
      <c r="I25" s="391"/>
      <c r="J25" s="295">
        <f t="shared" si="2"/>
        <v>-1703566.579999997</v>
      </c>
      <c r="K25" s="251"/>
      <c r="L25" s="251"/>
      <c r="M25" s="392"/>
    </row>
    <row r="26" spans="1:13" ht="13.8">
      <c r="A26" s="288">
        <v>3050</v>
      </c>
      <c r="B26" s="288" t="s">
        <v>727</v>
      </c>
      <c r="C26" s="248" t="str">
        <f t="shared" si="0"/>
        <v>Primary</v>
      </c>
      <c r="D26" s="380"/>
      <c r="E26" s="284">
        <f>VLOOKUP($A26,'Data - CFR 202526'!$B$4:$CO$134,69,0)+VLOOKUP($A26,'Data - CFR 202526'!$B$4:$CJ$134,70,0)</f>
        <v>-108772.0599999995</v>
      </c>
      <c r="F26" s="284">
        <f>VLOOKUP($A26,'Data - CFR 202526'!$B$4:$CO$134,71,0)</f>
        <v>0</v>
      </c>
      <c r="G26" s="207">
        <f t="shared" si="3"/>
        <v>-108772.0599999995</v>
      </c>
      <c r="H26" s="251"/>
      <c r="I26" s="391"/>
      <c r="J26" s="295">
        <f t="shared" si="2"/>
        <v>-108772.0599999995</v>
      </c>
      <c r="K26" s="251"/>
      <c r="L26" s="251"/>
      <c r="M26" s="392"/>
    </row>
    <row r="27" spans="1:13" ht="13.8">
      <c r="A27" s="288">
        <v>3009</v>
      </c>
      <c r="B27" s="288" t="s">
        <v>728</v>
      </c>
      <c r="C27" s="248" t="str">
        <f t="shared" si="0"/>
        <v>Primary</v>
      </c>
      <c r="D27" s="380"/>
      <c r="E27" s="284">
        <f>VLOOKUP($A27,'Data - CFR 202526'!$B$4:$CO$134,69,0)+VLOOKUP($A27,'Data - CFR 202526'!$B$4:$CJ$134,70,0)</f>
        <v>131354.24999999985</v>
      </c>
      <c r="F27" s="284">
        <f>VLOOKUP($A27,'Data - CFR 202526'!$B$4:$CO$134,71,0)</f>
        <v>0</v>
      </c>
      <c r="G27" s="207">
        <f t="shared" ref="G27:G39" si="4">SUM(E27:F27)</f>
        <v>131354.24999999985</v>
      </c>
      <c r="H27" s="251"/>
      <c r="I27" s="391"/>
      <c r="J27" s="295">
        <f t="shared" ref="J27:J49" si="5">G27-I27</f>
        <v>131354.24999999985</v>
      </c>
      <c r="K27" s="251"/>
      <c r="L27" s="251"/>
      <c r="M27" s="392"/>
    </row>
    <row r="28" spans="1:13" ht="13.8">
      <c r="A28" s="288">
        <v>2091</v>
      </c>
      <c r="B28" s="288" t="s">
        <v>729</v>
      </c>
      <c r="C28" s="248" t="str">
        <f t="shared" si="0"/>
        <v>Primary</v>
      </c>
      <c r="D28" s="380"/>
      <c r="E28" s="284">
        <f>VLOOKUP($A28,'Data - CFR 202526'!$B$4:$CO$134,69,0)+VLOOKUP($A28,'Data - CFR 202526'!$B$4:$CJ$134,70,0)</f>
        <v>262063.94000000026</v>
      </c>
      <c r="F28" s="284">
        <f>VLOOKUP($A28,'Data - CFR 202526'!$B$4:$CO$134,71,0)</f>
        <v>0</v>
      </c>
      <c r="G28" s="207">
        <f t="shared" si="4"/>
        <v>262063.94000000026</v>
      </c>
      <c r="H28" s="251"/>
      <c r="I28" s="391"/>
      <c r="J28" s="295">
        <f t="shared" si="5"/>
        <v>262063.94000000026</v>
      </c>
      <c r="K28" s="251"/>
      <c r="L28" s="251"/>
      <c r="M28" s="392"/>
    </row>
    <row r="29" spans="1:13" ht="13.8">
      <c r="A29" s="288">
        <v>2065</v>
      </c>
      <c r="B29" s="288" t="s">
        <v>730</v>
      </c>
      <c r="C29" s="248" t="str">
        <f t="shared" si="0"/>
        <v>Primary</v>
      </c>
      <c r="D29" s="380"/>
      <c r="E29" s="284">
        <f>VLOOKUP($A29,'Data - CFR 202526'!$B$4:$CO$134,69,0)+VLOOKUP($A29,'Data - CFR 202526'!$B$4:$CJ$134,70,0)</f>
        <v>159318.24000000025</v>
      </c>
      <c r="F29" s="284">
        <f>VLOOKUP($A29,'Data - CFR 202526'!$B$4:$CO$134,71,0)</f>
        <v>30057.430000000004</v>
      </c>
      <c r="G29" s="207">
        <f t="shared" si="4"/>
        <v>189375.67000000025</v>
      </c>
      <c r="H29" s="251"/>
      <c r="I29" s="391"/>
      <c r="J29" s="295">
        <f t="shared" si="5"/>
        <v>189375.67000000025</v>
      </c>
      <c r="K29" s="251"/>
      <c r="L29" s="251"/>
      <c r="M29" s="392"/>
    </row>
    <row r="30" spans="1:13" ht="13.8">
      <c r="A30" s="288">
        <v>1006</v>
      </c>
      <c r="B30" s="288" t="s">
        <v>731</v>
      </c>
      <c r="C30" s="248" t="str">
        <f t="shared" si="0"/>
        <v>Nursery</v>
      </c>
      <c r="D30" s="380"/>
      <c r="E30" s="284">
        <f>VLOOKUP($A30,'Data - CFR 202526'!$B$4:$CO$134,69,0)+VLOOKUP($A30,'Data - CFR 202526'!$B$4:$CJ$134,70,0)</f>
        <v>-110331.1</v>
      </c>
      <c r="F30" s="284">
        <f>VLOOKUP($A30,'Data - CFR 202526'!$B$4:$CO$134,71,0)</f>
        <v>4478.0000000000036</v>
      </c>
      <c r="G30" s="207">
        <f t="shared" si="4"/>
        <v>-105853.1</v>
      </c>
      <c r="H30" s="251"/>
      <c r="I30" s="391"/>
      <c r="J30" s="295">
        <f t="shared" si="5"/>
        <v>-105853.1</v>
      </c>
      <c r="K30" s="251"/>
      <c r="L30" s="251"/>
      <c r="M30" s="392"/>
    </row>
    <row r="31" spans="1:13" ht="13.8">
      <c r="A31" s="288">
        <v>2119</v>
      </c>
      <c r="B31" s="288" t="s">
        <v>732</v>
      </c>
      <c r="C31" s="248" t="str">
        <f t="shared" si="0"/>
        <v>Primary</v>
      </c>
      <c r="D31" s="380"/>
      <c r="E31" s="284">
        <f>VLOOKUP($A31,'Data - CFR 202526'!$B$4:$CO$134,69,0)+VLOOKUP($A31,'Data - CFR 202526'!$B$4:$CJ$134,70,0)</f>
        <v>15360.18000000059</v>
      </c>
      <c r="F31" s="284">
        <f>VLOOKUP($A31,'Data - CFR 202526'!$B$4:$CO$134,71,0)</f>
        <v>0</v>
      </c>
      <c r="G31" s="207">
        <f t="shared" si="4"/>
        <v>15360.18000000059</v>
      </c>
      <c r="H31" s="251"/>
      <c r="I31" s="391"/>
      <c r="J31" s="295">
        <f t="shared" si="5"/>
        <v>15360.18000000059</v>
      </c>
      <c r="K31" s="251"/>
      <c r="L31" s="251"/>
      <c r="M31" s="392"/>
    </row>
    <row r="32" spans="1:13" ht="13.8">
      <c r="A32" s="288">
        <v>3011</v>
      </c>
      <c r="B32" s="288" t="s">
        <v>733</v>
      </c>
      <c r="C32" s="248" t="str">
        <f t="shared" si="0"/>
        <v>Primary</v>
      </c>
      <c r="D32" s="380"/>
      <c r="E32" s="284">
        <f>VLOOKUP($A32,'Data - CFR 202526'!$B$4:$CO$134,69,0)+VLOOKUP($A32,'Data - CFR 202526'!$B$4:$CJ$134,70,0)</f>
        <v>-33501.61999999969</v>
      </c>
      <c r="F32" s="284">
        <f>VLOOKUP($A32,'Data - CFR 202526'!$B$4:$CO$134,71,0)</f>
        <v>0</v>
      </c>
      <c r="G32" s="207">
        <f t="shared" si="4"/>
        <v>-33501.61999999969</v>
      </c>
      <c r="H32" s="251"/>
      <c r="I32" s="391"/>
      <c r="J32" s="295">
        <f t="shared" si="5"/>
        <v>-33501.61999999969</v>
      </c>
      <c r="K32" s="251"/>
      <c r="L32" s="251"/>
      <c r="M32" s="392"/>
    </row>
    <row r="33" spans="1:13" ht="13.8">
      <c r="A33" s="288">
        <v>2006</v>
      </c>
      <c r="B33" s="288" t="s">
        <v>734</v>
      </c>
      <c r="C33" s="248" t="str">
        <f t="shared" si="0"/>
        <v>Primary</v>
      </c>
      <c r="D33" s="380"/>
      <c r="E33" s="284">
        <f>VLOOKUP($A33,'Data - CFR 202526'!$B$4:$CO$134,69,0)+VLOOKUP($A33,'Data - CFR 202526'!$B$4:$CJ$134,70,0)</f>
        <v>154088.98999999923</v>
      </c>
      <c r="F33" s="284">
        <f>VLOOKUP($A33,'Data - CFR 202526'!$B$4:$CO$134,71,0)</f>
        <v>0</v>
      </c>
      <c r="G33" s="207">
        <f t="shared" si="4"/>
        <v>154088.98999999923</v>
      </c>
      <c r="H33" s="251"/>
      <c r="I33" s="391"/>
      <c r="J33" s="295">
        <f t="shared" si="5"/>
        <v>154088.98999999923</v>
      </c>
      <c r="K33" s="251"/>
      <c r="L33" s="251"/>
      <c r="M33" s="392"/>
    </row>
    <row r="34" spans="1:13" ht="13.8">
      <c r="A34" s="288">
        <v>3012</v>
      </c>
      <c r="B34" s="288" t="s">
        <v>735</v>
      </c>
      <c r="C34" s="248" t="str">
        <f t="shared" si="0"/>
        <v>Primary</v>
      </c>
      <c r="D34" s="380"/>
      <c r="E34" s="284">
        <f>VLOOKUP($A34,'Data - CFR 202526'!$B$4:$CO$134,69,0)+VLOOKUP($A34,'Data - CFR 202526'!$B$4:$CJ$134,70,0)</f>
        <v>37921.030000000304</v>
      </c>
      <c r="F34" s="284">
        <f>VLOOKUP($A34,'Data - CFR 202526'!$B$4:$CO$134,71,0)</f>
        <v>11220.18</v>
      </c>
      <c r="G34" s="207">
        <f t="shared" si="4"/>
        <v>49141.210000000305</v>
      </c>
      <c r="H34" s="251"/>
      <c r="I34" s="391"/>
      <c r="J34" s="295">
        <f t="shared" si="5"/>
        <v>49141.210000000305</v>
      </c>
      <c r="K34" s="251"/>
      <c r="L34" s="251"/>
      <c r="M34" s="392"/>
    </row>
    <row r="35" spans="1:13" ht="13.8">
      <c r="A35" s="288">
        <v>3041</v>
      </c>
      <c r="B35" s="288" t="s">
        <v>736</v>
      </c>
      <c r="C35" s="248" t="str">
        <f t="shared" si="0"/>
        <v>Primary</v>
      </c>
      <c r="D35" s="380"/>
      <c r="E35" s="284">
        <f>VLOOKUP($A35,'Data - CFR 202526'!$B$4:$CO$134,69,0)+VLOOKUP($A35,'Data - CFR 202526'!$B$4:$CJ$134,70,0)</f>
        <v>38478.120000000104</v>
      </c>
      <c r="F35" s="284">
        <f>VLOOKUP($A35,'Data - CFR 202526'!$B$4:$CO$134,71,0)</f>
        <v>0</v>
      </c>
      <c r="G35" s="207">
        <f t="shared" si="4"/>
        <v>38478.120000000104</v>
      </c>
      <c r="H35" s="251"/>
      <c r="I35" s="391"/>
      <c r="J35" s="295">
        <f t="shared" si="5"/>
        <v>38478.120000000104</v>
      </c>
      <c r="K35" s="251"/>
      <c r="L35" s="251"/>
      <c r="M35" s="392"/>
    </row>
    <row r="36" spans="1:13" ht="13.8">
      <c r="A36" s="288">
        <v>2246</v>
      </c>
      <c r="B36" s="288" t="s">
        <v>737</v>
      </c>
      <c r="C36" s="248" t="str">
        <f t="shared" si="0"/>
        <v>Primary</v>
      </c>
      <c r="D36" s="380"/>
      <c r="E36" s="284">
        <f>VLOOKUP($A36,'Data - CFR 202526'!$B$4:$CO$134,69,0)+VLOOKUP($A36,'Data - CFR 202526'!$B$4:$CJ$134,70,0)</f>
        <v>-122573.82999999997</v>
      </c>
      <c r="F36" s="284">
        <f>VLOOKUP($A36,'Data - CFR 202526'!$B$4:$CO$134,71,0)</f>
        <v>0</v>
      </c>
      <c r="G36" s="207">
        <f t="shared" si="4"/>
        <v>-122573.82999999997</v>
      </c>
      <c r="H36" s="251"/>
      <c r="I36" s="391"/>
      <c r="J36" s="295">
        <f t="shared" si="5"/>
        <v>-122573.82999999997</v>
      </c>
      <c r="K36" s="251"/>
      <c r="L36" s="251"/>
      <c r="M36" s="392"/>
    </row>
    <row r="37" spans="1:13" ht="13.8">
      <c r="A37" s="288">
        <v>3308</v>
      </c>
      <c r="B37" s="288" t="s">
        <v>738</v>
      </c>
      <c r="C37" s="248" t="str">
        <f t="shared" si="0"/>
        <v>Primary</v>
      </c>
      <c r="D37" s="380"/>
      <c r="E37" s="284">
        <f>VLOOKUP($A37,'Data - CFR 202526'!$B$4:$CO$134,69,0)+VLOOKUP($A37,'Data - CFR 202526'!$B$4:$CJ$134,70,0)</f>
        <v>118395.17000000027</v>
      </c>
      <c r="F37" s="284">
        <f>VLOOKUP($A37,'Data - CFR 202526'!$B$4:$CO$134,71,0)</f>
        <v>0</v>
      </c>
      <c r="G37" s="207">
        <f t="shared" si="4"/>
        <v>118395.17000000027</v>
      </c>
      <c r="H37" s="251"/>
      <c r="I37" s="391"/>
      <c r="J37" s="295">
        <f t="shared" si="5"/>
        <v>118395.17000000027</v>
      </c>
      <c r="K37" s="251"/>
      <c r="L37" s="251"/>
      <c r="M37" s="392"/>
    </row>
    <row r="38" spans="1:13" ht="13.8">
      <c r="A38" s="288">
        <v>3368</v>
      </c>
      <c r="B38" s="288" t="s">
        <v>739</v>
      </c>
      <c r="C38" s="248" t="str">
        <f t="shared" si="0"/>
        <v>Primary</v>
      </c>
      <c r="D38" s="380"/>
      <c r="E38" s="284">
        <f>VLOOKUP($A38,'Data - CFR 202526'!$B$4:$CO$134,69,0)+VLOOKUP($A38,'Data - CFR 202526'!$B$4:$CJ$134,70,0)</f>
        <v>43561.209999999846</v>
      </c>
      <c r="F38" s="284">
        <f>VLOOKUP($A38,'Data - CFR 202526'!$B$4:$CO$134,71,0)</f>
        <v>0</v>
      </c>
      <c r="G38" s="207">
        <f t="shared" si="4"/>
        <v>43561.209999999846</v>
      </c>
      <c r="H38" s="251"/>
      <c r="I38" s="391"/>
      <c r="J38" s="295">
        <f t="shared" si="5"/>
        <v>43561.209999999846</v>
      </c>
      <c r="K38" s="251"/>
      <c r="L38" s="251"/>
      <c r="M38" s="392"/>
    </row>
    <row r="39" spans="1:13" ht="13.8">
      <c r="A39" s="288">
        <v>2444</v>
      </c>
      <c r="B39" s="288" t="s">
        <v>740</v>
      </c>
      <c r="C39" s="248" t="str">
        <f t="shared" si="0"/>
        <v>Primary</v>
      </c>
      <c r="D39" s="380"/>
      <c r="E39" s="284">
        <f>VLOOKUP($A39,'Data - CFR 202526'!$B$4:$CO$134,69,0)+VLOOKUP($A39,'Data - CFR 202526'!$B$4:$CJ$134,70,0)</f>
        <v>69430.150000000169</v>
      </c>
      <c r="F39" s="284">
        <f>VLOOKUP($A39,'Data - CFR 202526'!$B$4:$CO$134,71,0)</f>
        <v>0</v>
      </c>
      <c r="G39" s="207">
        <f t="shared" si="4"/>
        <v>69430.150000000169</v>
      </c>
      <c r="H39" s="251"/>
      <c r="I39" s="391"/>
      <c r="J39" s="295">
        <f t="shared" si="5"/>
        <v>69430.150000000169</v>
      </c>
      <c r="K39" s="251"/>
      <c r="L39" s="251"/>
      <c r="M39" s="392"/>
    </row>
    <row r="40" spans="1:13" ht="13.8">
      <c r="A40" s="288">
        <v>3074</v>
      </c>
      <c r="B40" s="288" t="s">
        <v>741</v>
      </c>
      <c r="C40" s="248" t="str">
        <f t="shared" si="0"/>
        <v>Primary</v>
      </c>
      <c r="D40" s="380"/>
      <c r="E40" s="284">
        <f>VLOOKUP($A40,'Data - CFR 202526'!$B$4:$CO$134,69,0)+VLOOKUP($A40,'Data - CFR 202526'!$B$4:$CJ$134,70,0)</f>
        <v>73832.710000000094</v>
      </c>
      <c r="F40" s="284">
        <f>VLOOKUP($A40,'Data - CFR 202526'!$B$4:$CO$134,71,0)</f>
        <v>40097.839999999982</v>
      </c>
      <c r="G40" s="207">
        <f t="shared" ref="G40:G49" si="6">SUM(E40:F40)</f>
        <v>113930.55000000008</v>
      </c>
      <c r="H40" s="251"/>
      <c r="I40" s="391"/>
      <c r="J40" s="295">
        <f t="shared" si="5"/>
        <v>113930.55000000008</v>
      </c>
      <c r="K40" s="251"/>
      <c r="L40" s="251"/>
      <c r="M40" s="392"/>
    </row>
    <row r="41" spans="1:13" ht="13.8">
      <c r="A41" s="288">
        <v>2336</v>
      </c>
      <c r="B41" s="288" t="s">
        <v>1372</v>
      </c>
      <c r="C41" s="248" t="str">
        <f t="shared" si="0"/>
        <v>Primary</v>
      </c>
      <c r="D41" s="380"/>
      <c r="E41" s="284">
        <f>VLOOKUP($A41,'Data - CFR 202526'!$B$4:$CO$134,69,0)+VLOOKUP($A41,'Data - CFR 202526'!$B$4:$CJ$134,70,0)</f>
        <v>109258.70999999921</v>
      </c>
      <c r="F41" s="284">
        <f>VLOOKUP($A41,'Data - CFR 202526'!$B$4:$CO$134,71,0)</f>
        <v>0</v>
      </c>
      <c r="G41" s="207">
        <f t="shared" si="6"/>
        <v>109258.70999999921</v>
      </c>
      <c r="H41" s="251"/>
      <c r="I41" s="391"/>
      <c r="J41" s="295">
        <f t="shared" si="5"/>
        <v>109258.70999999921</v>
      </c>
      <c r="K41" s="251"/>
      <c r="L41" s="251"/>
      <c r="M41" s="392"/>
    </row>
    <row r="42" spans="1:13" ht="13.8">
      <c r="A42" s="288">
        <v>2010</v>
      </c>
      <c r="B42" s="288" t="s">
        <v>742</v>
      </c>
      <c r="C42" s="248" t="str">
        <f t="shared" si="0"/>
        <v>Primary</v>
      </c>
      <c r="D42" s="380"/>
      <c r="E42" s="284">
        <f>VLOOKUP($A42,'Data - CFR 202526'!$B$4:$CO$134,69,0)+VLOOKUP($A42,'Data - CFR 202526'!$B$4:$CJ$134,70,0)</f>
        <v>-33200.590000000026</v>
      </c>
      <c r="F42" s="284">
        <f>VLOOKUP($A42,'Data - CFR 202526'!$B$4:$CO$134,71,0)</f>
        <v>0</v>
      </c>
      <c r="G42" s="207">
        <f t="shared" si="6"/>
        <v>-33200.590000000026</v>
      </c>
      <c r="H42" s="251"/>
      <c r="I42" s="391"/>
      <c r="J42" s="295">
        <f t="shared" si="5"/>
        <v>-33200.590000000026</v>
      </c>
      <c r="K42" s="251"/>
      <c r="L42" s="251"/>
      <c r="M42" s="392"/>
    </row>
    <row r="43" spans="1:13" ht="13.8">
      <c r="A43" s="288">
        <v>2208</v>
      </c>
      <c r="B43" s="288" t="s">
        <v>743</v>
      </c>
      <c r="C43" s="248" t="str">
        <f t="shared" si="0"/>
        <v>Primary</v>
      </c>
      <c r="D43" s="380"/>
      <c r="E43" s="284">
        <f>VLOOKUP($A43,'Data - CFR 202526'!$B$4:$CO$134,69,0)+VLOOKUP($A43,'Data - CFR 202526'!$B$4:$CJ$134,70,0)</f>
        <v>31674.360000000248</v>
      </c>
      <c r="F43" s="284">
        <f>VLOOKUP($A43,'Data - CFR 202526'!$B$4:$CO$134,71,0)</f>
        <v>72774.509999999966</v>
      </c>
      <c r="G43" s="207">
        <f t="shared" si="6"/>
        <v>104448.87000000021</v>
      </c>
      <c r="H43" s="251"/>
      <c r="I43" s="391"/>
      <c r="J43" s="295">
        <f t="shared" si="5"/>
        <v>104448.87000000021</v>
      </c>
      <c r="K43" s="251"/>
      <c r="L43" s="251"/>
      <c r="M43" s="392"/>
    </row>
    <row r="44" spans="1:13" ht="13.8">
      <c r="A44" s="288">
        <v>3065</v>
      </c>
      <c r="B44" s="288" t="s">
        <v>744</v>
      </c>
      <c r="C44" s="248" t="str">
        <f t="shared" si="0"/>
        <v>Primary</v>
      </c>
      <c r="D44" s="380"/>
      <c r="E44" s="284">
        <f>VLOOKUP($A44,'Data - CFR 202526'!$B$4:$CO$134,69,0)+VLOOKUP($A44,'Data - CFR 202526'!$B$4:$CJ$134,70,0)</f>
        <v>411.10999999981414</v>
      </c>
      <c r="F44" s="284">
        <f>VLOOKUP($A44,'Data - CFR 202526'!$B$4:$CO$134,71,0)</f>
        <v>0</v>
      </c>
      <c r="G44" s="207">
        <f t="shared" si="6"/>
        <v>411.10999999981414</v>
      </c>
      <c r="H44" s="251"/>
      <c r="I44" s="391"/>
      <c r="J44" s="295">
        <f t="shared" si="5"/>
        <v>411.10999999981414</v>
      </c>
      <c r="K44" s="251"/>
      <c r="L44" s="251"/>
      <c r="M44" s="392"/>
    </row>
    <row r="45" spans="1:13" ht="13.8">
      <c r="A45" s="288">
        <v>3014</v>
      </c>
      <c r="B45" s="288" t="s">
        <v>745</v>
      </c>
      <c r="C45" s="248" t="str">
        <f t="shared" si="0"/>
        <v>Primary</v>
      </c>
      <c r="D45" s="380"/>
      <c r="E45" s="284">
        <f>VLOOKUP($A45,'Data - CFR 202526'!$B$4:$CO$134,69,0)+VLOOKUP($A45,'Data - CFR 202526'!$B$4:$CJ$134,70,0)</f>
        <v>67406.70999999973</v>
      </c>
      <c r="F45" s="284">
        <f>VLOOKUP($A45,'Data - CFR 202526'!$B$4:$CO$134,71,0)</f>
        <v>0</v>
      </c>
      <c r="G45" s="207">
        <f t="shared" si="6"/>
        <v>67406.70999999973</v>
      </c>
      <c r="H45" s="251"/>
      <c r="I45" s="391"/>
      <c r="J45" s="295">
        <f t="shared" si="5"/>
        <v>67406.70999999973</v>
      </c>
      <c r="K45" s="251"/>
      <c r="L45" s="251"/>
      <c r="M45" s="392"/>
    </row>
    <row r="46" spans="1:13" ht="13.8">
      <c r="A46" s="288">
        <v>2321</v>
      </c>
      <c r="B46" s="288" t="s">
        <v>746</v>
      </c>
      <c r="C46" s="248" t="str">
        <f t="shared" si="0"/>
        <v>Primary</v>
      </c>
      <c r="D46" s="380"/>
      <c r="E46" s="284">
        <f>VLOOKUP($A46,'Data - CFR 202526'!$B$4:$CO$134,69,0)+VLOOKUP($A46,'Data - CFR 202526'!$B$4:$CJ$134,70,0)</f>
        <v>309266.33999999904</v>
      </c>
      <c r="F46" s="284">
        <f>VLOOKUP($A46,'Data - CFR 202526'!$B$4:$CO$134,71,0)</f>
        <v>4709.8900000000031</v>
      </c>
      <c r="G46" s="207">
        <f t="shared" si="6"/>
        <v>313976.22999999905</v>
      </c>
      <c r="H46" s="251"/>
      <c r="I46" s="391"/>
      <c r="J46" s="295">
        <f t="shared" si="5"/>
        <v>313976.22999999905</v>
      </c>
      <c r="K46" s="251"/>
      <c r="L46" s="251"/>
      <c r="M46" s="392"/>
    </row>
    <row r="47" spans="1:13" ht="13.8">
      <c r="A47" s="288">
        <v>2011</v>
      </c>
      <c r="B47" s="288" t="s">
        <v>747</v>
      </c>
      <c r="C47" s="248" t="str">
        <f t="shared" si="0"/>
        <v>Primary</v>
      </c>
      <c r="D47" s="380"/>
      <c r="E47" s="284">
        <f>VLOOKUP($A47,'Data - CFR 202526'!$B$4:$CO$134,69,0)+VLOOKUP($A47,'Data - CFR 202526'!$B$4:$CJ$134,70,0)</f>
        <v>-62020.950000000048</v>
      </c>
      <c r="F47" s="284">
        <f>VLOOKUP($A47,'Data - CFR 202526'!$B$4:$CO$134,71,0)</f>
        <v>0</v>
      </c>
      <c r="G47" s="207">
        <f t="shared" si="6"/>
        <v>-62020.950000000048</v>
      </c>
      <c r="H47" s="251"/>
      <c r="I47" s="391"/>
      <c r="J47" s="295">
        <f t="shared" si="5"/>
        <v>-62020.950000000048</v>
      </c>
      <c r="K47" s="251"/>
      <c r="L47" s="251"/>
      <c r="M47" s="392"/>
    </row>
    <row r="48" spans="1:13" ht="13.8">
      <c r="A48" s="288">
        <v>2012</v>
      </c>
      <c r="B48" s="288" t="s">
        <v>748</v>
      </c>
      <c r="C48" s="248" t="str">
        <f t="shared" si="0"/>
        <v>Primary</v>
      </c>
      <c r="D48" s="380"/>
      <c r="E48" s="284">
        <f>VLOOKUP($A48,'Data - CFR 202526'!$B$4:$CO$134,69,0)+VLOOKUP($A48,'Data - CFR 202526'!$B$4:$CJ$134,70,0)</f>
        <v>196415.79000000027</v>
      </c>
      <c r="F48" s="284">
        <f>VLOOKUP($A48,'Data - CFR 202526'!$B$4:$CO$134,71,0)</f>
        <v>0</v>
      </c>
      <c r="G48" s="207">
        <f t="shared" si="6"/>
        <v>196415.79000000027</v>
      </c>
      <c r="H48" s="251"/>
      <c r="I48" s="391"/>
      <c r="J48" s="295">
        <f t="shared" si="5"/>
        <v>196415.79000000027</v>
      </c>
      <c r="K48" s="251"/>
      <c r="L48" s="251"/>
      <c r="M48" s="392"/>
    </row>
    <row r="49" spans="1:13" ht="13.8">
      <c r="A49" s="288">
        <v>2068</v>
      </c>
      <c r="B49" s="288" t="s">
        <v>749</v>
      </c>
      <c r="C49" s="248" t="str">
        <f t="shared" si="0"/>
        <v>Primary</v>
      </c>
      <c r="D49" s="380"/>
      <c r="E49" s="284">
        <f>VLOOKUP($A49,'Data - CFR 202526'!$B$4:$CO$134,69,0)+VLOOKUP($A49,'Data - CFR 202526'!$B$4:$CJ$134,70,0)</f>
        <v>-182941.6999999996</v>
      </c>
      <c r="F49" s="284">
        <f>VLOOKUP($A49,'Data - CFR 202526'!$B$4:$CO$134,71,0)</f>
        <v>0</v>
      </c>
      <c r="G49" s="207">
        <f t="shared" si="6"/>
        <v>-182941.6999999996</v>
      </c>
      <c r="H49" s="251"/>
      <c r="I49" s="391"/>
      <c r="J49" s="295">
        <f t="shared" si="5"/>
        <v>-182941.6999999996</v>
      </c>
      <c r="K49" s="251"/>
      <c r="L49" s="251"/>
      <c r="M49" s="392"/>
    </row>
    <row r="50" spans="1:13" ht="13.8">
      <c r="A50" s="288">
        <v>2328</v>
      </c>
      <c r="B50" s="288" t="s">
        <v>750</v>
      </c>
      <c r="C50" s="248" t="str">
        <f t="shared" si="0"/>
        <v>Primary</v>
      </c>
      <c r="D50" s="380"/>
      <c r="E50" s="284">
        <f>VLOOKUP($A50,'Data - CFR 202526'!$B$4:$CO$134,69,0)+VLOOKUP($A50,'Data - CFR 202526'!$B$4:$CJ$134,70,0)</f>
        <v>143846.05000000022</v>
      </c>
      <c r="F50" s="284">
        <f>VLOOKUP($A50,'Data - CFR 202526'!$B$4:$CO$134,71,0)</f>
        <v>0</v>
      </c>
      <c r="G50" s="207">
        <f t="shared" ref="G50:G60" si="7">SUM(E50:F50)</f>
        <v>143846.05000000022</v>
      </c>
      <c r="H50" s="251"/>
      <c r="I50" s="391"/>
      <c r="J50" s="295">
        <f t="shared" ref="J50:J64" si="8">G50-I50</f>
        <v>143846.05000000022</v>
      </c>
      <c r="K50" s="251"/>
      <c r="L50" s="251"/>
      <c r="M50" s="392"/>
    </row>
    <row r="51" spans="1:13" ht="13.8">
      <c r="A51" s="288">
        <v>7025</v>
      </c>
      <c r="B51" s="288" t="s">
        <v>751</v>
      </c>
      <c r="C51" s="248" t="str">
        <f t="shared" si="0"/>
        <v>Special</v>
      </c>
      <c r="D51" s="380"/>
      <c r="E51" s="284">
        <f>VLOOKUP($A51,'Data - CFR 202526'!$B$4:$CO$134,69,0)+VLOOKUP($A51,'Data - CFR 202526'!$B$4:$CJ$134,70,0)</f>
        <v>-639762.61999999918</v>
      </c>
      <c r="F51" s="284">
        <f>VLOOKUP($A51,'Data - CFR 202526'!$B$4:$CO$134,71,0)</f>
        <v>0</v>
      </c>
      <c r="G51" s="207">
        <f t="shared" si="7"/>
        <v>-639762.61999999918</v>
      </c>
      <c r="H51" s="251"/>
      <c r="I51" s="391"/>
      <c r="J51" s="295">
        <f t="shared" si="8"/>
        <v>-639762.61999999918</v>
      </c>
      <c r="K51" s="251"/>
      <c r="L51" s="251"/>
      <c r="M51" s="392"/>
    </row>
    <row r="52" spans="1:13" ht="13.8">
      <c r="A52" s="288">
        <v>2016</v>
      </c>
      <c r="B52" s="288" t="s">
        <v>752</v>
      </c>
      <c r="C52" s="248" t="str">
        <f t="shared" si="0"/>
        <v>Primary</v>
      </c>
      <c r="D52" s="380"/>
      <c r="E52" s="284">
        <f>VLOOKUP($A52,'Data - CFR 202526'!$B$4:$CO$134,69,0)+VLOOKUP($A52,'Data - CFR 202526'!$B$4:$CJ$134,70,0)</f>
        <v>805.46000000028289</v>
      </c>
      <c r="F52" s="284">
        <f>VLOOKUP($A52,'Data - CFR 202526'!$B$4:$CO$134,71,0)</f>
        <v>0</v>
      </c>
      <c r="G52" s="207">
        <f t="shared" si="7"/>
        <v>805.46000000028289</v>
      </c>
      <c r="H52" s="251"/>
      <c r="I52" s="391"/>
      <c r="J52" s="295">
        <f t="shared" si="8"/>
        <v>805.46000000028289</v>
      </c>
      <c r="K52" s="251"/>
      <c r="L52" s="251"/>
      <c r="M52" s="392"/>
    </row>
    <row r="53" spans="1:13" ht="13.8">
      <c r="A53" s="288">
        <v>3310</v>
      </c>
      <c r="B53" s="288" t="s">
        <v>753</v>
      </c>
      <c r="C53" s="248" t="str">
        <f t="shared" si="0"/>
        <v>Primary</v>
      </c>
      <c r="D53" s="380"/>
      <c r="E53" s="284">
        <f>VLOOKUP($A53,'Data - CFR 202526'!$B$4:$CO$134,69,0)+VLOOKUP($A53,'Data - CFR 202526'!$B$4:$CJ$134,70,0)</f>
        <v>-59916.190000000272</v>
      </c>
      <c r="F53" s="284">
        <f>VLOOKUP($A53,'Data - CFR 202526'!$B$4:$CO$134,71,0)</f>
        <v>-27888.790000000066</v>
      </c>
      <c r="G53" s="207">
        <f t="shared" si="7"/>
        <v>-87804.980000000331</v>
      </c>
      <c r="H53" s="251"/>
      <c r="I53" s="391"/>
      <c r="J53" s="295">
        <f t="shared" si="8"/>
        <v>-87804.980000000331</v>
      </c>
      <c r="K53" s="251"/>
      <c r="L53" s="251"/>
      <c r="M53" s="392"/>
    </row>
    <row r="54" spans="1:13" ht="13.8">
      <c r="A54" s="288">
        <v>3068</v>
      </c>
      <c r="B54" s="288" t="s">
        <v>754</v>
      </c>
      <c r="C54" s="248" t="str">
        <f t="shared" si="0"/>
        <v>Primary</v>
      </c>
      <c r="D54" s="380"/>
      <c r="E54" s="284">
        <f>VLOOKUP($A54,'Data - CFR 202526'!$B$4:$CO$134,69,0)+VLOOKUP($A54,'Data - CFR 202526'!$B$4:$CJ$134,70,0)</f>
        <v>-85123.329999999769</v>
      </c>
      <c r="F54" s="284">
        <f>VLOOKUP($A54,'Data - CFR 202526'!$B$4:$CO$134,71,0)</f>
        <v>0</v>
      </c>
      <c r="G54" s="207">
        <f t="shared" si="7"/>
        <v>-85123.329999999769</v>
      </c>
      <c r="H54" s="251"/>
      <c r="I54" s="391"/>
      <c r="J54" s="295">
        <f t="shared" si="8"/>
        <v>-85123.329999999769</v>
      </c>
      <c r="K54" s="251"/>
      <c r="L54" s="251"/>
      <c r="M54" s="392"/>
    </row>
    <row r="55" spans="1:13" ht="13.8">
      <c r="A55" s="288">
        <v>2315</v>
      </c>
      <c r="B55" s="288" t="s">
        <v>755</v>
      </c>
      <c r="C55" s="248" t="str">
        <f t="shared" si="0"/>
        <v>Primary</v>
      </c>
      <c r="D55" s="380"/>
      <c r="E55" s="284">
        <f>VLOOKUP($A55,'Data - CFR 202526'!$B$4:$CO$134,69,0)+VLOOKUP($A55,'Data - CFR 202526'!$B$4:$CJ$134,70,0)</f>
        <v>224599.95000000062</v>
      </c>
      <c r="F55" s="284">
        <f>VLOOKUP($A55,'Data - CFR 202526'!$B$4:$CO$134,71,0)</f>
        <v>0</v>
      </c>
      <c r="G55" s="207">
        <f t="shared" si="7"/>
        <v>224599.95000000062</v>
      </c>
      <c r="H55" s="251"/>
      <c r="I55" s="391"/>
      <c r="J55" s="295">
        <f t="shared" si="8"/>
        <v>224599.95000000062</v>
      </c>
      <c r="K55" s="251"/>
      <c r="L55" s="251"/>
      <c r="M55" s="392"/>
    </row>
    <row r="56" spans="1:13" ht="13.8">
      <c r="A56" s="288">
        <v>2018</v>
      </c>
      <c r="B56" s="288" t="s">
        <v>756</v>
      </c>
      <c r="C56" s="248" t="str">
        <f t="shared" si="0"/>
        <v>Primary</v>
      </c>
      <c r="D56" s="380"/>
      <c r="E56" s="284" t="e">
        <f>VLOOKUP($A56,'Data - CFR 202526'!$B$4:$CO$134,69,0)+VLOOKUP($A56,'Data - CFR 202526'!$B$4:$CJ$134,70,0)</f>
        <v>#N/A</v>
      </c>
      <c r="F56" s="284" t="e">
        <f>VLOOKUP($A56,'Data - CFR 202526'!$B$4:$CO$134,71,0)</f>
        <v>#N/A</v>
      </c>
      <c r="G56" s="207" t="e">
        <f t="shared" si="7"/>
        <v>#N/A</v>
      </c>
      <c r="H56" s="251"/>
      <c r="I56" s="391"/>
      <c r="J56" s="295" t="e">
        <f t="shared" si="8"/>
        <v>#N/A</v>
      </c>
      <c r="K56" s="251"/>
      <c r="L56" s="251"/>
      <c r="M56" s="392"/>
    </row>
    <row r="57" spans="1:13" ht="13.8">
      <c r="A57" s="288">
        <v>3035</v>
      </c>
      <c r="B57" s="288" t="s">
        <v>757</v>
      </c>
      <c r="C57" s="248" t="str">
        <f t="shared" si="0"/>
        <v>Primary</v>
      </c>
      <c r="D57" s="380"/>
      <c r="E57" s="284">
        <f>VLOOKUP($A57,'Data - CFR 202526'!$B$4:$CO$134,69,0)+VLOOKUP($A57,'Data - CFR 202526'!$B$4:$CJ$134,70,0)</f>
        <v>65981.220000000205</v>
      </c>
      <c r="F57" s="284">
        <f>VLOOKUP($A57,'Data - CFR 202526'!$B$4:$CO$134,71,0)</f>
        <v>0</v>
      </c>
      <c r="G57" s="207">
        <f t="shared" si="7"/>
        <v>65981.220000000205</v>
      </c>
      <c r="H57" s="251"/>
      <c r="I57" s="391"/>
      <c r="J57" s="295">
        <f t="shared" si="8"/>
        <v>65981.220000000205</v>
      </c>
      <c r="K57" s="251"/>
      <c r="L57" s="251"/>
      <c r="M57" s="392"/>
    </row>
    <row r="58" spans="1:13" ht="13.8">
      <c r="A58" s="288">
        <v>2205</v>
      </c>
      <c r="B58" s="288" t="s">
        <v>758</v>
      </c>
      <c r="C58" s="248" t="str">
        <f t="shared" si="0"/>
        <v>Primary</v>
      </c>
      <c r="D58" s="380"/>
      <c r="E58" s="284">
        <f>VLOOKUP($A58,'Data - CFR 202526'!$B$4:$CO$134,69,0)+VLOOKUP($A58,'Data - CFR 202526'!$B$4:$CJ$134,70,0)</f>
        <v>-13879.269999999669</v>
      </c>
      <c r="F58" s="284">
        <f>VLOOKUP($A58,'Data - CFR 202526'!$B$4:$CO$134,71,0)</f>
        <v>0</v>
      </c>
      <c r="G58" s="207">
        <f t="shared" si="7"/>
        <v>-13879.269999999669</v>
      </c>
      <c r="H58" s="251"/>
      <c r="I58" s="391"/>
      <c r="J58" s="295">
        <f t="shared" si="8"/>
        <v>-13879.269999999669</v>
      </c>
      <c r="K58" s="251"/>
      <c r="L58" s="251"/>
      <c r="M58" s="392"/>
    </row>
    <row r="59" spans="1:13" ht="13.8">
      <c r="A59" s="288">
        <v>2211</v>
      </c>
      <c r="B59" s="288" t="s">
        <v>759</v>
      </c>
      <c r="C59" s="248" t="str">
        <f t="shared" si="0"/>
        <v>Primary</v>
      </c>
      <c r="D59" s="380"/>
      <c r="E59" s="284">
        <f>VLOOKUP($A59,'Data - CFR 202526'!$B$4:$CO$134,69,0)+VLOOKUP($A59,'Data - CFR 202526'!$B$4:$CJ$134,70,0)</f>
        <v>63956.660000000702</v>
      </c>
      <c r="F59" s="284">
        <f>VLOOKUP($A59,'Data - CFR 202526'!$B$4:$CO$134,71,0)</f>
        <v>-9671.5</v>
      </c>
      <c r="G59" s="207">
        <f t="shared" si="7"/>
        <v>54285.160000000702</v>
      </c>
      <c r="H59" s="251"/>
      <c r="I59" s="391"/>
      <c r="J59" s="295">
        <f t="shared" si="8"/>
        <v>54285.160000000702</v>
      </c>
      <c r="K59" s="251"/>
      <c r="L59" s="251"/>
      <c r="M59" s="392"/>
    </row>
    <row r="60" spans="1:13" ht="13.8">
      <c r="A60" s="288">
        <v>1003</v>
      </c>
      <c r="B60" s="288" t="s">
        <v>760</v>
      </c>
      <c r="C60" s="248" t="str">
        <f t="shared" si="0"/>
        <v>Nursery</v>
      </c>
      <c r="D60" s="380"/>
      <c r="E60" s="284">
        <f>VLOOKUP($A60,'Data - CFR 202526'!$B$4:$CO$134,69,0)+VLOOKUP($A60,'Data - CFR 202526'!$B$4:$CJ$134,70,0)</f>
        <v>-85222.130000000034</v>
      </c>
      <c r="F60" s="284">
        <f>VLOOKUP($A60,'Data - CFR 202526'!$B$4:$CO$134,71,0)</f>
        <v>490462.85000000009</v>
      </c>
      <c r="G60" s="207">
        <f t="shared" si="7"/>
        <v>405240.72000000009</v>
      </c>
      <c r="H60" s="251"/>
      <c r="I60" s="391"/>
      <c r="J60" s="295">
        <f t="shared" si="8"/>
        <v>405240.72000000009</v>
      </c>
      <c r="K60" s="251"/>
      <c r="L60" s="251"/>
      <c r="M60" s="392"/>
    </row>
    <row r="61" spans="1:13" ht="13.8">
      <c r="A61" s="288">
        <v>3071</v>
      </c>
      <c r="B61" s="288" t="s">
        <v>761</v>
      </c>
      <c r="C61" s="248" t="str">
        <f t="shared" si="0"/>
        <v>Primary</v>
      </c>
      <c r="D61" s="380"/>
      <c r="E61" s="284">
        <f>VLOOKUP($A61,'Data - CFR 202526'!$B$4:$CO$134,69,0)+VLOOKUP($A61,'Data - CFR 202526'!$B$4:$CJ$134,70,0)</f>
        <v>-71644.359999999899</v>
      </c>
      <c r="F61" s="284">
        <f>VLOOKUP($A61,'Data - CFR 202526'!$B$4:$CO$134,71,0)</f>
        <v>0</v>
      </c>
      <c r="G61" s="207">
        <f t="shared" ref="G61:G124" si="9">SUM(E61:F61)</f>
        <v>-71644.359999999899</v>
      </c>
      <c r="H61" s="251"/>
      <c r="I61" s="391"/>
      <c r="J61" s="295">
        <f t="shared" si="8"/>
        <v>-71644.359999999899</v>
      </c>
      <c r="K61" s="251"/>
      <c r="L61" s="251"/>
      <c r="M61" s="392"/>
    </row>
    <row r="62" spans="1:13" ht="13.8">
      <c r="A62" s="288">
        <v>1002</v>
      </c>
      <c r="B62" s="288" t="s">
        <v>762</v>
      </c>
      <c r="C62" s="248" t="str">
        <f t="shared" si="0"/>
        <v>Nursery</v>
      </c>
      <c r="D62" s="380"/>
      <c r="E62" s="284">
        <f>VLOOKUP($A62,'Data - CFR 202526'!$B$4:$CO$134,69,0)+VLOOKUP($A62,'Data - CFR 202526'!$B$4:$CJ$134,70,0)</f>
        <v>160702.93999999989</v>
      </c>
      <c r="F62" s="284">
        <f>VLOOKUP($A62,'Data - CFR 202526'!$B$4:$CO$134,71,0)</f>
        <v>-34438.97</v>
      </c>
      <c r="G62" s="207">
        <f t="shared" si="9"/>
        <v>126263.96999999988</v>
      </c>
      <c r="H62" s="251"/>
      <c r="I62" s="391"/>
      <c r="J62" s="295">
        <f t="shared" si="8"/>
        <v>126263.96999999988</v>
      </c>
      <c r="K62" s="251"/>
      <c r="L62" s="251"/>
      <c r="M62" s="392"/>
    </row>
    <row r="63" spans="1:13" ht="13.8">
      <c r="A63" s="288">
        <v>2212</v>
      </c>
      <c r="B63" s="288" t="s">
        <v>763</v>
      </c>
      <c r="C63" s="248" t="str">
        <f t="shared" si="0"/>
        <v>Primary</v>
      </c>
      <c r="D63" s="380"/>
      <c r="E63" s="284">
        <f>VLOOKUP($A63,'Data - CFR 202526'!$B$4:$CO$134,69,0)+VLOOKUP($A63,'Data - CFR 202526'!$B$4:$CJ$134,70,0)</f>
        <v>-37055.070000000269</v>
      </c>
      <c r="F63" s="284">
        <f>VLOOKUP($A63,'Data - CFR 202526'!$B$4:$CO$134,71,0)</f>
        <v>0</v>
      </c>
      <c r="G63" s="207">
        <f t="shared" si="9"/>
        <v>-37055.070000000269</v>
      </c>
      <c r="H63" s="251"/>
      <c r="I63" s="391"/>
      <c r="J63" s="295">
        <f t="shared" si="8"/>
        <v>-37055.070000000269</v>
      </c>
      <c r="K63" s="251"/>
      <c r="L63" s="251"/>
      <c r="M63" s="392"/>
    </row>
    <row r="64" spans="1:13" ht="13.8">
      <c r="A64" s="288">
        <v>1007</v>
      </c>
      <c r="B64" s="288" t="s">
        <v>764</v>
      </c>
      <c r="C64" s="248" t="str">
        <f t="shared" si="0"/>
        <v>Nursery</v>
      </c>
      <c r="D64" s="380"/>
      <c r="E64" s="284">
        <f>VLOOKUP($A64,'Data - CFR 202526'!$B$4:$CO$134,69,0)+VLOOKUP($A64,'Data - CFR 202526'!$B$4:$CJ$134,70,0)</f>
        <v>-286992.66999999963</v>
      </c>
      <c r="F64" s="284">
        <f>VLOOKUP($A64,'Data - CFR 202526'!$B$4:$CO$134,71,0)</f>
        <v>18250.310000000016</v>
      </c>
      <c r="G64" s="207">
        <f t="shared" si="9"/>
        <v>-268742.35999999964</v>
      </c>
      <c r="H64" s="251"/>
      <c r="I64" s="391"/>
      <c r="J64" s="295">
        <f t="shared" si="8"/>
        <v>-268742.35999999964</v>
      </c>
      <c r="K64" s="251"/>
      <c r="L64" s="251"/>
      <c r="M64" s="392"/>
    </row>
    <row r="65" spans="1:13" ht="13.8">
      <c r="A65" s="288">
        <v>3945</v>
      </c>
      <c r="B65" s="288" t="s">
        <v>765</v>
      </c>
      <c r="C65" s="248" t="str">
        <f t="shared" si="0"/>
        <v>Primary</v>
      </c>
      <c r="D65" s="384"/>
      <c r="E65" s="284">
        <f>VLOOKUP($A65,'Data - CFR 202526'!$B$4:$CO$134,69,0)+VLOOKUP($A65,'Data - CFR 202526'!$B$4:$CJ$134,70,0)</f>
        <v>294052.00999999989</v>
      </c>
      <c r="F65" s="284">
        <f>VLOOKUP($A65,'Data - CFR 202526'!$B$4:$CO$134,71,0)</f>
        <v>0</v>
      </c>
      <c r="G65" s="207">
        <f t="shared" si="9"/>
        <v>294052.00999999989</v>
      </c>
      <c r="H65" s="251"/>
      <c r="I65" s="388"/>
      <c r="K65" s="251"/>
      <c r="L65" s="251"/>
      <c r="M65" s="392"/>
    </row>
    <row r="66" spans="1:13" ht="13.8">
      <c r="A66" s="288">
        <v>3022</v>
      </c>
      <c r="B66" s="288" t="s">
        <v>766</v>
      </c>
      <c r="C66" s="248" t="str">
        <f t="shared" si="0"/>
        <v>Primary</v>
      </c>
      <c r="D66" s="384"/>
      <c r="E66" s="284">
        <f>VLOOKUP($A66,'Data - CFR 202526'!$B$4:$CO$134,69,0)+VLOOKUP($A66,'Data - CFR 202526'!$B$4:$CJ$134,70,0)</f>
        <v>19876.710000000243</v>
      </c>
      <c r="F66" s="284">
        <f>VLOOKUP($A66,'Data - CFR 202526'!$B$4:$CO$134,71,0)</f>
        <v>0</v>
      </c>
      <c r="G66" s="207">
        <f t="shared" si="9"/>
        <v>19876.710000000243</v>
      </c>
      <c r="H66" s="251"/>
      <c r="I66" s="388"/>
      <c r="K66" s="251"/>
      <c r="L66" s="251"/>
      <c r="M66" s="392"/>
    </row>
    <row r="67" spans="1:13" ht="13.8">
      <c r="A67" s="288">
        <v>2442</v>
      </c>
      <c r="B67" s="288" t="s">
        <v>767</v>
      </c>
      <c r="C67" s="248" t="str">
        <f t="shared" si="0"/>
        <v>Primary</v>
      </c>
      <c r="D67" s="384"/>
      <c r="E67" s="284">
        <f>VLOOKUP($A67,'Data - CFR 202526'!$B$4:$CO$134,69,0)+VLOOKUP($A67,'Data - CFR 202526'!$B$4:$CJ$134,70,0)</f>
        <v>66049.420000000275</v>
      </c>
      <c r="F67" s="284">
        <f>VLOOKUP($A67,'Data - CFR 202526'!$B$4:$CO$134,71,0)</f>
        <v>0</v>
      </c>
      <c r="G67" s="207">
        <f t="shared" si="9"/>
        <v>66049.420000000275</v>
      </c>
      <c r="H67" s="251"/>
      <c r="I67" s="388"/>
      <c r="K67" s="251"/>
      <c r="L67" s="251"/>
      <c r="M67" s="392"/>
    </row>
    <row r="68" spans="1:13" ht="13.8">
      <c r="A68" s="288">
        <v>2331</v>
      </c>
      <c r="B68" s="288" t="s">
        <v>768</v>
      </c>
      <c r="C68" s="248" t="str">
        <f t="shared" si="0"/>
        <v>Primary</v>
      </c>
      <c r="D68" s="384"/>
      <c r="E68" s="284">
        <f>VLOOKUP($A68,'Data - CFR 202526'!$B$4:$CO$134,69,0)+VLOOKUP($A68,'Data - CFR 202526'!$B$4:$CJ$134,70,0)</f>
        <v>74116.069999999629</v>
      </c>
      <c r="F68" s="284">
        <f>VLOOKUP($A68,'Data - CFR 202526'!$B$4:$CO$134,71,0)</f>
        <v>0</v>
      </c>
      <c r="G68" s="207">
        <f t="shared" si="9"/>
        <v>74116.069999999629</v>
      </c>
      <c r="H68" s="251"/>
      <c r="I68" s="388"/>
      <c r="K68" s="251"/>
      <c r="L68" s="251"/>
      <c r="M68" s="392"/>
    </row>
    <row r="69" spans="1:13" ht="13.8">
      <c r="A69" s="288">
        <v>1000</v>
      </c>
      <c r="B69" s="288">
        <v>2446</v>
      </c>
      <c r="C69" s="248" t="str">
        <f t="shared" si="0"/>
        <v>Nursery</v>
      </c>
      <c r="D69" s="384"/>
      <c r="E69" s="284">
        <f>VLOOKUP($A69,'Data - CFR 202526'!$B$4:$CO$134,69,0)+VLOOKUP($A69,'Data - CFR 202526'!$B$4:$CJ$134,70,0)</f>
        <v>207570.38</v>
      </c>
      <c r="F69" s="284">
        <f>VLOOKUP($A69,'Data - CFR 202526'!$B$4:$CO$134,71,0)</f>
        <v>0</v>
      </c>
      <c r="G69" s="207">
        <f t="shared" si="9"/>
        <v>207570.38</v>
      </c>
      <c r="H69" s="251"/>
      <c r="I69" s="388"/>
      <c r="K69" s="251"/>
      <c r="L69" s="251"/>
      <c r="M69" s="392"/>
    </row>
    <row r="70" spans="1:13" ht="13.8">
      <c r="A70" s="288">
        <v>2446</v>
      </c>
      <c r="B70" s="288" t="s">
        <v>1374</v>
      </c>
      <c r="C70" s="248" t="str">
        <f t="shared" ref="C70:C126" si="10">IF(LEFT(A70,1)="1","Nursery",IF(LEFT(A70,1)="2","Primary",IF(LEFT(A70,1)="3","Primary",IF(LEFT(A70,1)="7","Special","NA"))))</f>
        <v>Primary</v>
      </c>
      <c r="D70" s="384"/>
      <c r="E70" s="284">
        <f>VLOOKUP($A70,'Data - CFR 202526'!$B$4:$CO$134,69,0)+VLOOKUP($A70,'Data - CFR 202526'!$B$4:$CJ$134,70,0)</f>
        <v>862427.18999999971</v>
      </c>
      <c r="F70" s="284">
        <f>VLOOKUP($A70,'Data - CFR 202526'!$B$4:$CO$134,71,0)</f>
        <v>0</v>
      </c>
      <c r="G70" s="207">
        <f t="shared" si="9"/>
        <v>862427.18999999971</v>
      </c>
      <c r="H70" s="251"/>
      <c r="I70" s="388"/>
      <c r="K70" s="251"/>
      <c r="L70" s="251"/>
      <c r="M70" s="392"/>
    </row>
    <row r="71" spans="1:13" ht="13.8">
      <c r="A71" s="288">
        <v>3317</v>
      </c>
      <c r="B71" s="288" t="s">
        <v>769</v>
      </c>
      <c r="C71" s="248" t="str">
        <f t="shared" si="10"/>
        <v>Primary</v>
      </c>
      <c r="D71" s="384"/>
      <c r="E71" s="284">
        <f>VLOOKUP($A71,'Data - CFR 202526'!$B$4:$CO$134,69,0)+VLOOKUP($A71,'Data - CFR 202526'!$B$4:$CJ$134,70,0)</f>
        <v>-290523.13999999966</v>
      </c>
      <c r="F71" s="284">
        <f>VLOOKUP($A71,'Data - CFR 202526'!$B$4:$CO$134,71,0)</f>
        <v>0</v>
      </c>
      <c r="G71" s="207">
        <f t="shared" si="9"/>
        <v>-290523.13999999966</v>
      </c>
      <c r="H71" s="251"/>
      <c r="I71" s="388"/>
      <c r="K71" s="251"/>
      <c r="L71" s="251"/>
      <c r="M71" s="392"/>
    </row>
    <row r="72" spans="1:13" ht="13.8">
      <c r="A72" s="290">
        <v>2066</v>
      </c>
      <c r="B72" s="290" t="s">
        <v>770</v>
      </c>
      <c r="C72" s="248" t="str">
        <f t="shared" si="10"/>
        <v>Primary</v>
      </c>
      <c r="D72" s="384"/>
      <c r="E72" s="284">
        <f>VLOOKUP($A72,'Data - CFR 202526'!$B$4:$CO$134,69,0)+VLOOKUP($A72,'Data - CFR 202526'!$B$4:$CJ$134,70,0)</f>
        <v>-89990.400000000591</v>
      </c>
      <c r="F72" s="284">
        <f>VLOOKUP($A72,'Data - CFR 202526'!$B$4:$CO$134,71,0)</f>
        <v>20168.470000000012</v>
      </c>
      <c r="G72" s="207">
        <f t="shared" si="9"/>
        <v>-69821.930000000575</v>
      </c>
      <c r="H72" s="251"/>
      <c r="I72" s="388"/>
      <c r="K72" s="251"/>
      <c r="L72" s="251"/>
      <c r="M72" s="392"/>
    </row>
    <row r="73" spans="1:13" ht="13.8">
      <c r="A73" s="288">
        <v>2293</v>
      </c>
      <c r="B73" s="288" t="s">
        <v>771</v>
      </c>
      <c r="C73" s="248" t="str">
        <f t="shared" si="10"/>
        <v>Primary</v>
      </c>
      <c r="D73" s="384"/>
      <c r="E73" s="284">
        <f>VLOOKUP($A73,'Data - CFR 202526'!$B$4:$CO$134,69,0)+VLOOKUP($A73,'Data - CFR 202526'!$B$4:$CJ$134,70,0)</f>
        <v>62113.460000000399</v>
      </c>
      <c r="F73" s="284">
        <f>VLOOKUP($A73,'Data - CFR 202526'!$B$4:$CO$134,71,0)</f>
        <v>0</v>
      </c>
      <c r="G73" s="207">
        <f t="shared" si="9"/>
        <v>62113.460000000399</v>
      </c>
      <c r="H73" s="251"/>
      <c r="I73" s="388"/>
      <c r="K73" s="251"/>
      <c r="L73" s="251"/>
      <c r="M73" s="392"/>
    </row>
    <row r="74" spans="1:13" ht="13.8">
      <c r="A74" s="288">
        <v>2074</v>
      </c>
      <c r="B74" s="288" t="s">
        <v>772</v>
      </c>
      <c r="C74" s="248" t="str">
        <f t="shared" si="10"/>
        <v>Primary</v>
      </c>
      <c r="D74" s="384"/>
      <c r="E74" s="284">
        <f>VLOOKUP($A74,'Data - CFR 202526'!$B$4:$CO$134,69,0)+VLOOKUP($A74,'Data - CFR 202526'!$B$4:$CJ$134,70,0)</f>
        <v>78978.920000001235</v>
      </c>
      <c r="F74" s="284">
        <f>VLOOKUP($A74,'Data - CFR 202526'!$B$4:$CO$134,71,0)</f>
        <v>14569.44000000001</v>
      </c>
      <c r="G74" s="207">
        <f t="shared" si="9"/>
        <v>93548.360000001237</v>
      </c>
      <c r="H74" s="251"/>
      <c r="I74" s="388"/>
      <c r="K74" s="251"/>
      <c r="L74" s="251"/>
      <c r="M74" s="392"/>
    </row>
    <row r="75" spans="1:13" ht="13.8">
      <c r="A75" s="288">
        <v>2075</v>
      </c>
      <c r="B75" s="288" t="s">
        <v>773</v>
      </c>
      <c r="C75" s="248" t="str">
        <f t="shared" si="10"/>
        <v>Primary</v>
      </c>
      <c r="D75" s="384"/>
      <c r="E75" s="284">
        <f>VLOOKUP($A75,'Data - CFR 202526'!$B$4:$CO$134,69,0)+VLOOKUP($A75,'Data - CFR 202526'!$B$4:$CJ$134,70,0)</f>
        <v>71454.250000000669</v>
      </c>
      <c r="F75" s="284">
        <f>VLOOKUP($A75,'Data - CFR 202526'!$B$4:$CO$134,71,0)</f>
        <v>24665.819999999992</v>
      </c>
      <c r="G75" s="207">
        <f t="shared" si="9"/>
        <v>96120.070000000662</v>
      </c>
      <c r="H75" s="251"/>
      <c r="I75" s="388"/>
      <c r="K75" s="251"/>
      <c r="L75" s="251"/>
      <c r="M75" s="392"/>
    </row>
    <row r="76" spans="1:13" ht="13.8">
      <c r="A76" s="288">
        <v>2121</v>
      </c>
      <c r="B76" s="288" t="s">
        <v>774</v>
      </c>
      <c r="C76" s="248" t="str">
        <f t="shared" si="10"/>
        <v>Primary</v>
      </c>
      <c r="D76" s="384"/>
      <c r="E76" s="284">
        <f>VLOOKUP($A76,'Data - CFR 202526'!$B$4:$CO$134,69,0)+VLOOKUP($A76,'Data - CFR 202526'!$B$4:$CJ$134,70,0)</f>
        <v>-153247.33999999834</v>
      </c>
      <c r="F76" s="284">
        <f>VLOOKUP($A76,'Data - CFR 202526'!$B$4:$CO$134,71,0)</f>
        <v>0</v>
      </c>
      <c r="G76" s="207">
        <f t="shared" si="9"/>
        <v>-153247.33999999834</v>
      </c>
      <c r="H76" s="251"/>
      <c r="I76" s="388"/>
      <c r="K76" s="251"/>
      <c r="L76" s="251"/>
      <c r="M76" s="392"/>
    </row>
    <row r="77" spans="1:13" ht="13.8">
      <c r="A77" s="288">
        <v>2028</v>
      </c>
      <c r="B77" s="288" t="s">
        <v>775</v>
      </c>
      <c r="C77" s="248" t="str">
        <f t="shared" si="10"/>
        <v>Primary</v>
      </c>
      <c r="D77" s="384"/>
      <c r="E77" s="284">
        <f>VLOOKUP($A77,'Data - CFR 202526'!$B$4:$CO$134,69,0)+VLOOKUP($A77,'Data - CFR 202526'!$B$4:$CJ$134,70,0)</f>
        <v>73214.169999999547</v>
      </c>
      <c r="F77" s="284">
        <f>VLOOKUP($A77,'Data - CFR 202526'!$B$4:$CO$134,71,0)</f>
        <v>0</v>
      </c>
      <c r="G77" s="207">
        <f t="shared" si="9"/>
        <v>73214.169999999547</v>
      </c>
      <c r="H77" s="251"/>
      <c r="I77" s="388"/>
      <c r="K77" s="251"/>
      <c r="L77" s="251"/>
      <c r="M77" s="392"/>
    </row>
    <row r="78" spans="1:13" ht="13.8">
      <c r="A78" s="288">
        <v>2029</v>
      </c>
      <c r="B78" s="288" t="s">
        <v>776</v>
      </c>
      <c r="C78" s="248" t="str">
        <f t="shared" si="10"/>
        <v>Primary</v>
      </c>
      <c r="D78" s="384"/>
      <c r="E78" s="284">
        <f>VLOOKUP($A78,'Data - CFR 202526'!$B$4:$CO$134,69,0)+VLOOKUP($A78,'Data - CFR 202526'!$B$4:$CJ$134,70,0)</f>
        <v>98590.439999999886</v>
      </c>
      <c r="F78" s="284">
        <f>VLOOKUP($A78,'Data - CFR 202526'!$B$4:$CO$134,71,0)</f>
        <v>93944.700000000012</v>
      </c>
      <c r="G78" s="207">
        <f t="shared" si="9"/>
        <v>192535.1399999999</v>
      </c>
      <c r="H78" s="251"/>
      <c r="I78" s="388"/>
      <c r="K78" s="251"/>
      <c r="L78" s="251"/>
      <c r="M78" s="392"/>
    </row>
    <row r="79" spans="1:13" ht="13.8">
      <c r="A79" s="288">
        <v>2059</v>
      </c>
      <c r="B79" s="288" t="s">
        <v>777</v>
      </c>
      <c r="C79" s="248" t="str">
        <f t="shared" si="10"/>
        <v>Primary</v>
      </c>
      <c r="D79" s="384"/>
      <c r="E79" s="284">
        <f>VLOOKUP($A79,'Data - CFR 202526'!$B$4:$CO$134,69,0)+VLOOKUP($A79,'Data - CFR 202526'!$B$4:$CJ$134,70,0)</f>
        <v>-154644.00999999983</v>
      </c>
      <c r="F79" s="284">
        <f>VLOOKUP($A79,'Data - CFR 202526'!$B$4:$CO$134,71,0)</f>
        <v>0</v>
      </c>
      <c r="G79" s="207">
        <f t="shared" si="9"/>
        <v>-154644.00999999983</v>
      </c>
      <c r="H79" s="251"/>
      <c r="I79" s="388"/>
      <c r="K79" s="251"/>
      <c r="L79" s="251"/>
      <c r="M79" s="392"/>
    </row>
    <row r="80" spans="1:13" ht="13.8">
      <c r="A80" s="288">
        <v>3386</v>
      </c>
      <c r="B80" s="288" t="s">
        <v>778</v>
      </c>
      <c r="C80" s="248" t="str">
        <f t="shared" si="10"/>
        <v>Primary</v>
      </c>
      <c r="D80" s="384"/>
      <c r="E80" s="284">
        <f>VLOOKUP($A80,'Data - CFR 202526'!$B$4:$CO$134,69,0)+VLOOKUP($A80,'Data - CFR 202526'!$B$4:$CJ$134,70,0)</f>
        <v>418482.84999999835</v>
      </c>
      <c r="F80" s="284">
        <f>VLOOKUP($A80,'Data - CFR 202526'!$B$4:$CO$134,71,0)</f>
        <v>0</v>
      </c>
      <c r="G80" s="207">
        <f t="shared" si="9"/>
        <v>418482.84999999835</v>
      </c>
      <c r="H80" s="251"/>
      <c r="I80" s="388"/>
      <c r="K80" s="251"/>
      <c r="L80" s="251"/>
      <c r="M80" s="392"/>
    </row>
    <row r="81" spans="1:13" ht="13.8">
      <c r="A81" s="288">
        <v>2449</v>
      </c>
      <c r="B81" s="288" t="s">
        <v>779</v>
      </c>
      <c r="C81" s="248" t="str">
        <f t="shared" si="10"/>
        <v>Primary</v>
      </c>
      <c r="D81" s="384"/>
      <c r="E81" s="284">
        <f>VLOOKUP($A81,'Data - CFR 202526'!$B$4:$CO$134,69,0)+VLOOKUP($A81,'Data - CFR 202526'!$B$4:$CJ$134,70,0)</f>
        <v>443805.40000000026</v>
      </c>
      <c r="F81" s="284">
        <f>VLOOKUP($A81,'Data - CFR 202526'!$B$4:$CO$134,71,0)</f>
        <v>129235.99000000005</v>
      </c>
      <c r="G81" s="207">
        <f t="shared" si="9"/>
        <v>573041.39000000036</v>
      </c>
      <c r="H81" s="251"/>
      <c r="I81" s="388"/>
      <c r="K81" s="251"/>
      <c r="L81" s="251"/>
      <c r="M81" s="392"/>
    </row>
    <row r="82" spans="1:13" ht="13.8">
      <c r="A82" s="288">
        <v>2107</v>
      </c>
      <c r="B82" s="288" t="s">
        <v>780</v>
      </c>
      <c r="C82" s="248" t="str">
        <f t="shared" si="10"/>
        <v>Primary</v>
      </c>
      <c r="D82" s="384"/>
      <c r="E82" s="284">
        <f>VLOOKUP($A82,'Data - CFR 202526'!$B$4:$CO$134,69,0)+VLOOKUP($A82,'Data - CFR 202526'!$B$4:$CJ$134,70,0)</f>
        <v>335691.79000000015</v>
      </c>
      <c r="F82" s="284">
        <f>VLOOKUP($A82,'Data - CFR 202526'!$B$4:$CO$134,71,0)</f>
        <v>0</v>
      </c>
      <c r="G82" s="207">
        <f t="shared" si="9"/>
        <v>335691.79000000015</v>
      </c>
      <c r="H82" s="251"/>
      <c r="I82" s="388"/>
      <c r="K82" s="251"/>
      <c r="L82" s="251"/>
      <c r="M82" s="392"/>
    </row>
    <row r="83" spans="1:13" ht="13.8">
      <c r="A83" s="288">
        <v>2109</v>
      </c>
      <c r="B83" s="288" t="s">
        <v>781</v>
      </c>
      <c r="C83" s="248" t="str">
        <f t="shared" si="10"/>
        <v>Primary</v>
      </c>
      <c r="D83" s="384"/>
      <c r="E83" s="284">
        <f>VLOOKUP($A83,'Data - CFR 202526'!$B$4:$CO$134,69,0)+VLOOKUP($A83,'Data - CFR 202526'!$B$4:$CJ$134,70,0)</f>
        <v>81985.380000000121</v>
      </c>
      <c r="F83" s="284">
        <f>VLOOKUP($A83,'Data - CFR 202526'!$B$4:$CO$134,71,0)</f>
        <v>0</v>
      </c>
      <c r="G83" s="207">
        <f t="shared" si="9"/>
        <v>81985.380000000121</v>
      </c>
      <c r="H83" s="251"/>
      <c r="I83" s="388"/>
      <c r="K83" s="251"/>
      <c r="L83" s="251"/>
      <c r="M83" s="392"/>
    </row>
    <row r="84" spans="1:13" ht="13.8">
      <c r="A84" s="288">
        <v>3390</v>
      </c>
      <c r="B84" s="288" t="s">
        <v>782</v>
      </c>
      <c r="C84" s="248" t="str">
        <f t="shared" si="10"/>
        <v>Primary</v>
      </c>
      <c r="D84" s="384"/>
      <c r="E84" s="284">
        <f>VLOOKUP($A84,'Data - CFR 202526'!$B$4:$CO$134,69,0)+VLOOKUP($A84,'Data - CFR 202526'!$B$4:$CJ$134,70,0)</f>
        <v>-246623.8800000003</v>
      </c>
      <c r="F84" s="284">
        <f>VLOOKUP($A84,'Data - CFR 202526'!$B$4:$CO$134,71,0)</f>
        <v>0</v>
      </c>
      <c r="G84" s="207">
        <f t="shared" si="9"/>
        <v>-246623.8800000003</v>
      </c>
      <c r="H84" s="251"/>
      <c r="I84" s="388"/>
      <c r="K84" s="251"/>
      <c r="L84" s="251"/>
      <c r="M84" s="392"/>
    </row>
    <row r="85" spans="1:13" ht="13.8">
      <c r="A85" s="290">
        <v>2031</v>
      </c>
      <c r="B85" s="290" t="s">
        <v>783</v>
      </c>
      <c r="C85" s="248" t="str">
        <f t="shared" si="10"/>
        <v>Primary</v>
      </c>
      <c r="D85" s="384"/>
      <c r="E85" s="284">
        <f>VLOOKUP($A85,'Data - CFR 202526'!$B$4:$CO$134,69,0)+VLOOKUP($A85,'Data - CFR 202526'!$B$4:$CJ$134,70,0)</f>
        <v>-108514.64000000031</v>
      </c>
      <c r="F85" s="284">
        <f>VLOOKUP($A85,'Data - CFR 202526'!$B$4:$CO$134,71,0)</f>
        <v>0</v>
      </c>
      <c r="G85" s="207">
        <f t="shared" si="9"/>
        <v>-108514.64000000031</v>
      </c>
      <c r="H85" s="251"/>
      <c r="I85" s="388"/>
      <c r="K85" s="251"/>
      <c r="L85" s="251"/>
      <c r="M85" s="392"/>
    </row>
    <row r="86" spans="1:13" ht="13.8">
      <c r="A86" s="288">
        <v>3350</v>
      </c>
      <c r="B86" s="288" t="s">
        <v>784</v>
      </c>
      <c r="C86" s="248" t="str">
        <f t="shared" si="10"/>
        <v>Primary</v>
      </c>
      <c r="D86" s="384"/>
      <c r="E86" s="284">
        <f>VLOOKUP($A86,'Data - CFR 202526'!$B$4:$CO$134,69,0)+VLOOKUP($A86,'Data - CFR 202526'!$B$4:$CJ$134,70,0)</f>
        <v>102521.29000000018</v>
      </c>
      <c r="F86" s="284">
        <f>VLOOKUP($A86,'Data - CFR 202526'!$B$4:$CO$134,71,0)</f>
        <v>0</v>
      </c>
      <c r="G86" s="207">
        <f t="shared" si="9"/>
        <v>102521.29000000018</v>
      </c>
      <c r="H86" s="251"/>
      <c r="I86" s="388"/>
      <c r="K86" s="251"/>
      <c r="L86" s="251"/>
      <c r="M86" s="392"/>
    </row>
    <row r="87" spans="1:13" ht="13.8">
      <c r="A87" s="288">
        <v>2033</v>
      </c>
      <c r="B87" s="288" t="s">
        <v>785</v>
      </c>
      <c r="C87" s="248" t="str">
        <f t="shared" si="10"/>
        <v>Primary</v>
      </c>
      <c r="D87" s="384"/>
      <c r="E87" s="284">
        <f>VLOOKUP($A87,'Data - CFR 202526'!$B$4:$CO$134,69,0)+VLOOKUP($A87,'Data - CFR 202526'!$B$4:$CJ$134,70,0)</f>
        <v>72593.619999999588</v>
      </c>
      <c r="F87" s="284">
        <f>VLOOKUP($A87,'Data - CFR 202526'!$B$4:$CO$134,71,0)</f>
        <v>34474.760000000009</v>
      </c>
      <c r="G87" s="207">
        <f t="shared" si="9"/>
        <v>107068.3799999996</v>
      </c>
      <c r="H87" s="251"/>
      <c r="I87" s="388"/>
      <c r="K87" s="251"/>
      <c r="L87" s="251"/>
      <c r="M87" s="392"/>
    </row>
    <row r="88" spans="1:13" ht="13.8">
      <c r="A88" s="288">
        <v>3331</v>
      </c>
      <c r="B88" s="288" t="s">
        <v>786</v>
      </c>
      <c r="C88" s="248" t="str">
        <f t="shared" si="10"/>
        <v>Primary</v>
      </c>
      <c r="D88" s="384"/>
      <c r="E88" s="284">
        <f>VLOOKUP($A88,'Data - CFR 202526'!$B$4:$CO$134,69,0)+VLOOKUP($A88,'Data - CFR 202526'!$B$4:$CJ$134,70,0)</f>
        <v>67187.619999999821</v>
      </c>
      <c r="F88" s="284">
        <f>VLOOKUP($A88,'Data - CFR 202526'!$B$4:$CO$134,71,0)</f>
        <v>0</v>
      </c>
      <c r="G88" s="207">
        <f t="shared" si="9"/>
        <v>67187.619999999821</v>
      </c>
      <c r="H88" s="251"/>
      <c r="I88" s="388"/>
      <c r="K88" s="251"/>
      <c r="L88" s="251"/>
      <c r="M88" s="392"/>
    </row>
    <row r="89" spans="1:13" ht="13.8">
      <c r="A89" s="288">
        <v>2239</v>
      </c>
      <c r="B89" s="288" t="s">
        <v>787</v>
      </c>
      <c r="C89" s="248" t="str">
        <f t="shared" si="10"/>
        <v>Primary</v>
      </c>
      <c r="D89" s="384"/>
      <c r="E89" s="284">
        <f>VLOOKUP($A89,'Data - CFR 202526'!$B$4:$CO$134,69,0)+VLOOKUP($A89,'Data - CFR 202526'!$B$4:$CJ$134,70,0)</f>
        <v>352214.47999999986</v>
      </c>
      <c r="F89" s="284">
        <f>VLOOKUP($A89,'Data - CFR 202526'!$B$4:$CO$134,71,0)</f>
        <v>0</v>
      </c>
      <c r="G89" s="207">
        <f t="shared" si="9"/>
        <v>352214.47999999986</v>
      </c>
      <c r="H89" s="251"/>
      <c r="I89" s="388"/>
      <c r="K89" s="251"/>
      <c r="L89" s="251"/>
      <c r="M89" s="392"/>
    </row>
    <row r="90" spans="1:13" ht="13.8">
      <c r="A90" s="288">
        <v>2219</v>
      </c>
      <c r="B90" s="288" t="s">
        <v>788</v>
      </c>
      <c r="C90" s="248" t="str">
        <f t="shared" si="10"/>
        <v>Primary</v>
      </c>
      <c r="D90" s="384"/>
      <c r="E90" s="284">
        <f>VLOOKUP($A90,'Data - CFR 202526'!$B$4:$CO$134,69,0)+VLOOKUP($A90,'Data - CFR 202526'!$B$4:$CJ$134,70,0)</f>
        <v>191307.99000000017</v>
      </c>
      <c r="F90" s="284">
        <f>VLOOKUP($A90,'Data - CFR 202526'!$B$4:$CO$134,71,0)</f>
        <v>245611.31</v>
      </c>
      <c r="G90" s="207">
        <f t="shared" si="9"/>
        <v>436919.30000000016</v>
      </c>
      <c r="H90" s="251"/>
      <c r="I90" s="388"/>
      <c r="K90" s="251"/>
      <c r="L90" s="251"/>
      <c r="M90" s="392"/>
    </row>
    <row r="91" spans="1:13" ht="13.8">
      <c r="A91" s="288">
        <v>2333</v>
      </c>
      <c r="B91" s="288" t="s">
        <v>789</v>
      </c>
      <c r="C91" s="248" t="str">
        <f t="shared" si="10"/>
        <v>Primary</v>
      </c>
      <c r="D91" s="384"/>
      <c r="E91" s="284">
        <f>VLOOKUP($A91,'Data - CFR 202526'!$B$4:$CO$134,69,0)+VLOOKUP($A91,'Data - CFR 202526'!$B$4:$CJ$134,70,0)</f>
        <v>8626.1700000002747</v>
      </c>
      <c r="F91" s="284">
        <f>VLOOKUP($A91,'Data - CFR 202526'!$B$4:$CO$134,71,0)</f>
        <v>123961.54000000002</v>
      </c>
      <c r="G91" s="207">
        <f t="shared" si="9"/>
        <v>132587.71000000031</v>
      </c>
      <c r="H91" s="251"/>
      <c r="I91" s="388"/>
      <c r="K91" s="251"/>
      <c r="L91" s="251"/>
      <c r="M91" s="392"/>
    </row>
    <row r="92" spans="1:13" ht="13.8">
      <c r="A92" s="288">
        <v>3946</v>
      </c>
      <c r="B92" s="288" t="s">
        <v>790</v>
      </c>
      <c r="C92" s="248" t="str">
        <f t="shared" si="10"/>
        <v>Primary</v>
      </c>
      <c r="D92" s="384"/>
      <c r="E92" s="284">
        <f>VLOOKUP($A92,'Data - CFR 202526'!$B$4:$CO$134,69,0)+VLOOKUP($A92,'Data - CFR 202526'!$B$4:$CJ$134,70,0)</f>
        <v>-468805.48</v>
      </c>
      <c r="F92" s="284">
        <f>VLOOKUP($A92,'Data - CFR 202526'!$B$4:$CO$134,71,0)</f>
        <v>104442.99</v>
      </c>
      <c r="G92" s="207">
        <f t="shared" si="9"/>
        <v>-364362.49</v>
      </c>
      <c r="H92" s="251"/>
      <c r="I92" s="388"/>
      <c r="K92" s="251"/>
      <c r="L92" s="251"/>
      <c r="M92" s="392"/>
    </row>
    <row r="93" spans="1:13" ht="13.8">
      <c r="A93" s="288">
        <v>2453</v>
      </c>
      <c r="B93" s="288" t="s">
        <v>791</v>
      </c>
      <c r="C93" s="248" t="str">
        <f t="shared" si="10"/>
        <v>Primary</v>
      </c>
      <c r="D93" s="384"/>
      <c r="E93" s="284">
        <f>VLOOKUP($A93,'Data - CFR 202526'!$B$4:$CO$134,69,0)+VLOOKUP($A93,'Data - CFR 202526'!$B$4:$CJ$134,70,0)</f>
        <v>177904.84000000084</v>
      </c>
      <c r="F93" s="284">
        <f>VLOOKUP($A93,'Data - CFR 202526'!$B$4:$CO$134,71,0)</f>
        <v>17920.810000000005</v>
      </c>
      <c r="G93" s="207">
        <f t="shared" si="9"/>
        <v>195825.65000000084</v>
      </c>
      <c r="H93" s="251"/>
      <c r="I93" s="388"/>
      <c r="K93" s="251"/>
      <c r="L93" s="251"/>
      <c r="M93" s="392"/>
    </row>
    <row r="94" spans="1:13" ht="13.8">
      <c r="A94" s="288">
        <v>2070</v>
      </c>
      <c r="B94" s="288" t="s">
        <v>792</v>
      </c>
      <c r="C94" s="248" t="str">
        <f t="shared" si="10"/>
        <v>Primary</v>
      </c>
      <c r="D94" s="384"/>
      <c r="E94" s="284">
        <f>VLOOKUP($A94,'Data - CFR 202526'!$B$4:$CO$134,69,0)+VLOOKUP($A94,'Data - CFR 202526'!$B$4:$CJ$134,70,0)</f>
        <v>97643.719999999332</v>
      </c>
      <c r="F94" s="284">
        <f>VLOOKUP($A94,'Data - CFR 202526'!$B$4:$CO$134,71,0)</f>
        <v>0</v>
      </c>
      <c r="G94" s="207">
        <f t="shared" si="9"/>
        <v>97643.719999999332</v>
      </c>
      <c r="H94" s="251"/>
      <c r="I94" s="388"/>
      <c r="K94" s="251"/>
      <c r="L94" s="251"/>
      <c r="M94" s="392"/>
    </row>
    <row r="95" spans="1:13" ht="13.8">
      <c r="A95" s="288">
        <v>7023</v>
      </c>
      <c r="B95" s="288" t="s">
        <v>793</v>
      </c>
      <c r="C95" s="248" t="str">
        <f t="shared" si="10"/>
        <v>Special</v>
      </c>
      <c r="D95" s="384"/>
      <c r="E95" s="284">
        <f>VLOOKUP($A95,'Data - CFR 202526'!$B$4:$CO$134,69,0)+VLOOKUP($A95,'Data - CFR 202526'!$B$4:$CJ$134,70,0)</f>
        <v>508745.77999999921</v>
      </c>
      <c r="F95" s="284">
        <f>VLOOKUP($A95,'Data - CFR 202526'!$B$4:$CO$134,71,0)</f>
        <v>0</v>
      </c>
      <c r="G95" s="207">
        <f t="shared" si="9"/>
        <v>508745.77999999921</v>
      </c>
      <c r="H95" s="251"/>
      <c r="I95" s="388"/>
      <c r="K95" s="251"/>
      <c r="L95" s="251"/>
      <c r="M95" s="392"/>
    </row>
    <row r="96" spans="1:13" ht="13.8">
      <c r="A96" s="288">
        <v>2255</v>
      </c>
      <c r="B96" s="288" t="s">
        <v>794</v>
      </c>
      <c r="C96" s="248" t="str">
        <f t="shared" si="10"/>
        <v>Primary</v>
      </c>
      <c r="D96" s="384"/>
      <c r="E96" s="284">
        <f>VLOOKUP($A96,'Data - CFR 202526'!$B$4:$CO$134,69,0)+VLOOKUP($A96,'Data - CFR 202526'!$B$4:$CJ$134,70,0)</f>
        <v>183679.00999999995</v>
      </c>
      <c r="F96" s="284">
        <f>VLOOKUP($A96,'Data - CFR 202526'!$B$4:$CO$134,71,0)</f>
        <v>0</v>
      </c>
      <c r="G96" s="207">
        <f t="shared" si="9"/>
        <v>183679.00999999995</v>
      </c>
      <c r="H96" s="251"/>
      <c r="I96" s="388"/>
      <c r="K96" s="251"/>
      <c r="L96" s="251"/>
      <c r="M96" s="392"/>
    </row>
    <row r="97" spans="1:13" ht="13.8">
      <c r="A97" s="288">
        <v>2115</v>
      </c>
      <c r="B97" s="288" t="s">
        <v>795</v>
      </c>
      <c r="C97" s="248" t="str">
        <f t="shared" si="10"/>
        <v>Primary</v>
      </c>
      <c r="D97" s="384"/>
      <c r="E97" s="284">
        <f>VLOOKUP($A97,'Data - CFR 202526'!$B$4:$CO$134,69,0)+VLOOKUP($A97,'Data - CFR 202526'!$B$4:$CJ$134,70,0)</f>
        <v>-254765.49000000078</v>
      </c>
      <c r="F97" s="284">
        <f>VLOOKUP($A97,'Data - CFR 202526'!$B$4:$CO$134,71,0)</f>
        <v>19217.069999999978</v>
      </c>
      <c r="G97" s="207">
        <f t="shared" si="9"/>
        <v>-235548.4200000008</v>
      </c>
      <c r="H97" s="251"/>
      <c r="I97" s="388"/>
      <c r="K97" s="251"/>
      <c r="L97" s="251"/>
      <c r="M97" s="392"/>
    </row>
    <row r="98" spans="1:13" ht="13.8">
      <c r="A98" s="288">
        <v>2329</v>
      </c>
      <c r="B98" s="288" t="s">
        <v>796</v>
      </c>
      <c r="C98" s="248" t="str">
        <f t="shared" si="10"/>
        <v>Primary</v>
      </c>
      <c r="D98" s="384"/>
      <c r="E98" s="284">
        <f>VLOOKUP($A98,'Data - CFR 202526'!$B$4:$CO$134,69,0)+VLOOKUP($A98,'Data - CFR 202526'!$B$4:$CJ$134,70,0)</f>
        <v>-28723.149999999529</v>
      </c>
      <c r="F98" s="284">
        <f>VLOOKUP($A98,'Data - CFR 202526'!$B$4:$CO$134,71,0)</f>
        <v>-1745.3500000000495</v>
      </c>
      <c r="G98" s="207">
        <f t="shared" si="9"/>
        <v>-30468.499999999578</v>
      </c>
      <c r="H98" s="251"/>
      <c r="I98" s="388"/>
      <c r="K98" s="251"/>
      <c r="L98" s="251"/>
      <c r="M98" s="392"/>
    </row>
    <row r="99" spans="1:13" ht="13.8">
      <c r="A99" s="288">
        <v>3384</v>
      </c>
      <c r="B99" s="288" t="s">
        <v>797</v>
      </c>
      <c r="C99" s="248" t="str">
        <f t="shared" si="10"/>
        <v>Primary</v>
      </c>
      <c r="D99" s="384"/>
      <c r="E99" s="284">
        <f>VLOOKUP($A99,'Data - CFR 202526'!$B$4:$CO$134,69,0)+VLOOKUP($A99,'Data - CFR 202526'!$B$4:$CJ$134,70,0)</f>
        <v>-96157.49999999968</v>
      </c>
      <c r="F99" s="284">
        <f>VLOOKUP($A99,'Data - CFR 202526'!$B$4:$CO$134,71,0)</f>
        <v>0</v>
      </c>
      <c r="G99" s="207">
        <f t="shared" si="9"/>
        <v>-96157.49999999968</v>
      </c>
      <c r="H99" s="251"/>
      <c r="I99" s="388"/>
      <c r="K99" s="251"/>
      <c r="L99" s="251"/>
      <c r="M99" s="392"/>
    </row>
    <row r="100" spans="1:13" ht="13.8">
      <c r="A100" s="288">
        <v>5200</v>
      </c>
      <c r="B100" s="288" t="s">
        <v>798</v>
      </c>
      <c r="C100" s="248" t="str">
        <f t="shared" si="10"/>
        <v>NA</v>
      </c>
      <c r="D100" s="384"/>
      <c r="E100" s="284">
        <f>VLOOKUP($A100,'Data - CFR 202526'!$B$4:$CO$134,69,0)+VLOOKUP($A100,'Data - CFR 202526'!$B$4:$CJ$134,70,0)</f>
        <v>-94160.459999999686</v>
      </c>
      <c r="F100" s="284">
        <f>VLOOKUP($A100,'Data - CFR 202526'!$B$4:$CO$134,71,0)</f>
        <v>0</v>
      </c>
      <c r="G100" s="207">
        <f t="shared" si="9"/>
        <v>-94160.459999999686</v>
      </c>
      <c r="H100" s="251"/>
      <c r="I100" s="388"/>
      <c r="K100" s="251"/>
      <c r="L100" s="251"/>
      <c r="M100" s="392"/>
    </row>
    <row r="101" spans="1:13" ht="13.8">
      <c r="A101" s="288">
        <v>2317</v>
      </c>
      <c r="B101" s="288" t="s">
        <v>800</v>
      </c>
      <c r="C101" s="248" t="str">
        <f t="shared" si="10"/>
        <v>Primary</v>
      </c>
      <c r="D101" s="384"/>
      <c r="E101" s="284">
        <f>VLOOKUP($A101,'Data - CFR 202526'!$B$4:$CO$134,69,0)+VLOOKUP($A101,'Data - CFR 202526'!$B$4:$CJ$134,70,0)</f>
        <v>-329667.02999999962</v>
      </c>
      <c r="F101" s="284">
        <f>VLOOKUP($A101,'Data - CFR 202526'!$B$4:$CO$134,71,0)</f>
        <v>0</v>
      </c>
      <c r="G101" s="207">
        <f t="shared" si="9"/>
        <v>-329667.02999999962</v>
      </c>
      <c r="H101" s="251"/>
      <c r="I101" s="388"/>
      <c r="K101" s="251"/>
      <c r="L101" s="251"/>
      <c r="M101" s="392"/>
    </row>
    <row r="102" spans="1:13" ht="13.8">
      <c r="A102" s="288">
        <v>3356</v>
      </c>
      <c r="B102" s="288" t="s">
        <v>801</v>
      </c>
      <c r="C102" s="248" t="str">
        <f t="shared" si="10"/>
        <v>Primary</v>
      </c>
      <c r="D102" s="384"/>
      <c r="E102" s="284">
        <f>VLOOKUP($A102,'Data - CFR 202526'!$B$4:$CO$134,69,0)+VLOOKUP($A102,'Data - CFR 202526'!$B$4:$CJ$134,70,0)</f>
        <v>216653.4700000002</v>
      </c>
      <c r="F102" s="284">
        <f>VLOOKUP($A102,'Data - CFR 202526'!$B$4:$CO$134,71,0)</f>
        <v>0</v>
      </c>
      <c r="G102" s="207">
        <f t="shared" si="9"/>
        <v>216653.4700000002</v>
      </c>
      <c r="H102" s="251"/>
      <c r="I102" s="388"/>
      <c r="K102" s="251"/>
      <c r="L102" s="251"/>
      <c r="M102" s="392"/>
    </row>
    <row r="103" spans="1:13" ht="13.8">
      <c r="A103" s="288">
        <v>3358</v>
      </c>
      <c r="B103" s="288" t="s">
        <v>802</v>
      </c>
      <c r="C103" s="248" t="str">
        <f t="shared" si="10"/>
        <v>Primary</v>
      </c>
      <c r="D103" s="384"/>
      <c r="E103" s="284">
        <f>VLOOKUP($A103,'Data - CFR 202526'!$B$4:$CO$134,69,0)+VLOOKUP($A103,'Data - CFR 202526'!$B$4:$CJ$134,70,0)</f>
        <v>-2291.2300000005416</v>
      </c>
      <c r="F103" s="284">
        <f>VLOOKUP($A103,'Data - CFR 202526'!$B$4:$CO$134,71,0)</f>
        <v>-11862.319999999992</v>
      </c>
      <c r="G103" s="207">
        <f t="shared" si="9"/>
        <v>-14153.550000000534</v>
      </c>
      <c r="H103" s="251"/>
      <c r="I103" s="388"/>
      <c r="K103" s="251"/>
      <c r="L103" s="251"/>
      <c r="M103" s="392"/>
    </row>
    <row r="104" spans="1:13" ht="13.8">
      <c r="A104" s="288">
        <v>3029</v>
      </c>
      <c r="B104" s="288" t="s">
        <v>803</v>
      </c>
      <c r="C104" s="248" t="str">
        <f t="shared" si="10"/>
        <v>Primary</v>
      </c>
      <c r="D104" s="384"/>
      <c r="E104" s="284">
        <f>VLOOKUP($A104,'Data - CFR 202526'!$B$4:$CO$134,69,0)+VLOOKUP($A104,'Data - CFR 202526'!$B$4:$CJ$134,70,0)</f>
        <v>-148501.93999999971</v>
      </c>
      <c r="F104" s="284">
        <f>VLOOKUP($A104,'Data - CFR 202526'!$B$4:$CO$134,71,0)</f>
        <v>0</v>
      </c>
      <c r="G104" s="207">
        <f t="shared" si="9"/>
        <v>-148501.93999999971</v>
      </c>
      <c r="H104" s="251"/>
      <c r="I104" s="388"/>
      <c r="K104" s="251"/>
      <c r="L104" s="251"/>
      <c r="M104" s="392"/>
    </row>
    <row r="105" spans="1:13" ht="13.8">
      <c r="A105" s="288">
        <v>2084</v>
      </c>
      <c r="B105" s="288" t="s">
        <v>804</v>
      </c>
      <c r="C105" s="248" t="str">
        <f t="shared" si="10"/>
        <v>Primary</v>
      </c>
      <c r="D105" s="384"/>
      <c r="E105" s="284">
        <f>VLOOKUP($A105,'Data - CFR 202526'!$B$4:$CO$134,69,0)+VLOOKUP($A105,'Data - CFR 202526'!$B$4:$CJ$134,70,0)</f>
        <v>-50103.639999999723</v>
      </c>
      <c r="F105" s="284">
        <f>VLOOKUP($A105,'Data - CFR 202526'!$B$4:$CO$134,71,0)</f>
        <v>0</v>
      </c>
      <c r="G105" s="207">
        <f t="shared" si="9"/>
        <v>-50103.639999999723</v>
      </c>
      <c r="H105" s="251"/>
      <c r="I105" s="388"/>
      <c r="K105" s="251"/>
      <c r="L105" s="251"/>
      <c r="M105" s="392"/>
    </row>
    <row r="106" spans="1:13" ht="13.8">
      <c r="A106" s="288">
        <v>2443</v>
      </c>
      <c r="B106" s="288" t="s">
        <v>805</v>
      </c>
      <c r="C106" s="248" t="str">
        <f t="shared" si="10"/>
        <v>Primary</v>
      </c>
      <c r="D106" s="384"/>
      <c r="E106" s="284">
        <f>VLOOKUP($A106,'Data - CFR 202526'!$B$4:$CO$134,69,0)+VLOOKUP($A106,'Data - CFR 202526'!$B$4:$CJ$134,70,0)</f>
        <v>84389.149999999616</v>
      </c>
      <c r="F106" s="284">
        <f>VLOOKUP($A106,'Data - CFR 202526'!$B$4:$CO$134,71,0)</f>
        <v>0</v>
      </c>
      <c r="G106" s="207">
        <f t="shared" si="9"/>
        <v>84389.149999999616</v>
      </c>
      <c r="H106" s="251"/>
      <c r="I106" s="388"/>
      <c r="K106" s="251"/>
      <c r="L106" s="251"/>
      <c r="M106" s="392"/>
    </row>
    <row r="107" spans="1:13" ht="13.8">
      <c r="A107" s="288">
        <v>3052</v>
      </c>
      <c r="B107" s="288" t="s">
        <v>806</v>
      </c>
      <c r="C107" s="248" t="str">
        <f t="shared" si="10"/>
        <v>Primary</v>
      </c>
      <c r="D107" s="384"/>
      <c r="E107" s="284">
        <f>VLOOKUP($A107,'Data - CFR 202526'!$B$4:$CO$134,69,0)+VLOOKUP($A107,'Data - CFR 202526'!$B$4:$CJ$134,70,0)</f>
        <v>152843.71</v>
      </c>
      <c r="F107" s="284">
        <f>VLOOKUP($A107,'Data - CFR 202526'!$B$4:$CO$134,71,0)</f>
        <v>33869.819999999978</v>
      </c>
      <c r="G107" s="207">
        <f t="shared" si="9"/>
        <v>186713.52999999997</v>
      </c>
      <c r="H107" s="251"/>
      <c r="I107" s="388"/>
      <c r="K107" s="251"/>
      <c r="L107" s="251"/>
      <c r="M107" s="392"/>
    </row>
    <row r="108" spans="1:13" ht="13.8">
      <c r="A108" s="288">
        <v>2046</v>
      </c>
      <c r="B108" s="288" t="s">
        <v>807</v>
      </c>
      <c r="C108" s="248" t="str">
        <f t="shared" si="10"/>
        <v>Primary</v>
      </c>
      <c r="D108" s="384"/>
      <c r="E108" s="284">
        <f>VLOOKUP($A108,'Data - CFR 202526'!$B$4:$CO$134,69,0)+VLOOKUP($A108,'Data - CFR 202526'!$B$4:$CJ$134,70,0)</f>
        <v>120819.45999999944</v>
      </c>
      <c r="F108" s="284">
        <f>VLOOKUP($A108,'Data - CFR 202526'!$B$4:$CO$134,71,0)</f>
        <v>51309.25</v>
      </c>
      <c r="G108" s="207">
        <f t="shared" si="9"/>
        <v>172128.70999999944</v>
      </c>
      <c r="H108" s="251"/>
      <c r="I108" s="388"/>
      <c r="K108" s="251"/>
      <c r="L108" s="251"/>
      <c r="M108" s="251"/>
    </row>
    <row r="109" spans="1:13" ht="13.8">
      <c r="A109" s="288">
        <v>3325</v>
      </c>
      <c r="B109" s="288" t="s">
        <v>808</v>
      </c>
      <c r="C109" s="248" t="str">
        <f t="shared" si="10"/>
        <v>Primary</v>
      </c>
      <c r="D109" s="384"/>
      <c r="E109" s="284">
        <f>VLOOKUP($A109,'Data - CFR 202526'!$B$4:$CO$134,69,0)+VLOOKUP($A109,'Data - CFR 202526'!$B$4:$CJ$134,70,0)</f>
        <v>21066.280000000595</v>
      </c>
      <c r="F109" s="284">
        <f>VLOOKUP($A109,'Data - CFR 202526'!$B$4:$CO$134,71,0)</f>
        <v>11568.520000000013</v>
      </c>
      <c r="G109" s="207">
        <f t="shared" si="9"/>
        <v>32634.800000000607</v>
      </c>
      <c r="H109" s="251"/>
      <c r="I109" s="388"/>
      <c r="K109" s="251"/>
      <c r="L109" s="251"/>
      <c r="M109" s="251"/>
    </row>
    <row r="110" spans="1:13" ht="13.8">
      <c r="A110" s="288">
        <v>1001</v>
      </c>
      <c r="B110" s="288" t="s">
        <v>809</v>
      </c>
      <c r="C110" s="248" t="str">
        <f t="shared" si="10"/>
        <v>Nursery</v>
      </c>
      <c r="D110" s="384"/>
      <c r="E110" s="284">
        <f>VLOOKUP($A110,'Data - CFR 202526'!$B$4:$CO$134,69,0)+VLOOKUP($A110,'Data - CFR 202526'!$B$4:$CJ$134,70,0)</f>
        <v>-171255.67999999959</v>
      </c>
      <c r="F110" s="284">
        <f>VLOOKUP($A110,'Data - CFR 202526'!$B$4:$CO$134,71,0)</f>
        <v>-823.4099999999944</v>
      </c>
      <c r="G110" s="207">
        <f t="shared" si="9"/>
        <v>-172079.08999999959</v>
      </c>
      <c r="H110" s="251"/>
      <c r="I110" s="388"/>
      <c r="K110" s="251"/>
      <c r="L110" s="251"/>
      <c r="M110" s="251"/>
    </row>
    <row r="111" spans="1:13" ht="13.8">
      <c r="A111" s="288">
        <v>2123</v>
      </c>
      <c r="B111" s="288" t="s">
        <v>810</v>
      </c>
      <c r="C111" s="248" t="str">
        <f t="shared" si="10"/>
        <v>Primary</v>
      </c>
      <c r="D111" s="384"/>
      <c r="E111" s="284">
        <f>VLOOKUP($A111,'Data - CFR 202526'!$B$4:$CO$134,69,0)+VLOOKUP($A111,'Data - CFR 202526'!$B$4:$CJ$134,70,0)</f>
        <v>18139.090000000317</v>
      </c>
      <c r="F111" s="284">
        <f>VLOOKUP($A111,'Data - CFR 202526'!$B$4:$CO$134,71,0)</f>
        <v>31407.44000000001</v>
      </c>
      <c r="G111" s="207">
        <f t="shared" si="9"/>
        <v>49546.530000000326</v>
      </c>
      <c r="H111" s="251"/>
      <c r="I111" s="388"/>
      <c r="K111" s="251"/>
      <c r="L111" s="251"/>
      <c r="M111" s="251"/>
    </row>
    <row r="112" spans="1:13" ht="13.8">
      <c r="A112" s="288">
        <v>2260</v>
      </c>
      <c r="B112" s="288" t="s">
        <v>811</v>
      </c>
      <c r="C112" s="248" t="str">
        <f t="shared" si="10"/>
        <v>Primary</v>
      </c>
      <c r="D112" s="384"/>
      <c r="E112" s="284">
        <f>VLOOKUP($A112,'Data - CFR 202526'!$B$4:$CO$134,69,0)+VLOOKUP($A112,'Data - CFR 202526'!$B$4:$CJ$134,70,0)</f>
        <v>71721.970000000219</v>
      </c>
      <c r="F112" s="284">
        <f>VLOOKUP($A112,'Data - CFR 202526'!$B$4:$CO$134,71,0)</f>
        <v>0</v>
      </c>
      <c r="G112" s="207">
        <f t="shared" si="9"/>
        <v>71721.970000000219</v>
      </c>
      <c r="H112" s="251"/>
      <c r="I112" s="388"/>
      <c r="K112" s="251"/>
      <c r="L112" s="251"/>
      <c r="M112" s="251"/>
    </row>
    <row r="113" spans="1:7" ht="13.8">
      <c r="A113" s="288">
        <v>3058</v>
      </c>
      <c r="B113" s="288" t="s">
        <v>812</v>
      </c>
      <c r="C113" s="248" t="str">
        <f t="shared" si="10"/>
        <v>Primary</v>
      </c>
      <c r="D113" s="384"/>
      <c r="E113" s="284">
        <f>VLOOKUP($A113,'Data - CFR 202526'!$B$4:$CO$134,69,0)+VLOOKUP($A113,'Data - CFR 202526'!$B$4:$CJ$134,70,0)</f>
        <v>118934.77999999987</v>
      </c>
      <c r="F113" s="284">
        <f>VLOOKUP($A113,'Data - CFR 202526'!$B$4:$CO$134,71,0)</f>
        <v>46449.77999999997</v>
      </c>
      <c r="G113" s="207">
        <f t="shared" si="9"/>
        <v>165384.55999999982</v>
      </c>
    </row>
    <row r="114" spans="1:7" ht="13.8">
      <c r="A114" s="288">
        <v>2335</v>
      </c>
      <c r="B114" s="288" t="s">
        <v>813</v>
      </c>
      <c r="C114" s="248" t="str">
        <f t="shared" si="10"/>
        <v>Primary</v>
      </c>
      <c r="D114" s="384"/>
      <c r="E114" s="284">
        <f>VLOOKUP($A114,'Data - CFR 202526'!$B$4:$CO$134,69,0)+VLOOKUP($A114,'Data - CFR 202526'!$B$4:$CJ$134,70,0)</f>
        <v>24565.980000000534</v>
      </c>
      <c r="F114" s="284">
        <f>VLOOKUP($A114,'Data - CFR 202526'!$B$4:$CO$134,71,0)</f>
        <v>0</v>
      </c>
      <c r="G114" s="207">
        <f t="shared" si="9"/>
        <v>24565.980000000534</v>
      </c>
    </row>
    <row r="115" spans="1:7" ht="13.8">
      <c r="A115" s="288">
        <v>3389</v>
      </c>
      <c r="B115" s="288" t="s">
        <v>814</v>
      </c>
      <c r="C115" s="248" t="str">
        <f t="shared" si="10"/>
        <v>Primary</v>
      </c>
      <c r="D115" s="384"/>
      <c r="E115" s="284">
        <f>VLOOKUP($A115,'Data - CFR 202526'!$B$4:$CO$134,69,0)+VLOOKUP($A115,'Data - CFR 202526'!$B$4:$CJ$134,70,0)</f>
        <v>39707.699999999837</v>
      </c>
      <c r="F115" s="284">
        <f>VLOOKUP($A115,'Data - CFR 202526'!$B$4:$CO$134,71,0)</f>
        <v>68368.650000000009</v>
      </c>
      <c r="G115" s="207">
        <f t="shared" si="9"/>
        <v>108076.34999999985</v>
      </c>
    </row>
    <row r="116" spans="1:7" ht="13.8">
      <c r="A116" s="290">
        <v>2001</v>
      </c>
      <c r="B116" s="290" t="s">
        <v>815</v>
      </c>
      <c r="C116" s="248" t="str">
        <f t="shared" si="10"/>
        <v>Primary</v>
      </c>
      <c r="D116" s="384"/>
      <c r="E116" s="284">
        <f>VLOOKUP($A116,'Data - CFR 202526'!$B$4:$CO$134,69,0)+VLOOKUP($A116,'Data - CFR 202526'!$B$4:$CJ$134,70,0)</f>
        <v>-311381.27000000112</v>
      </c>
      <c r="F116" s="284">
        <f>VLOOKUP($A116,'Data - CFR 202526'!$B$4:$CO$134,71,0)</f>
        <v>65041.859999999964</v>
      </c>
      <c r="G116" s="207">
        <f t="shared" si="9"/>
        <v>-246339.41000000117</v>
      </c>
    </row>
    <row r="117" spans="1:7" ht="13.8">
      <c r="A117" s="288">
        <v>2064</v>
      </c>
      <c r="B117" s="288" t="s">
        <v>816</v>
      </c>
      <c r="C117" s="248" t="str">
        <f t="shared" si="10"/>
        <v>Primary</v>
      </c>
      <c r="D117" s="384"/>
      <c r="E117" s="284">
        <f>VLOOKUP($A117,'Data - CFR 202526'!$B$4:$CO$134,69,0)+VLOOKUP($A117,'Data - CFR 202526'!$B$4:$CJ$134,70,0)</f>
        <v>183750.65999999983</v>
      </c>
      <c r="F117" s="284">
        <f>VLOOKUP($A117,'Data - CFR 202526'!$B$4:$CO$134,71,0)</f>
        <v>0</v>
      </c>
      <c r="G117" s="207">
        <f t="shared" si="9"/>
        <v>183750.65999999983</v>
      </c>
    </row>
    <row r="118" spans="1:7" ht="13.8">
      <c r="A118" s="290">
        <v>2000</v>
      </c>
      <c r="B118" s="290" t="s">
        <v>1375</v>
      </c>
      <c r="C118" s="248" t="str">
        <f t="shared" si="10"/>
        <v>Primary</v>
      </c>
      <c r="D118" s="384"/>
      <c r="E118" s="284">
        <f>VLOOKUP($A118,'Data - CFR 202526'!$B$4:$CO$134,69,0)+VLOOKUP($A118,'Data - CFR 202526'!$B$4:$CJ$134,70,0)</f>
        <v>161697.0099999996</v>
      </c>
      <c r="F118" s="284">
        <f>VLOOKUP($A118,'Data - CFR 202526'!$B$4:$CO$134,71,0)</f>
        <v>54794.049999999988</v>
      </c>
      <c r="G118" s="207">
        <f t="shared" si="9"/>
        <v>216491.05999999959</v>
      </c>
    </row>
    <row r="119" spans="1:7" ht="13.8">
      <c r="A119" s="288">
        <v>2048</v>
      </c>
      <c r="B119" s="288" t="s">
        <v>818</v>
      </c>
      <c r="C119" s="248" t="str">
        <f t="shared" si="10"/>
        <v>Primary</v>
      </c>
      <c r="D119" s="384"/>
      <c r="E119" s="284">
        <f>VLOOKUP($A119,'Data - CFR 202526'!$B$4:$CO$134,69,0)+VLOOKUP($A119,'Data - CFR 202526'!$B$4:$CJ$134,70,0)</f>
        <v>51342.840000000971</v>
      </c>
      <c r="F119" s="284">
        <f>VLOOKUP($A119,'Data - CFR 202526'!$B$4:$CO$134,71,0)</f>
        <v>0</v>
      </c>
      <c r="G119" s="207">
        <f t="shared" si="9"/>
        <v>51342.840000000971</v>
      </c>
    </row>
    <row r="120" spans="1:7" ht="13.8">
      <c r="A120" s="288">
        <v>2232</v>
      </c>
      <c r="B120" s="288" t="s">
        <v>819</v>
      </c>
      <c r="C120" s="248" t="str">
        <f t="shared" si="10"/>
        <v>Primary</v>
      </c>
      <c r="D120" s="384"/>
      <c r="E120" s="284">
        <f>VLOOKUP($A120,'Data - CFR 202526'!$B$4:$CO$134,69,0)+VLOOKUP($A120,'Data - CFR 202526'!$B$4:$CJ$134,70,0)</f>
        <v>2953.0000000002146</v>
      </c>
      <c r="F120" s="284">
        <f>VLOOKUP($A120,'Data - CFR 202526'!$B$4:$CO$134,71,0)</f>
        <v>0</v>
      </c>
      <c r="G120" s="207">
        <f t="shared" si="9"/>
        <v>2953.0000000002146</v>
      </c>
    </row>
    <row r="121" spans="1:7" ht="13.8">
      <c r="A121" s="290">
        <v>3392</v>
      </c>
      <c r="B121" s="290" t="s">
        <v>820</v>
      </c>
      <c r="C121" s="248" t="str">
        <f t="shared" si="10"/>
        <v>Primary</v>
      </c>
      <c r="D121" s="384"/>
      <c r="E121" s="284">
        <f>VLOOKUP($A121,'Data - CFR 202526'!$B$4:$CO$134,69,0)+VLOOKUP($A121,'Data - CFR 202526'!$B$4:$CJ$134,70,0)</f>
        <v>-219535.38000000134</v>
      </c>
      <c r="F121" s="284">
        <f>VLOOKUP($A121,'Data - CFR 202526'!$B$4:$CO$134,71,0)</f>
        <v>33861.280000000013</v>
      </c>
      <c r="G121" s="207">
        <f t="shared" si="9"/>
        <v>-185674.10000000132</v>
      </c>
    </row>
    <row r="122" spans="1:7" ht="13.8">
      <c r="A122" s="288">
        <v>3054</v>
      </c>
      <c r="B122" s="288" t="s">
        <v>821</v>
      </c>
      <c r="C122" s="248" t="str">
        <f t="shared" si="10"/>
        <v>Primary</v>
      </c>
      <c r="D122" s="384"/>
      <c r="E122" s="284">
        <f>VLOOKUP($A122,'Data - CFR 202526'!$B$4:$CO$134,69,0)+VLOOKUP($A122,'Data - CFR 202526'!$B$4:$CJ$134,70,0)</f>
        <v>39026.910000000142</v>
      </c>
      <c r="F122" s="284">
        <f>VLOOKUP($A122,'Data - CFR 202526'!$B$4:$CO$134,71,0)</f>
        <v>0</v>
      </c>
      <c r="G122" s="207">
        <f t="shared" si="9"/>
        <v>39026.910000000142</v>
      </c>
    </row>
    <row r="123" spans="1:7" ht="13.8">
      <c r="A123" s="288">
        <v>3032</v>
      </c>
      <c r="B123" s="288" t="s">
        <v>822</v>
      </c>
      <c r="C123" s="248" t="str">
        <f t="shared" si="10"/>
        <v>Primary</v>
      </c>
      <c r="D123" s="384"/>
      <c r="E123" s="284">
        <f>VLOOKUP($A123,'Data - CFR 202526'!$B$4:$CO$134,69,0)+VLOOKUP($A123,'Data - CFR 202526'!$B$4:$CJ$134,70,0)</f>
        <v>79534.790000000081</v>
      </c>
      <c r="F123" s="284">
        <f>VLOOKUP($A123,'Data - CFR 202526'!$B$4:$CO$134,71,0)</f>
        <v>0</v>
      </c>
      <c r="G123" s="207">
        <f t="shared" si="9"/>
        <v>79534.790000000081</v>
      </c>
    </row>
    <row r="124" spans="1:7" ht="13.8">
      <c r="A124" s="288">
        <v>2054</v>
      </c>
      <c r="B124" s="288" t="s">
        <v>823</v>
      </c>
      <c r="C124" s="248" t="str">
        <f t="shared" si="10"/>
        <v>Primary</v>
      </c>
      <c r="D124" s="384"/>
      <c r="E124" s="284">
        <f>VLOOKUP($A124,'Data - CFR 202526'!$B$4:$CO$134,69,0)+VLOOKUP($A124,'Data - CFR 202526'!$B$4:$CJ$134,70,0)</f>
        <v>152612.86000000036</v>
      </c>
      <c r="F124" s="284">
        <f>VLOOKUP($A124,'Data - CFR 202526'!$B$4:$CO$134,71,0)</f>
        <v>87991.630000000063</v>
      </c>
      <c r="G124" s="207">
        <f t="shared" si="9"/>
        <v>240604.49000000043</v>
      </c>
    </row>
    <row r="125" spans="1:7" ht="13.8">
      <c r="A125" s="288">
        <v>2240</v>
      </c>
      <c r="B125" s="288" t="s">
        <v>824</v>
      </c>
      <c r="C125" s="248" t="str">
        <f t="shared" si="10"/>
        <v>Primary</v>
      </c>
      <c r="D125" s="384"/>
      <c r="E125" s="284">
        <f>VLOOKUP($A125,'Data - CFR 202526'!$B$4:$CO$134,69,0)+VLOOKUP($A125,'Data - CFR 202526'!$B$4:$CJ$134,70,0)</f>
        <v>-28641.970000000234</v>
      </c>
      <c r="F125" s="284">
        <f>VLOOKUP($A125,'Data - CFR 202526'!$B$4:$CO$134,71,0)</f>
        <v>-4586.1700000000083</v>
      </c>
      <c r="G125" s="207">
        <f>SUM(E125:F125)</f>
        <v>-33228.14000000024</v>
      </c>
    </row>
    <row r="126" spans="1:7" ht="13.8">
      <c r="A126" s="288">
        <v>2254</v>
      </c>
      <c r="B126" s="288" t="s">
        <v>825</v>
      </c>
      <c r="C126" s="248" t="str">
        <f t="shared" si="10"/>
        <v>Primary</v>
      </c>
      <c r="D126" s="384"/>
      <c r="E126" s="284">
        <f>VLOOKUP($A126,'Data - CFR 202526'!$B$4:$CO$134,69,0)+VLOOKUP($A126,'Data - CFR 202526'!$B$4:$CJ$134,70,0)</f>
        <v>87550.489999999758</v>
      </c>
      <c r="F126" s="284">
        <f>VLOOKUP($A126,'Data - CFR 202526'!$B$4:$CO$134,71,0)</f>
        <v>0</v>
      </c>
      <c r="G126" s="207">
        <f>SUM(E126:F126)</f>
        <v>87550.489999999758</v>
      </c>
    </row>
  </sheetData>
  <phoneticPr fontId="16" type="noConversion"/>
  <pageMargins left="0.75" right="0.75" top="1" bottom="1" header="0.5" footer="0.5"/>
  <pageSetup paperSize="9" orientation="portrait"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2D050"/>
  </sheetPr>
  <dimension ref="A1:I124"/>
  <sheetViews>
    <sheetView workbookViewId="0">
      <selection activeCell="F3" sqref="F3"/>
    </sheetView>
  </sheetViews>
  <sheetFormatPr defaultColWidth="9.21875" defaultRowHeight="13.2"/>
  <cols>
    <col min="1" max="1" width="12" style="215" customWidth="1"/>
    <col min="2" max="2" width="8.77734375" style="221" customWidth="1"/>
    <col min="3" max="3" width="44.77734375" style="222" bestFit="1" customWidth="1"/>
    <col min="4" max="4" width="15.77734375" style="222" bestFit="1" customWidth="1"/>
    <col min="5" max="5" width="12.77734375" style="221" bestFit="1" customWidth="1"/>
    <col min="6" max="6" width="9.21875" style="242"/>
    <col min="7" max="7" width="2.44140625" style="215" customWidth="1"/>
    <col min="8" max="8" width="9.21875" style="242"/>
    <col min="9" max="9" width="9.21875" style="261"/>
    <col min="10" max="16384" width="9.21875" style="215"/>
  </cols>
  <sheetData>
    <row r="1" spans="1:9">
      <c r="A1" s="214" t="s">
        <v>1383</v>
      </c>
      <c r="B1" s="298">
        <v>1</v>
      </c>
      <c r="C1" s="298">
        <v>2</v>
      </c>
      <c r="D1" s="381">
        <v>3</v>
      </c>
      <c r="E1" s="298">
        <v>4</v>
      </c>
      <c r="F1" s="385"/>
      <c r="G1" s="247"/>
      <c r="H1" s="385"/>
    </row>
    <row r="2" spans="1:9" s="217" customFormat="1" ht="26.4">
      <c r="A2" s="216" t="s">
        <v>1365</v>
      </c>
      <c r="B2" s="217" t="s">
        <v>878</v>
      </c>
      <c r="C2" s="264" t="s">
        <v>877</v>
      </c>
      <c r="D2" s="218" t="s">
        <v>873</v>
      </c>
      <c r="E2" s="217" t="s">
        <v>1384</v>
      </c>
      <c r="F2" s="296" t="s">
        <v>1385</v>
      </c>
      <c r="H2" s="260" t="s">
        <v>487</v>
      </c>
      <c r="I2" s="262" t="s">
        <v>1382</v>
      </c>
    </row>
    <row r="3" spans="1:9" s="220" customFormat="1" ht="13.8">
      <c r="A3" s="252" t="s">
        <v>1386</v>
      </c>
      <c r="B3" s="288">
        <v>3373</v>
      </c>
      <c r="C3" s="288" t="s">
        <v>703</v>
      </c>
      <c r="D3" s="248" t="str">
        <f>IF(LEFT(B3,1)="1","Nursery",IF(LEFT(B3,1)="2","Primary",IF(LEFT(B3,1)="3","Primary",IF(LEFT(B3,1)="7","Special","NA"))))</f>
        <v>Primary</v>
      </c>
      <c r="E3" s="380"/>
      <c r="F3" s="393"/>
      <c r="G3" s="394"/>
      <c r="H3" s="395">
        <f>VLOOKUP(B3,'Data - CFR 202526'!$B$4:$CO$505,85,0)</f>
        <v>0</v>
      </c>
      <c r="I3" s="263"/>
    </row>
    <row r="4" spans="1:9" s="220" customFormat="1" ht="13.8">
      <c r="A4" s="252" t="s">
        <v>1386</v>
      </c>
      <c r="B4" s="288">
        <v>3061</v>
      </c>
      <c r="C4" s="288" t="s">
        <v>705</v>
      </c>
      <c r="D4" s="248" t="str">
        <f t="shared" ref="D4:D67" si="0">IF(LEFT(B4,1)="1","Nursery",IF(LEFT(B4,1)="2","Primary",IF(LEFT(B4,1)="3","Primary",IF(LEFT(B4,1)="7","Special","NA"))))</f>
        <v>Primary</v>
      </c>
      <c r="E4" s="380"/>
      <c r="F4" s="393"/>
      <c r="G4" s="394"/>
      <c r="H4" s="395">
        <f>VLOOKUP(B4,'Data - CFR 202526'!$B$4:$CO$505,85,0)</f>
        <v>701.07000000000153</v>
      </c>
      <c r="I4" s="263"/>
    </row>
    <row r="5" spans="1:9" s="220" customFormat="1" ht="13.8">
      <c r="A5" s="252" t="s">
        <v>1386</v>
      </c>
      <c r="B5" s="288">
        <v>2083</v>
      </c>
      <c r="C5" s="288" t="s">
        <v>706</v>
      </c>
      <c r="D5" s="248" t="str">
        <f t="shared" si="0"/>
        <v>Primary</v>
      </c>
      <c r="E5" s="380"/>
      <c r="F5" s="393"/>
      <c r="G5" s="394"/>
      <c r="H5" s="395">
        <f>VLOOKUP(B5,'Data - CFR 202526'!$B$4:$CO$505,85,0)</f>
        <v>9671.7899999999991</v>
      </c>
      <c r="I5" s="263"/>
    </row>
    <row r="6" spans="1:9" s="220" customFormat="1" ht="13.8">
      <c r="A6" s="252" t="s">
        <v>1386</v>
      </c>
      <c r="B6" s="288">
        <v>2118</v>
      </c>
      <c r="C6" s="288" t="s">
        <v>707</v>
      </c>
      <c r="D6" s="248" t="str">
        <f t="shared" si="0"/>
        <v>Primary</v>
      </c>
      <c r="E6" s="380"/>
      <c r="F6" s="393"/>
      <c r="G6" s="394"/>
      <c r="H6" s="395">
        <f>VLOOKUP(B6,'Data - CFR 202526'!$B$4:$CO$505,85,0)</f>
        <v>0</v>
      </c>
      <c r="I6" s="263"/>
    </row>
    <row r="7" spans="1:9" s="220" customFormat="1" ht="13.8">
      <c r="A7" s="252" t="s">
        <v>1386</v>
      </c>
      <c r="B7" s="288">
        <v>2217</v>
      </c>
      <c r="C7" s="288" t="s">
        <v>708</v>
      </c>
      <c r="D7" s="248" t="str">
        <f t="shared" si="0"/>
        <v>Primary</v>
      </c>
      <c r="E7" s="380"/>
      <c r="F7" s="393"/>
      <c r="G7" s="394"/>
      <c r="H7" s="395">
        <f>VLOOKUP(B7,'Data - CFR 202526'!$B$4:$CO$505,85,0)</f>
        <v>2786.42</v>
      </c>
      <c r="I7" s="263"/>
    </row>
    <row r="8" spans="1:9" s="220" customFormat="1" ht="13.8">
      <c r="A8" s="252" t="s">
        <v>1386</v>
      </c>
      <c r="B8" s="288">
        <v>3067</v>
      </c>
      <c r="C8" s="288" t="s">
        <v>709</v>
      </c>
      <c r="D8" s="248" t="str">
        <f t="shared" si="0"/>
        <v>Primary</v>
      </c>
      <c r="E8" s="380"/>
      <c r="F8" s="393"/>
      <c r="G8" s="394"/>
      <c r="H8" s="395">
        <f>VLOOKUP(B8,'Data - CFR 202526'!$B$4:$CO$505,85,0)</f>
        <v>3749.1700000000005</v>
      </c>
      <c r="I8" s="263"/>
    </row>
    <row r="9" spans="1:9" s="220" customFormat="1" ht="13.8">
      <c r="A9" s="252" t="s">
        <v>1386</v>
      </c>
      <c r="B9" s="289">
        <v>3001</v>
      </c>
      <c r="C9" s="289" t="s">
        <v>710</v>
      </c>
      <c r="D9" s="248" t="str">
        <f t="shared" si="0"/>
        <v>Primary</v>
      </c>
      <c r="E9" s="380"/>
      <c r="F9" s="393"/>
      <c r="G9" s="394"/>
      <c r="H9" s="395">
        <f>VLOOKUP(B9,'Data - CFR 202526'!$B$4:$CO$505,85,0)</f>
        <v>4896.93</v>
      </c>
      <c r="I9" s="263"/>
    </row>
    <row r="10" spans="1:9" s="220" customFormat="1" ht="13.8">
      <c r="A10" s="252" t="s">
        <v>1386</v>
      </c>
      <c r="B10" s="288">
        <v>3301</v>
      </c>
      <c r="C10" s="288" t="s">
        <v>711</v>
      </c>
      <c r="D10" s="248" t="str">
        <f t="shared" si="0"/>
        <v>Primary</v>
      </c>
      <c r="E10" s="380"/>
      <c r="F10" s="393"/>
      <c r="G10" s="394"/>
      <c r="H10" s="395">
        <f>VLOOKUP(B10,'Data - CFR 202526'!$B$4:$CO$505,85,0)</f>
        <v>0</v>
      </c>
      <c r="I10" s="263"/>
    </row>
    <row r="11" spans="1:9" s="220" customFormat="1" ht="13.8">
      <c r="A11" s="252" t="s">
        <v>1386</v>
      </c>
      <c r="B11" s="288">
        <v>2002</v>
      </c>
      <c r="C11" s="288" t="s">
        <v>712</v>
      </c>
      <c r="D11" s="248" t="str">
        <f t="shared" si="0"/>
        <v>Primary</v>
      </c>
      <c r="E11" s="380"/>
      <c r="F11" s="393"/>
      <c r="G11" s="394"/>
      <c r="H11" s="395">
        <f>VLOOKUP(B11,'Data - CFR 202526'!$B$4:$CO$505,85,0)</f>
        <v>6673.66</v>
      </c>
      <c r="I11" s="263"/>
    </row>
    <row r="12" spans="1:9" s="220" customFormat="1" ht="13.8">
      <c r="A12" s="252" t="s">
        <v>1386</v>
      </c>
      <c r="B12" s="288">
        <v>2082</v>
      </c>
      <c r="C12" s="288" t="s">
        <v>713</v>
      </c>
      <c r="D12" s="248" t="str">
        <f t="shared" si="0"/>
        <v>Primary</v>
      </c>
      <c r="E12" s="380"/>
      <c r="F12" s="393"/>
      <c r="G12" s="394"/>
      <c r="H12" s="395">
        <f>VLOOKUP(B12,'Data - CFR 202526'!$B$4:$CO$505,85,0)</f>
        <v>6349.51</v>
      </c>
      <c r="I12" s="263"/>
    </row>
    <row r="13" spans="1:9" s="220" customFormat="1" ht="13.8">
      <c r="A13" s="252" t="s">
        <v>1386</v>
      </c>
      <c r="B13" s="288">
        <v>3943</v>
      </c>
      <c r="C13" s="288" t="s">
        <v>714</v>
      </c>
      <c r="D13" s="248" t="str">
        <f t="shared" si="0"/>
        <v>Primary</v>
      </c>
      <c r="E13" s="380"/>
      <c r="F13" s="393"/>
      <c r="G13" s="394"/>
      <c r="H13" s="395">
        <f>VLOOKUP(B13,'Data - CFR 202526'!$B$4:$CO$505,85,0)</f>
        <v>0</v>
      </c>
      <c r="I13" s="263"/>
    </row>
    <row r="14" spans="1:9" s="220" customFormat="1" ht="13.8">
      <c r="A14" s="252" t="s">
        <v>1386</v>
      </c>
      <c r="B14" s="288">
        <v>2060</v>
      </c>
      <c r="C14" s="288" t="s">
        <v>715</v>
      </c>
      <c r="D14" s="248" t="str">
        <f t="shared" si="0"/>
        <v>Primary</v>
      </c>
      <c r="E14" s="380"/>
      <c r="F14" s="393"/>
      <c r="G14" s="394"/>
      <c r="H14" s="395">
        <f>VLOOKUP(B14,'Data - CFR 202526'!$B$4:$CO$505,85,0)</f>
        <v>10059.48</v>
      </c>
      <c r="I14" s="263"/>
    </row>
    <row r="15" spans="1:9" s="220" customFormat="1" ht="13.8">
      <c r="A15" s="252" t="s">
        <v>1386</v>
      </c>
      <c r="B15" s="288">
        <v>2312</v>
      </c>
      <c r="C15" s="288" t="s">
        <v>716</v>
      </c>
      <c r="D15" s="248" t="str">
        <f t="shared" si="0"/>
        <v>Primary</v>
      </c>
      <c r="E15" s="380"/>
      <c r="F15" s="393"/>
      <c r="G15" s="394"/>
      <c r="H15" s="395">
        <f>VLOOKUP(B15,'Data - CFR 202526'!$B$4:$CO$505,85,0)</f>
        <v>15828.489999999998</v>
      </c>
      <c r="I15" s="263"/>
    </row>
    <row r="16" spans="1:9" s="220" customFormat="1" ht="13.8">
      <c r="A16" s="252" t="s">
        <v>1386</v>
      </c>
      <c r="B16" s="288">
        <v>3942</v>
      </c>
      <c r="C16" s="288" t="s">
        <v>717</v>
      </c>
      <c r="D16" s="248" t="str">
        <f t="shared" si="0"/>
        <v>Primary</v>
      </c>
      <c r="E16" s="380"/>
      <c r="F16" s="393"/>
      <c r="G16" s="394"/>
      <c r="H16" s="395">
        <f>VLOOKUP(B16,'Data - CFR 202526'!$B$4:$CO$505,85,0)</f>
        <v>1.8189894035458565E-12</v>
      </c>
      <c r="I16" s="263"/>
    </row>
    <row r="17" spans="1:9" s="220" customFormat="1" ht="13.8">
      <c r="A17" s="252" t="s">
        <v>1386</v>
      </c>
      <c r="B17" s="288">
        <v>3081</v>
      </c>
      <c r="C17" s="288" t="s">
        <v>718</v>
      </c>
      <c r="D17" s="248" t="str">
        <f t="shared" si="0"/>
        <v>Primary</v>
      </c>
      <c r="E17" s="380"/>
      <c r="F17" s="393"/>
      <c r="G17" s="394"/>
      <c r="H17" s="395">
        <f>VLOOKUP(B17,'Data - CFR 202526'!$B$4:$CO$505,85,0)</f>
        <v>9620.369999999999</v>
      </c>
      <c r="I17" s="263"/>
    </row>
    <row r="18" spans="1:9" s="220" customFormat="1" ht="13.8">
      <c r="A18" s="252" t="s">
        <v>1386</v>
      </c>
      <c r="B18" s="288">
        <v>1005</v>
      </c>
      <c r="C18" s="288" t="s">
        <v>719</v>
      </c>
      <c r="D18" s="248" t="str">
        <f t="shared" si="0"/>
        <v>Nursery</v>
      </c>
      <c r="E18" s="380"/>
      <c r="F18" s="393"/>
      <c r="G18" s="394"/>
      <c r="H18" s="395">
        <f>VLOOKUP(B18,'Data - CFR 202526'!$B$4:$CO$505,85,0)</f>
        <v>4712.8</v>
      </c>
      <c r="I18" s="263"/>
    </row>
    <row r="19" spans="1:9" s="220" customFormat="1" ht="13.8">
      <c r="A19" s="252" t="s">
        <v>1386</v>
      </c>
      <c r="B19" s="288">
        <v>2327</v>
      </c>
      <c r="C19" s="288" t="s">
        <v>721</v>
      </c>
      <c r="D19" s="248" t="str">
        <f t="shared" si="0"/>
        <v>Primary</v>
      </c>
      <c r="E19" s="380"/>
      <c r="F19" s="393"/>
      <c r="G19" s="394"/>
      <c r="H19" s="395">
        <f>VLOOKUP(B19,'Data - CFR 202526'!$B$4:$CO$505,85,0)</f>
        <v>24862.240000000005</v>
      </c>
      <c r="I19" s="263"/>
    </row>
    <row r="20" spans="1:9" s="220" customFormat="1" ht="13.8">
      <c r="A20" s="252" t="s">
        <v>1386</v>
      </c>
      <c r="B20" s="288">
        <v>2452</v>
      </c>
      <c r="C20" s="288" t="s">
        <v>722</v>
      </c>
      <c r="D20" s="248" t="str">
        <f t="shared" si="0"/>
        <v>Primary</v>
      </c>
      <c r="E20" s="380"/>
      <c r="F20" s="393"/>
      <c r="G20" s="394"/>
      <c r="H20" s="395">
        <f>VLOOKUP(B20,'Data - CFR 202526'!$B$4:$CO$505,85,0)</f>
        <v>4848.5</v>
      </c>
      <c r="I20" s="263"/>
    </row>
    <row r="21" spans="1:9" s="220" customFormat="1" ht="13.8">
      <c r="A21" s="252" t="s">
        <v>1386</v>
      </c>
      <c r="B21" s="288">
        <v>2004</v>
      </c>
      <c r="C21" s="288" t="s">
        <v>723</v>
      </c>
      <c r="D21" s="248" t="str">
        <f t="shared" si="0"/>
        <v>Primary</v>
      </c>
      <c r="E21" s="380"/>
      <c r="F21" s="393"/>
      <c r="G21" s="394"/>
      <c r="H21" s="395">
        <f>VLOOKUP(B21,'Data - CFR 202526'!$B$4:$CO$505,85,0)</f>
        <v>8273.6</v>
      </c>
      <c r="I21" s="263"/>
    </row>
    <row r="22" spans="1:9" s="220" customFormat="1" ht="13.8">
      <c r="A22" s="252" t="s">
        <v>1386</v>
      </c>
      <c r="B22" s="288">
        <v>3008</v>
      </c>
      <c r="C22" s="288" t="s">
        <v>724</v>
      </c>
      <c r="D22" s="248" t="str">
        <f t="shared" si="0"/>
        <v>Primary</v>
      </c>
      <c r="E22" s="380"/>
      <c r="F22" s="393"/>
      <c r="G22" s="394"/>
      <c r="H22" s="395">
        <f>VLOOKUP(B22,'Data - CFR 202526'!$B$4:$CO$505,85,0)</f>
        <v>6451.0399999999991</v>
      </c>
      <c r="I22" s="263"/>
    </row>
    <row r="23" spans="1:9" s="220" customFormat="1" ht="13.8">
      <c r="A23" s="252" t="s">
        <v>1386</v>
      </c>
      <c r="B23" s="288">
        <v>7026</v>
      </c>
      <c r="C23" s="288" t="s">
        <v>725</v>
      </c>
      <c r="D23" s="248" t="str">
        <f t="shared" si="0"/>
        <v>Special</v>
      </c>
      <c r="E23" s="380"/>
      <c r="F23" s="393"/>
      <c r="G23" s="394"/>
      <c r="H23" s="395">
        <f>VLOOKUP(B23,'Data - CFR 202526'!$B$4:$CO$505,85,0)</f>
        <v>0</v>
      </c>
      <c r="I23" s="263"/>
    </row>
    <row r="24" spans="1:9" s="220" customFormat="1" ht="13.8">
      <c r="A24" s="252" t="s">
        <v>1386</v>
      </c>
      <c r="B24" s="288">
        <v>3050</v>
      </c>
      <c r="C24" s="288" t="s">
        <v>727</v>
      </c>
      <c r="D24" s="248" t="str">
        <f t="shared" si="0"/>
        <v>Primary</v>
      </c>
      <c r="E24" s="380"/>
      <c r="F24" s="393"/>
      <c r="G24" s="394"/>
      <c r="H24" s="395">
        <f>VLOOKUP(B24,'Data - CFR 202526'!$B$4:$CO$505,85,0)</f>
        <v>7519.85</v>
      </c>
      <c r="I24" s="263"/>
    </row>
    <row r="25" spans="1:9" s="220" customFormat="1" ht="13.8">
      <c r="A25" s="252" t="s">
        <v>1386</v>
      </c>
      <c r="B25" s="288">
        <v>3009</v>
      </c>
      <c r="C25" s="288" t="s">
        <v>728</v>
      </c>
      <c r="D25" s="248" t="str">
        <f t="shared" si="0"/>
        <v>Primary</v>
      </c>
      <c r="E25" s="380"/>
      <c r="F25" s="393"/>
      <c r="G25" s="394"/>
      <c r="H25" s="395">
        <f>VLOOKUP(B25,'Data - CFR 202526'!$B$4:$CO$505,85,0)</f>
        <v>0</v>
      </c>
      <c r="I25" s="263"/>
    </row>
    <row r="26" spans="1:9" s="220" customFormat="1" ht="13.8">
      <c r="A26" s="252" t="s">
        <v>1386</v>
      </c>
      <c r="B26" s="288">
        <v>2091</v>
      </c>
      <c r="C26" s="288" t="s">
        <v>729</v>
      </c>
      <c r="D26" s="248" t="str">
        <f t="shared" si="0"/>
        <v>Primary</v>
      </c>
      <c r="E26" s="380"/>
      <c r="F26" s="393"/>
      <c r="G26" s="394"/>
      <c r="H26" s="395">
        <f>VLOOKUP(B26,'Data - CFR 202526'!$B$4:$CO$505,85,0)</f>
        <v>0</v>
      </c>
      <c r="I26" s="263"/>
    </row>
    <row r="27" spans="1:9" s="220" customFormat="1" ht="13.8">
      <c r="A27" s="252" t="s">
        <v>1386</v>
      </c>
      <c r="B27" s="288">
        <v>2065</v>
      </c>
      <c r="C27" s="288" t="s">
        <v>730</v>
      </c>
      <c r="D27" s="248" t="str">
        <f t="shared" si="0"/>
        <v>Primary</v>
      </c>
      <c r="E27" s="380"/>
      <c r="F27" s="393"/>
      <c r="G27" s="394"/>
      <c r="H27" s="395">
        <f>VLOOKUP(B27,'Data - CFR 202526'!$B$4:$CO$505,85,0)</f>
        <v>2896.9799999999996</v>
      </c>
      <c r="I27" s="263"/>
    </row>
    <row r="28" spans="1:9" s="220" customFormat="1" ht="13.8">
      <c r="A28" s="252" t="s">
        <v>1386</v>
      </c>
      <c r="B28" s="288">
        <v>1006</v>
      </c>
      <c r="C28" s="288" t="s">
        <v>731</v>
      </c>
      <c r="D28" s="248" t="str">
        <f t="shared" si="0"/>
        <v>Nursery</v>
      </c>
      <c r="E28" s="380"/>
      <c r="F28" s="393"/>
      <c r="G28" s="394"/>
      <c r="H28" s="395">
        <f>VLOOKUP(B28,'Data - CFR 202526'!$B$4:$CO$505,85,0)</f>
        <v>8929.18</v>
      </c>
      <c r="I28" s="263"/>
    </row>
    <row r="29" spans="1:9" s="220" customFormat="1" ht="13.8">
      <c r="A29" s="252" t="s">
        <v>1386</v>
      </c>
      <c r="B29" s="288">
        <v>2119</v>
      </c>
      <c r="C29" s="288" t="s">
        <v>732</v>
      </c>
      <c r="D29" s="248" t="str">
        <f t="shared" si="0"/>
        <v>Primary</v>
      </c>
      <c r="E29" s="380"/>
      <c r="F29" s="393"/>
      <c r="G29" s="394"/>
      <c r="H29" s="395">
        <f>VLOOKUP(B29,'Data - CFR 202526'!$B$4:$CO$505,85,0)</f>
        <v>3370.2699999999995</v>
      </c>
      <c r="I29" s="263"/>
    </row>
    <row r="30" spans="1:9" s="220" customFormat="1" ht="13.8">
      <c r="A30" s="252" t="s">
        <v>1386</v>
      </c>
      <c r="B30" s="288">
        <v>3011</v>
      </c>
      <c r="C30" s="288" t="s">
        <v>733</v>
      </c>
      <c r="D30" s="248" t="str">
        <f t="shared" si="0"/>
        <v>Primary</v>
      </c>
      <c r="E30" s="380"/>
      <c r="F30" s="393"/>
      <c r="G30" s="394"/>
      <c r="H30" s="395">
        <f>VLOOKUP(B30,'Data - CFR 202526'!$B$4:$CO$505,85,0)</f>
        <v>5048.25</v>
      </c>
      <c r="I30" s="263"/>
    </row>
    <row r="31" spans="1:9" s="220" customFormat="1" ht="13.8">
      <c r="A31" s="252" t="s">
        <v>1386</v>
      </c>
      <c r="B31" s="288">
        <v>2006</v>
      </c>
      <c r="C31" s="288" t="s">
        <v>734</v>
      </c>
      <c r="D31" s="248" t="str">
        <f t="shared" si="0"/>
        <v>Primary</v>
      </c>
      <c r="E31" s="380"/>
      <c r="F31" s="393"/>
      <c r="G31" s="394"/>
      <c r="H31" s="395">
        <f>VLOOKUP(B31,'Data - CFR 202526'!$B$4:$CO$505,85,0)</f>
        <v>30536.320000000003</v>
      </c>
      <c r="I31" s="263"/>
    </row>
    <row r="32" spans="1:9" s="220" customFormat="1" ht="13.8">
      <c r="A32" s="252" t="s">
        <v>1386</v>
      </c>
      <c r="B32" s="288">
        <v>3012</v>
      </c>
      <c r="C32" s="288" t="s">
        <v>735</v>
      </c>
      <c r="D32" s="248" t="str">
        <f t="shared" si="0"/>
        <v>Primary</v>
      </c>
      <c r="E32" s="380"/>
      <c r="F32" s="393"/>
      <c r="G32" s="394"/>
      <c r="H32" s="395">
        <f>VLOOKUP(B32,'Data - CFR 202526'!$B$4:$CO$505,85,0)</f>
        <v>20862.91</v>
      </c>
      <c r="I32" s="263"/>
    </row>
    <row r="33" spans="1:9" s="220" customFormat="1" ht="13.8">
      <c r="A33" s="252" t="s">
        <v>1386</v>
      </c>
      <c r="B33" s="288">
        <v>3041</v>
      </c>
      <c r="C33" s="288" t="s">
        <v>736</v>
      </c>
      <c r="D33" s="248" t="str">
        <f t="shared" si="0"/>
        <v>Primary</v>
      </c>
      <c r="E33" s="380"/>
      <c r="F33" s="393"/>
      <c r="G33" s="394"/>
      <c r="H33" s="395">
        <f>VLOOKUP(B33,'Data - CFR 202526'!$B$4:$CO$505,85,0)</f>
        <v>18881.68</v>
      </c>
      <c r="I33" s="263"/>
    </row>
    <row r="34" spans="1:9" s="220" customFormat="1" ht="13.8">
      <c r="A34" s="252" t="s">
        <v>1386</v>
      </c>
      <c r="B34" s="288">
        <v>2246</v>
      </c>
      <c r="C34" s="288" t="s">
        <v>737</v>
      </c>
      <c r="D34" s="248" t="str">
        <f t="shared" si="0"/>
        <v>Primary</v>
      </c>
      <c r="E34" s="380"/>
      <c r="F34" s="393"/>
      <c r="G34" s="394"/>
      <c r="H34" s="395">
        <f>VLOOKUP(B34,'Data - CFR 202526'!$B$4:$CO$505,85,0)</f>
        <v>18080.43</v>
      </c>
      <c r="I34" s="263"/>
    </row>
    <row r="35" spans="1:9" s="220" customFormat="1" ht="13.8">
      <c r="A35" s="252" t="s">
        <v>1386</v>
      </c>
      <c r="B35" s="288">
        <v>3308</v>
      </c>
      <c r="C35" s="288" t="s">
        <v>738</v>
      </c>
      <c r="D35" s="248" t="str">
        <f t="shared" si="0"/>
        <v>Primary</v>
      </c>
      <c r="E35" s="380"/>
      <c r="F35" s="393"/>
      <c r="G35" s="394"/>
      <c r="H35" s="395">
        <f>VLOOKUP(B35,'Data - CFR 202526'!$B$4:$CO$505,85,0)</f>
        <v>0</v>
      </c>
      <c r="I35" s="263"/>
    </row>
    <row r="36" spans="1:9" s="220" customFormat="1" ht="13.8">
      <c r="A36" s="252" t="s">
        <v>1386</v>
      </c>
      <c r="B36" s="288">
        <v>3368</v>
      </c>
      <c r="C36" s="288" t="s">
        <v>739</v>
      </c>
      <c r="D36" s="248" t="str">
        <f t="shared" si="0"/>
        <v>Primary</v>
      </c>
      <c r="E36" s="380"/>
      <c r="F36" s="393"/>
      <c r="G36" s="394"/>
      <c r="H36" s="395">
        <f>VLOOKUP(B36,'Data - CFR 202526'!$B$4:$CO$505,85,0)</f>
        <v>0</v>
      </c>
      <c r="I36" s="263"/>
    </row>
    <row r="37" spans="1:9" s="220" customFormat="1" ht="13.8">
      <c r="A37" s="252" t="s">
        <v>1386</v>
      </c>
      <c r="B37" s="288">
        <v>2444</v>
      </c>
      <c r="C37" s="288" t="s">
        <v>740</v>
      </c>
      <c r="D37" s="248" t="str">
        <f t="shared" si="0"/>
        <v>Primary</v>
      </c>
      <c r="E37" s="380"/>
      <c r="F37" s="393"/>
      <c r="G37" s="394"/>
      <c r="H37" s="395">
        <f>VLOOKUP(B37,'Data - CFR 202526'!$B$4:$CO$505,85,0)</f>
        <v>3921.0499999999993</v>
      </c>
      <c r="I37" s="263"/>
    </row>
    <row r="38" spans="1:9" s="220" customFormat="1" ht="13.8">
      <c r="A38" s="252" t="s">
        <v>1386</v>
      </c>
      <c r="B38" s="288">
        <v>3074</v>
      </c>
      <c r="C38" s="288" t="s">
        <v>741</v>
      </c>
      <c r="D38" s="248" t="str">
        <f t="shared" si="0"/>
        <v>Primary</v>
      </c>
      <c r="E38" s="380"/>
      <c r="F38" s="393"/>
      <c r="G38" s="394"/>
      <c r="H38" s="395">
        <f>VLOOKUP(B38,'Data - CFR 202526'!$B$4:$CO$505,85,0)</f>
        <v>5242.8</v>
      </c>
      <c r="I38" s="263"/>
    </row>
    <row r="39" spans="1:9" s="220" customFormat="1" ht="13.8">
      <c r="A39" s="252" t="s">
        <v>1386</v>
      </c>
      <c r="B39" s="288">
        <v>2336</v>
      </c>
      <c r="C39" s="288" t="s">
        <v>1372</v>
      </c>
      <c r="D39" s="248" t="str">
        <f t="shared" si="0"/>
        <v>Primary</v>
      </c>
      <c r="E39" s="380"/>
      <c r="F39" s="393"/>
      <c r="G39" s="394"/>
      <c r="H39" s="395">
        <f>VLOOKUP(B39,'Data - CFR 202526'!$B$4:$CO$505,85,0)</f>
        <v>5619.22</v>
      </c>
      <c r="I39" s="263"/>
    </row>
    <row r="40" spans="1:9" s="220" customFormat="1" ht="13.8">
      <c r="A40" s="252" t="s">
        <v>1386</v>
      </c>
      <c r="B40" s="288">
        <v>2010</v>
      </c>
      <c r="C40" s="288" t="s">
        <v>742</v>
      </c>
      <c r="D40" s="248" t="str">
        <f t="shared" si="0"/>
        <v>Primary</v>
      </c>
      <c r="E40" s="380"/>
      <c r="F40" s="393"/>
      <c r="G40" s="394"/>
      <c r="H40" s="395">
        <f>VLOOKUP(B40,'Data - CFR 202526'!$B$4:$CO$505,85,0)</f>
        <v>1689.2900000000009</v>
      </c>
      <c r="I40" s="263"/>
    </row>
    <row r="41" spans="1:9" s="220" customFormat="1" ht="13.8">
      <c r="A41" s="252" t="s">
        <v>1386</v>
      </c>
      <c r="B41" s="288">
        <v>2208</v>
      </c>
      <c r="C41" s="288" t="s">
        <v>743</v>
      </c>
      <c r="D41" s="248" t="str">
        <f t="shared" si="0"/>
        <v>Primary</v>
      </c>
      <c r="E41" s="380"/>
      <c r="F41" s="393"/>
      <c r="G41" s="394"/>
      <c r="H41" s="395">
        <f>VLOOKUP(B41,'Data - CFR 202526'!$B$4:$CO$505,85,0)</f>
        <v>17583.829999999998</v>
      </c>
      <c r="I41" s="263"/>
    </row>
    <row r="42" spans="1:9" s="220" customFormat="1" ht="13.8">
      <c r="A42" s="252" t="s">
        <v>1386</v>
      </c>
      <c r="B42" s="288">
        <v>3065</v>
      </c>
      <c r="C42" s="288" t="s">
        <v>744</v>
      </c>
      <c r="D42" s="248" t="str">
        <f t="shared" si="0"/>
        <v>Primary</v>
      </c>
      <c r="E42" s="380"/>
      <c r="F42" s="393"/>
      <c r="G42" s="394"/>
      <c r="H42" s="395">
        <f>VLOOKUP(B42,'Data - CFR 202526'!$B$4:$CO$505,85,0)</f>
        <v>4.0023540037736893E-13</v>
      </c>
      <c r="I42" s="263"/>
    </row>
    <row r="43" spans="1:9" s="220" customFormat="1" ht="13.8">
      <c r="A43" s="252" t="s">
        <v>1386</v>
      </c>
      <c r="B43" s="288">
        <v>3014</v>
      </c>
      <c r="C43" s="288" t="s">
        <v>745</v>
      </c>
      <c r="D43" s="248" t="str">
        <f t="shared" si="0"/>
        <v>Primary</v>
      </c>
      <c r="E43" s="380"/>
      <c r="F43" s="393"/>
      <c r="G43" s="394"/>
      <c r="H43" s="395">
        <f>VLOOKUP(B43,'Data - CFR 202526'!$B$4:$CO$505,85,0)</f>
        <v>0</v>
      </c>
      <c r="I43" s="263"/>
    </row>
    <row r="44" spans="1:9" s="220" customFormat="1" ht="13.8">
      <c r="A44" s="252" t="s">
        <v>1386</v>
      </c>
      <c r="B44" s="288">
        <v>2321</v>
      </c>
      <c r="C44" s="288" t="s">
        <v>746</v>
      </c>
      <c r="D44" s="248" t="str">
        <f t="shared" si="0"/>
        <v>Primary</v>
      </c>
      <c r="E44" s="380"/>
      <c r="F44" s="393"/>
      <c r="G44" s="394"/>
      <c r="H44" s="395">
        <f>VLOOKUP(B44,'Data - CFR 202526'!$B$4:$CO$505,85,0)</f>
        <v>1007.4699999999993</v>
      </c>
      <c r="I44" s="263"/>
    </row>
    <row r="45" spans="1:9" s="220" customFormat="1" ht="13.8">
      <c r="A45" s="252" t="s">
        <v>1386</v>
      </c>
      <c r="B45" s="288">
        <v>2011</v>
      </c>
      <c r="C45" s="288" t="s">
        <v>747</v>
      </c>
      <c r="D45" s="248" t="str">
        <f t="shared" si="0"/>
        <v>Primary</v>
      </c>
      <c r="E45" s="380"/>
      <c r="F45" s="393"/>
      <c r="G45" s="394"/>
      <c r="H45" s="395">
        <f>VLOOKUP(B45,'Data - CFR 202526'!$B$4:$CO$505,85,0)</f>
        <v>11105.720000000001</v>
      </c>
      <c r="I45" s="263"/>
    </row>
    <row r="46" spans="1:9" s="220" customFormat="1" ht="13.8">
      <c r="A46" s="252" t="s">
        <v>1386</v>
      </c>
      <c r="B46" s="288">
        <v>2012</v>
      </c>
      <c r="C46" s="288" t="s">
        <v>748</v>
      </c>
      <c r="D46" s="248" t="str">
        <f t="shared" si="0"/>
        <v>Primary</v>
      </c>
      <c r="E46" s="380"/>
      <c r="F46" s="393"/>
      <c r="G46" s="394"/>
      <c r="H46" s="395">
        <f>VLOOKUP(B46,'Data - CFR 202526'!$B$4:$CO$505,85,0)</f>
        <v>5624.5900000000038</v>
      </c>
      <c r="I46" s="263"/>
    </row>
    <row r="47" spans="1:9" s="220" customFormat="1" ht="13.8">
      <c r="A47" s="252" t="s">
        <v>1386</v>
      </c>
      <c r="B47" s="288">
        <v>2068</v>
      </c>
      <c r="C47" s="288" t="s">
        <v>749</v>
      </c>
      <c r="D47" s="248" t="str">
        <f t="shared" si="0"/>
        <v>Primary</v>
      </c>
      <c r="E47" s="380"/>
      <c r="F47" s="393"/>
      <c r="G47" s="394"/>
      <c r="H47" s="395">
        <f>VLOOKUP(B47,'Data - CFR 202526'!$B$4:$CO$505,85,0)</f>
        <v>5261.1000000000022</v>
      </c>
      <c r="I47" s="263"/>
    </row>
    <row r="48" spans="1:9" s="220" customFormat="1" ht="13.8">
      <c r="A48" s="252" t="s">
        <v>1386</v>
      </c>
      <c r="B48" s="288">
        <v>2328</v>
      </c>
      <c r="C48" s="288" t="s">
        <v>750</v>
      </c>
      <c r="D48" s="248" t="str">
        <f t="shared" si="0"/>
        <v>Primary</v>
      </c>
      <c r="E48" s="380"/>
      <c r="F48" s="393"/>
      <c r="G48" s="394"/>
      <c r="H48" s="395">
        <f>VLOOKUP(B48,'Data - CFR 202526'!$B$4:$CO$505,85,0)</f>
        <v>14822.21</v>
      </c>
      <c r="I48" s="263"/>
    </row>
    <row r="49" spans="1:9" s="220" customFormat="1" ht="13.8">
      <c r="A49" s="252" t="s">
        <v>1386</v>
      </c>
      <c r="B49" s="288">
        <v>7025</v>
      </c>
      <c r="C49" s="288" t="s">
        <v>751</v>
      </c>
      <c r="D49" s="248" t="str">
        <f t="shared" si="0"/>
        <v>Special</v>
      </c>
      <c r="E49" s="380"/>
      <c r="F49" s="393"/>
      <c r="G49" s="394"/>
      <c r="H49" s="395">
        <f>VLOOKUP(B49,'Data - CFR 202526'!$B$4:$CO$505,85,0)</f>
        <v>-1.8189894035458565E-12</v>
      </c>
      <c r="I49" s="263"/>
    </row>
    <row r="50" spans="1:9" s="220" customFormat="1" ht="13.8">
      <c r="A50" s="252" t="s">
        <v>1386</v>
      </c>
      <c r="B50" s="288">
        <v>2016</v>
      </c>
      <c r="C50" s="288" t="s">
        <v>752</v>
      </c>
      <c r="D50" s="248" t="str">
        <f t="shared" si="0"/>
        <v>Primary</v>
      </c>
      <c r="E50" s="380"/>
      <c r="F50" s="393"/>
      <c r="G50" s="394"/>
      <c r="H50" s="395">
        <f>VLOOKUP(B50,'Data - CFR 202526'!$B$4:$CO$505,85,0)</f>
        <v>1056.1100000000006</v>
      </c>
      <c r="I50" s="263"/>
    </row>
    <row r="51" spans="1:9" s="220" customFormat="1" ht="13.8">
      <c r="A51" s="252" t="s">
        <v>1386</v>
      </c>
      <c r="B51" s="288">
        <v>3310</v>
      </c>
      <c r="C51" s="288" t="s">
        <v>753</v>
      </c>
      <c r="D51" s="248" t="str">
        <f t="shared" si="0"/>
        <v>Primary</v>
      </c>
      <c r="E51" s="380"/>
      <c r="F51" s="393"/>
      <c r="G51" s="394"/>
      <c r="H51" s="395">
        <f>VLOOKUP(B51,'Data - CFR 202526'!$B$4:$CO$505,85,0)</f>
        <v>0</v>
      </c>
      <c r="I51" s="263"/>
    </row>
    <row r="52" spans="1:9" s="220" customFormat="1" ht="13.8">
      <c r="A52" s="252" t="s">
        <v>1386</v>
      </c>
      <c r="B52" s="288">
        <v>3068</v>
      </c>
      <c r="C52" s="288" t="s">
        <v>754</v>
      </c>
      <c r="D52" s="248" t="str">
        <f t="shared" si="0"/>
        <v>Primary</v>
      </c>
      <c r="E52" s="380"/>
      <c r="F52" s="393"/>
      <c r="G52" s="394"/>
      <c r="H52" s="395">
        <f>VLOOKUP(B52,'Data - CFR 202526'!$B$4:$CO$505,85,0)</f>
        <v>5387.0300000000007</v>
      </c>
      <c r="I52" s="263"/>
    </row>
    <row r="53" spans="1:9" s="220" customFormat="1" ht="13.8">
      <c r="A53" s="252" t="s">
        <v>1386</v>
      </c>
      <c r="B53" s="288">
        <v>2315</v>
      </c>
      <c r="C53" s="288" t="s">
        <v>755</v>
      </c>
      <c r="D53" s="248" t="str">
        <f t="shared" si="0"/>
        <v>Primary</v>
      </c>
      <c r="E53" s="380"/>
      <c r="F53" s="393"/>
      <c r="G53" s="394"/>
      <c r="H53" s="395">
        <f>VLOOKUP(B53,'Data - CFR 202526'!$B$4:$CO$505,85,0)</f>
        <v>16210.770000000006</v>
      </c>
      <c r="I53" s="263"/>
    </row>
    <row r="54" spans="1:9" s="220" customFormat="1" ht="13.8">
      <c r="A54" s="252" t="s">
        <v>1386</v>
      </c>
      <c r="B54" s="288">
        <v>2018</v>
      </c>
      <c r="C54" s="288" t="s">
        <v>756</v>
      </c>
      <c r="D54" s="248" t="str">
        <f t="shared" si="0"/>
        <v>Primary</v>
      </c>
      <c r="E54" s="380"/>
      <c r="F54" s="393"/>
      <c r="G54" s="394"/>
      <c r="H54" s="395" t="e">
        <f>VLOOKUP(B54,'Data - CFR 202526'!$B$4:$CO$505,85,0)</f>
        <v>#N/A</v>
      </c>
      <c r="I54" s="263"/>
    </row>
    <row r="55" spans="1:9" s="220" customFormat="1" ht="13.8">
      <c r="A55" s="252" t="s">
        <v>1386</v>
      </c>
      <c r="B55" s="288">
        <v>3035</v>
      </c>
      <c r="C55" s="288" t="s">
        <v>757</v>
      </c>
      <c r="D55" s="248" t="str">
        <f t="shared" si="0"/>
        <v>Primary</v>
      </c>
      <c r="E55" s="380"/>
      <c r="F55" s="393"/>
      <c r="G55" s="394"/>
      <c r="H55" s="395">
        <f>VLOOKUP(B55,'Data - CFR 202526'!$B$4:$CO$505,85,0)</f>
        <v>3832.09</v>
      </c>
      <c r="I55" s="263"/>
    </row>
    <row r="56" spans="1:9" s="220" customFormat="1" ht="13.8">
      <c r="A56" s="252" t="s">
        <v>1386</v>
      </c>
      <c r="B56" s="288">
        <v>2205</v>
      </c>
      <c r="C56" s="288" t="s">
        <v>758</v>
      </c>
      <c r="D56" s="248" t="str">
        <f t="shared" si="0"/>
        <v>Primary</v>
      </c>
      <c r="E56" s="380"/>
      <c r="F56" s="393"/>
      <c r="G56" s="394"/>
      <c r="H56" s="395">
        <f>VLOOKUP(B56,'Data - CFR 202526'!$B$4:$CO$505,85,0)</f>
        <v>13937.460000000003</v>
      </c>
      <c r="I56" s="263"/>
    </row>
    <row r="57" spans="1:9" s="220" customFormat="1" ht="13.8">
      <c r="A57" s="252" t="s">
        <v>1386</v>
      </c>
      <c r="B57" s="288">
        <v>2211</v>
      </c>
      <c r="C57" s="288" t="s">
        <v>759</v>
      </c>
      <c r="D57" s="248" t="str">
        <f t="shared" si="0"/>
        <v>Primary</v>
      </c>
      <c r="E57" s="380"/>
      <c r="F57" s="393"/>
      <c r="G57" s="394"/>
      <c r="H57" s="395">
        <f>VLOOKUP(B57,'Data - CFR 202526'!$B$4:$CO$505,85,0)</f>
        <v>1.8189894035458565E-12</v>
      </c>
      <c r="I57" s="263"/>
    </row>
    <row r="58" spans="1:9" s="220" customFormat="1" ht="13.8">
      <c r="A58" s="252" t="s">
        <v>1386</v>
      </c>
      <c r="B58" s="288">
        <v>1003</v>
      </c>
      <c r="C58" s="288" t="s">
        <v>760</v>
      </c>
      <c r="D58" s="248" t="str">
        <f t="shared" si="0"/>
        <v>Nursery</v>
      </c>
      <c r="E58" s="380"/>
      <c r="F58" s="393"/>
      <c r="G58" s="394"/>
      <c r="H58" s="395">
        <f>VLOOKUP(B58,'Data - CFR 202526'!$B$4:$CO$505,85,0)</f>
        <v>18916.059999999998</v>
      </c>
      <c r="I58" s="263"/>
    </row>
    <row r="59" spans="1:9" s="220" customFormat="1" ht="13.8">
      <c r="A59" s="252" t="s">
        <v>1386</v>
      </c>
      <c r="B59" s="288">
        <v>3071</v>
      </c>
      <c r="C59" s="288" t="s">
        <v>761</v>
      </c>
      <c r="D59" s="248" t="str">
        <f t="shared" si="0"/>
        <v>Primary</v>
      </c>
      <c r="E59" s="380"/>
      <c r="F59" s="393"/>
      <c r="G59" s="394"/>
      <c r="H59" s="395">
        <f>VLOOKUP(B59,'Data - CFR 202526'!$B$4:$CO$505,85,0)</f>
        <v>-6.9633188104489818E-13</v>
      </c>
      <c r="I59" s="263"/>
    </row>
    <row r="60" spans="1:9" s="220" customFormat="1" ht="13.8">
      <c r="A60" s="252" t="s">
        <v>1386</v>
      </c>
      <c r="B60" s="288">
        <v>1002</v>
      </c>
      <c r="C60" s="288" t="s">
        <v>762</v>
      </c>
      <c r="D60" s="248" t="str">
        <f t="shared" si="0"/>
        <v>Nursery</v>
      </c>
      <c r="E60" s="380"/>
      <c r="F60" s="393"/>
      <c r="G60" s="394"/>
      <c r="H60" s="395">
        <f>VLOOKUP(B60,'Data - CFR 202526'!$B$4:$CO$505,85,0)</f>
        <v>11980.36</v>
      </c>
      <c r="I60" s="263"/>
    </row>
    <row r="61" spans="1:9" s="220" customFormat="1" ht="13.8">
      <c r="A61" s="252" t="s">
        <v>1386</v>
      </c>
      <c r="B61" s="288">
        <v>2212</v>
      </c>
      <c r="C61" s="288" t="s">
        <v>763</v>
      </c>
      <c r="D61" s="248" t="str">
        <f t="shared" si="0"/>
        <v>Primary</v>
      </c>
      <c r="E61" s="380"/>
      <c r="F61" s="393"/>
      <c r="G61" s="394"/>
      <c r="H61" s="395">
        <f>VLOOKUP(B61,'Data - CFR 202526'!$B$4:$CO$505,85,0)</f>
        <v>0</v>
      </c>
      <c r="I61" s="263"/>
    </row>
    <row r="62" spans="1:9" s="220" customFormat="1" ht="13.8">
      <c r="A62" s="252" t="s">
        <v>1386</v>
      </c>
      <c r="B62" s="288">
        <v>1007</v>
      </c>
      <c r="C62" s="288" t="s">
        <v>764</v>
      </c>
      <c r="D62" s="248" t="str">
        <f t="shared" si="0"/>
        <v>Nursery</v>
      </c>
      <c r="E62" s="380"/>
      <c r="F62" s="393"/>
      <c r="G62" s="394"/>
      <c r="H62" s="395">
        <f>VLOOKUP(B62,'Data - CFR 202526'!$B$4:$CO$505,85,0)</f>
        <v>0</v>
      </c>
      <c r="I62" s="263"/>
    </row>
    <row r="63" spans="1:9" ht="13.8">
      <c r="A63" s="252" t="s">
        <v>1386</v>
      </c>
      <c r="B63" s="288">
        <v>3945</v>
      </c>
      <c r="C63" s="288" t="s">
        <v>765</v>
      </c>
      <c r="D63" s="248" t="str">
        <f t="shared" si="0"/>
        <v>Primary</v>
      </c>
      <c r="E63" s="384"/>
      <c r="F63" s="297"/>
      <c r="G63" s="247"/>
      <c r="H63" s="395">
        <f>VLOOKUP(B63,'Data - CFR 202526'!$B$4:$CO$505,85,0)</f>
        <v>1065.5200000000004</v>
      </c>
    </row>
    <row r="64" spans="1:9" ht="13.8">
      <c r="A64" s="252" t="s">
        <v>1386</v>
      </c>
      <c r="B64" s="288">
        <v>3022</v>
      </c>
      <c r="C64" s="288" t="s">
        <v>766</v>
      </c>
      <c r="D64" s="248" t="str">
        <f t="shared" si="0"/>
        <v>Primary</v>
      </c>
      <c r="E64" s="384"/>
      <c r="F64" s="396"/>
      <c r="G64" s="247"/>
      <c r="H64" s="395">
        <f>VLOOKUP(B64,'Data - CFR 202526'!$B$4:$CO$505,85,0)</f>
        <v>8604.0600000000013</v>
      </c>
    </row>
    <row r="65" spans="1:8" ht="13.8">
      <c r="A65" s="252" t="s">
        <v>1386</v>
      </c>
      <c r="B65" s="288">
        <v>2442</v>
      </c>
      <c r="C65" s="288" t="s">
        <v>767</v>
      </c>
      <c r="D65" s="248" t="str">
        <f t="shared" si="0"/>
        <v>Primary</v>
      </c>
      <c r="E65" s="384"/>
      <c r="F65" s="396"/>
      <c r="G65" s="247"/>
      <c r="H65" s="395">
        <f>VLOOKUP(B65,'Data - CFR 202526'!$B$4:$CO$505,85,0)</f>
        <v>0</v>
      </c>
    </row>
    <row r="66" spans="1:8" ht="13.8">
      <c r="A66" s="252" t="s">
        <v>1386</v>
      </c>
      <c r="B66" s="288">
        <v>2331</v>
      </c>
      <c r="C66" s="288" t="s">
        <v>768</v>
      </c>
      <c r="D66" s="248" t="str">
        <f t="shared" si="0"/>
        <v>Primary</v>
      </c>
      <c r="E66" s="384"/>
      <c r="F66" s="396"/>
      <c r="G66" s="247"/>
      <c r="H66" s="395">
        <f>VLOOKUP(B66,'Data - CFR 202526'!$B$4:$CO$505,85,0)</f>
        <v>5794.65</v>
      </c>
    </row>
    <row r="67" spans="1:8" ht="13.8">
      <c r="A67" s="252" t="s">
        <v>1386</v>
      </c>
      <c r="B67" s="288">
        <v>1000</v>
      </c>
      <c r="C67" s="288" t="s">
        <v>1373</v>
      </c>
      <c r="D67" s="248" t="str">
        <f t="shared" si="0"/>
        <v>Nursery</v>
      </c>
      <c r="E67" s="384"/>
      <c r="F67" s="396"/>
      <c r="G67" s="247"/>
      <c r="H67" s="395">
        <f>VLOOKUP(B67,'Data - CFR 202526'!$B$4:$CO$505,85,0)</f>
        <v>5835.67</v>
      </c>
    </row>
    <row r="68" spans="1:8" ht="13.8">
      <c r="A68" s="252" t="s">
        <v>1386</v>
      </c>
      <c r="B68" s="288">
        <v>2446</v>
      </c>
      <c r="C68" s="288" t="s">
        <v>1374</v>
      </c>
      <c r="D68" s="248" t="str">
        <f t="shared" ref="D68:D124" si="1">IF(LEFT(B68,1)="1","Nursery",IF(LEFT(B68,1)="2","Primary",IF(LEFT(B68,1)="3","Primary",IF(LEFT(B68,1)="7","Special","NA"))))</f>
        <v>Primary</v>
      </c>
      <c r="E68" s="384"/>
      <c r="F68" s="396"/>
      <c r="G68" s="247"/>
      <c r="H68" s="395">
        <f>VLOOKUP(B68,'Data - CFR 202526'!$B$4:$CO$505,85,0)</f>
        <v>5835.67</v>
      </c>
    </row>
    <row r="69" spans="1:8" ht="13.8">
      <c r="A69" s="252" t="s">
        <v>1386</v>
      </c>
      <c r="B69" s="288">
        <v>3317</v>
      </c>
      <c r="C69" s="288" t="s">
        <v>769</v>
      </c>
      <c r="D69" s="248" t="str">
        <f t="shared" si="1"/>
        <v>Primary</v>
      </c>
      <c r="E69" s="384"/>
      <c r="F69" s="396"/>
      <c r="G69" s="247"/>
      <c r="H69" s="395">
        <f>VLOOKUP(B69,'Data - CFR 202526'!$B$4:$CO$505,85,0)</f>
        <v>0</v>
      </c>
    </row>
    <row r="70" spans="1:8" ht="13.8">
      <c r="A70" s="252" t="s">
        <v>1386</v>
      </c>
      <c r="B70" s="290">
        <v>2066</v>
      </c>
      <c r="C70" s="290" t="s">
        <v>770</v>
      </c>
      <c r="D70" s="248" t="str">
        <f t="shared" si="1"/>
        <v>Primary</v>
      </c>
      <c r="E70" s="384"/>
      <c r="F70" s="396"/>
      <c r="G70" s="247"/>
      <c r="H70" s="395">
        <f>VLOOKUP(B70,'Data - CFR 202526'!$B$4:$CO$505,85,0)</f>
        <v>34994.62999999999</v>
      </c>
    </row>
    <row r="71" spans="1:8" ht="13.8">
      <c r="A71" s="252" t="s">
        <v>1386</v>
      </c>
      <c r="B71" s="288">
        <v>2293</v>
      </c>
      <c r="C71" s="288" t="s">
        <v>771</v>
      </c>
      <c r="D71" s="248" t="str">
        <f t="shared" si="1"/>
        <v>Primary</v>
      </c>
      <c r="E71" s="384"/>
      <c r="F71" s="396"/>
      <c r="G71" s="247"/>
      <c r="H71" s="395">
        <f>VLOOKUP(B71,'Data - CFR 202526'!$B$4:$CO$505,85,0)</f>
        <v>20563.53</v>
      </c>
    </row>
    <row r="72" spans="1:8" ht="13.8">
      <c r="A72" s="252" t="s">
        <v>1386</v>
      </c>
      <c r="B72" s="288">
        <v>2074</v>
      </c>
      <c r="C72" s="288" t="s">
        <v>772</v>
      </c>
      <c r="D72" s="248" t="str">
        <f t="shared" si="1"/>
        <v>Primary</v>
      </c>
      <c r="E72" s="384"/>
      <c r="F72" s="396"/>
      <c r="G72" s="247"/>
      <c r="H72" s="395">
        <f>VLOOKUP(B72,'Data - CFR 202526'!$B$4:$CO$505,85,0)</f>
        <v>13603.519999999999</v>
      </c>
    </row>
    <row r="73" spans="1:8" ht="13.8">
      <c r="A73" s="252" t="s">
        <v>1386</v>
      </c>
      <c r="B73" s="288">
        <v>2075</v>
      </c>
      <c r="C73" s="288" t="s">
        <v>773</v>
      </c>
      <c r="D73" s="248" t="str">
        <f t="shared" si="1"/>
        <v>Primary</v>
      </c>
      <c r="E73" s="384"/>
      <c r="F73" s="396"/>
      <c r="G73" s="247"/>
      <c r="H73" s="395">
        <f>VLOOKUP(B73,'Data - CFR 202526'!$B$4:$CO$505,85,0)</f>
        <v>11507.02</v>
      </c>
    </row>
    <row r="74" spans="1:8" ht="13.8">
      <c r="A74" s="252" t="s">
        <v>1386</v>
      </c>
      <c r="B74" s="288">
        <v>2121</v>
      </c>
      <c r="C74" s="288" t="s">
        <v>774</v>
      </c>
      <c r="D74" s="248" t="str">
        <f t="shared" si="1"/>
        <v>Primary</v>
      </c>
      <c r="E74" s="384"/>
      <c r="F74" s="396"/>
      <c r="G74" s="247"/>
      <c r="H74" s="395">
        <f>VLOOKUP(B74,'Data - CFR 202526'!$B$4:$CO$505,85,0)</f>
        <v>6799.52</v>
      </c>
    </row>
    <row r="75" spans="1:8" ht="13.8">
      <c r="A75" s="252" t="s">
        <v>1386</v>
      </c>
      <c r="B75" s="288">
        <v>2028</v>
      </c>
      <c r="C75" s="288" t="s">
        <v>775</v>
      </c>
      <c r="D75" s="248" t="str">
        <f t="shared" si="1"/>
        <v>Primary</v>
      </c>
      <c r="E75" s="384"/>
      <c r="F75" s="396"/>
      <c r="G75" s="247"/>
      <c r="H75" s="395">
        <f>VLOOKUP(B75,'Data - CFR 202526'!$B$4:$CO$505,85,0)</f>
        <v>0</v>
      </c>
    </row>
    <row r="76" spans="1:8" ht="13.8">
      <c r="A76" s="252" t="s">
        <v>1386</v>
      </c>
      <c r="B76" s="288">
        <v>2029</v>
      </c>
      <c r="C76" s="288" t="s">
        <v>776</v>
      </c>
      <c r="D76" s="248" t="str">
        <f t="shared" si="1"/>
        <v>Primary</v>
      </c>
      <c r="E76" s="384"/>
      <c r="F76" s="396"/>
      <c r="G76" s="247"/>
      <c r="H76" s="395">
        <f>VLOOKUP(B76,'Data - CFR 202526'!$B$4:$CO$505,85,0)</f>
        <v>1260.3000000000002</v>
      </c>
    </row>
    <row r="77" spans="1:8" ht="13.8">
      <c r="A77" s="252" t="s">
        <v>1386</v>
      </c>
      <c r="B77" s="288">
        <v>2059</v>
      </c>
      <c r="C77" s="288" t="s">
        <v>777</v>
      </c>
      <c r="D77" s="248" t="str">
        <f t="shared" si="1"/>
        <v>Primary</v>
      </c>
      <c r="E77" s="384"/>
      <c r="F77" s="396"/>
      <c r="G77" s="247"/>
      <c r="H77" s="395">
        <f>VLOOKUP(B77,'Data - CFR 202526'!$B$4:$CO$505,85,0)</f>
        <v>4015.49</v>
      </c>
    </row>
    <row r="78" spans="1:8" ht="13.8">
      <c r="A78" s="252" t="s">
        <v>1386</v>
      </c>
      <c r="B78" s="288">
        <v>3386</v>
      </c>
      <c r="C78" s="288" t="s">
        <v>778</v>
      </c>
      <c r="D78" s="248" t="str">
        <f t="shared" si="1"/>
        <v>Primary</v>
      </c>
      <c r="E78" s="384"/>
      <c r="F78" s="396"/>
      <c r="G78" s="247"/>
      <c r="H78" s="395">
        <f>VLOOKUP(B78,'Data - CFR 202526'!$B$4:$CO$505,85,0)</f>
        <v>0</v>
      </c>
    </row>
    <row r="79" spans="1:8" ht="13.8">
      <c r="A79" s="252" t="s">
        <v>1386</v>
      </c>
      <c r="B79" s="288">
        <v>2449</v>
      </c>
      <c r="C79" s="288" t="s">
        <v>779</v>
      </c>
      <c r="D79" s="248" t="str">
        <f t="shared" si="1"/>
        <v>Primary</v>
      </c>
      <c r="E79" s="384"/>
      <c r="F79" s="396"/>
      <c r="G79" s="247"/>
      <c r="H79" s="395">
        <f>VLOOKUP(B79,'Data - CFR 202526'!$B$4:$CO$505,85,0)</f>
        <v>9900.4499999999989</v>
      </c>
    </row>
    <row r="80" spans="1:8" ht="13.8">
      <c r="A80" s="252" t="s">
        <v>1386</v>
      </c>
      <c r="B80" s="288">
        <v>2107</v>
      </c>
      <c r="C80" s="288" t="s">
        <v>780</v>
      </c>
      <c r="D80" s="248" t="str">
        <f t="shared" si="1"/>
        <v>Primary</v>
      </c>
      <c r="E80" s="384"/>
      <c r="F80" s="396"/>
      <c r="G80" s="247"/>
      <c r="H80" s="395">
        <f>VLOOKUP(B80,'Data - CFR 202526'!$B$4:$CO$505,85,0)</f>
        <v>21151.609999999997</v>
      </c>
    </row>
    <row r="81" spans="1:8" ht="13.8">
      <c r="A81" s="252" t="s">
        <v>1386</v>
      </c>
      <c r="B81" s="288">
        <v>2109</v>
      </c>
      <c r="C81" s="288" t="s">
        <v>781</v>
      </c>
      <c r="D81" s="248" t="str">
        <f t="shared" si="1"/>
        <v>Primary</v>
      </c>
      <c r="E81" s="384"/>
      <c r="F81" s="396"/>
      <c r="G81" s="247"/>
      <c r="H81" s="395">
        <f>VLOOKUP(B81,'Data - CFR 202526'!$B$4:$CO$505,85,0)</f>
        <v>2174.8200000000006</v>
      </c>
    </row>
    <row r="82" spans="1:8" ht="13.8">
      <c r="A82" s="252" t="s">
        <v>1386</v>
      </c>
      <c r="B82" s="288">
        <v>3390</v>
      </c>
      <c r="C82" s="288" t="s">
        <v>782</v>
      </c>
      <c r="D82" s="248" t="str">
        <f t="shared" si="1"/>
        <v>Primary</v>
      </c>
      <c r="E82" s="384"/>
      <c r="F82" s="396"/>
      <c r="G82" s="247"/>
      <c r="H82" s="395">
        <f>VLOOKUP(B82,'Data - CFR 202526'!$B$4:$CO$505,85,0)</f>
        <v>16347.470000000001</v>
      </c>
    </row>
    <row r="83" spans="1:8" ht="13.8">
      <c r="A83" s="252" t="s">
        <v>1386</v>
      </c>
      <c r="B83" s="290">
        <v>2031</v>
      </c>
      <c r="C83" s="290" t="s">
        <v>783</v>
      </c>
      <c r="D83" s="248" t="str">
        <f t="shared" si="1"/>
        <v>Primary</v>
      </c>
      <c r="E83" s="384"/>
      <c r="F83" s="396"/>
      <c r="G83" s="247"/>
      <c r="H83" s="395">
        <f>VLOOKUP(B83,'Data - CFR 202526'!$B$4:$CO$505,85,0)</f>
        <v>14205.43</v>
      </c>
    </row>
    <row r="84" spans="1:8" ht="13.8">
      <c r="A84" s="252" t="s">
        <v>1386</v>
      </c>
      <c r="B84" s="288">
        <v>3350</v>
      </c>
      <c r="C84" s="288" t="s">
        <v>784</v>
      </c>
      <c r="D84" s="248" t="str">
        <f t="shared" si="1"/>
        <v>Primary</v>
      </c>
      <c r="E84" s="384"/>
      <c r="F84" s="396"/>
      <c r="G84" s="247"/>
      <c r="H84" s="395">
        <f>VLOOKUP(B84,'Data - CFR 202526'!$B$4:$CO$505,85,0)</f>
        <v>0</v>
      </c>
    </row>
    <row r="85" spans="1:8" ht="13.8">
      <c r="A85" s="252" t="s">
        <v>1386</v>
      </c>
      <c r="B85" s="288">
        <v>2033</v>
      </c>
      <c r="C85" s="288" t="s">
        <v>785</v>
      </c>
      <c r="D85" s="248" t="str">
        <f t="shared" si="1"/>
        <v>Primary</v>
      </c>
      <c r="E85" s="384"/>
      <c r="F85" s="396"/>
      <c r="G85" s="247"/>
      <c r="H85" s="395">
        <f>VLOOKUP(B85,'Data - CFR 202526'!$B$4:$CO$505,85,0)</f>
        <v>11108.560000000005</v>
      </c>
    </row>
    <row r="86" spans="1:8" ht="13.8">
      <c r="A86" s="252" t="s">
        <v>1386</v>
      </c>
      <c r="B86" s="288">
        <v>3331</v>
      </c>
      <c r="C86" s="288" t="s">
        <v>786</v>
      </c>
      <c r="D86" s="248" t="str">
        <f t="shared" si="1"/>
        <v>Primary</v>
      </c>
      <c r="E86" s="384"/>
      <c r="F86" s="396"/>
      <c r="G86" s="247"/>
      <c r="H86" s="395">
        <f>VLOOKUP(B86,'Data - CFR 202526'!$B$4:$CO$505,85,0)</f>
        <v>0</v>
      </c>
    </row>
    <row r="87" spans="1:8" ht="13.8">
      <c r="A87" s="252" t="s">
        <v>1386</v>
      </c>
      <c r="B87" s="288">
        <v>2239</v>
      </c>
      <c r="C87" s="288" t="s">
        <v>787</v>
      </c>
      <c r="D87" s="248" t="str">
        <f t="shared" si="1"/>
        <v>Primary</v>
      </c>
      <c r="E87" s="384"/>
      <c r="F87" s="396"/>
      <c r="G87" s="247"/>
      <c r="H87" s="395">
        <f>VLOOKUP(B87,'Data - CFR 202526'!$B$4:$CO$505,85,0)</f>
        <v>18508.509999999998</v>
      </c>
    </row>
    <row r="88" spans="1:8" ht="13.8">
      <c r="A88" s="252" t="s">
        <v>1386</v>
      </c>
      <c r="B88" s="288">
        <v>2219</v>
      </c>
      <c r="C88" s="288" t="s">
        <v>788</v>
      </c>
      <c r="D88" s="248" t="str">
        <f t="shared" si="1"/>
        <v>Primary</v>
      </c>
      <c r="E88" s="384"/>
      <c r="F88" s="396"/>
      <c r="G88" s="247"/>
      <c r="H88" s="395">
        <f>VLOOKUP(B88,'Data - CFR 202526'!$B$4:$CO$505,85,0)</f>
        <v>25.300000000000182</v>
      </c>
    </row>
    <row r="89" spans="1:8" ht="13.8">
      <c r="A89" s="252" t="s">
        <v>1386</v>
      </c>
      <c r="B89" s="288">
        <v>2333</v>
      </c>
      <c r="C89" s="288" t="s">
        <v>789</v>
      </c>
      <c r="D89" s="248" t="str">
        <f t="shared" si="1"/>
        <v>Primary</v>
      </c>
      <c r="E89" s="384"/>
      <c r="F89" s="396"/>
      <c r="G89" s="247"/>
      <c r="H89" s="395">
        <f>VLOOKUP(B89,'Data - CFR 202526'!$B$4:$CO$505,85,0)</f>
        <v>28819.439999999988</v>
      </c>
    </row>
    <row r="90" spans="1:8" ht="13.8">
      <c r="A90" s="252" t="s">
        <v>1386</v>
      </c>
      <c r="B90" s="288">
        <v>3946</v>
      </c>
      <c r="C90" s="288" t="s">
        <v>790</v>
      </c>
      <c r="D90" s="248" t="str">
        <f t="shared" si="1"/>
        <v>Primary</v>
      </c>
      <c r="E90" s="384"/>
      <c r="F90" s="396"/>
      <c r="G90" s="247"/>
      <c r="H90" s="395">
        <f>VLOOKUP(B90,'Data - CFR 202526'!$B$4:$CO$505,85,0)</f>
        <v>42802.39</v>
      </c>
    </row>
    <row r="91" spans="1:8" ht="13.8">
      <c r="A91" s="252" t="s">
        <v>1386</v>
      </c>
      <c r="B91" s="288">
        <v>2453</v>
      </c>
      <c r="C91" s="288" t="s">
        <v>791</v>
      </c>
      <c r="D91" s="248" t="str">
        <f t="shared" si="1"/>
        <v>Primary</v>
      </c>
      <c r="E91" s="384"/>
      <c r="F91" s="396"/>
      <c r="G91" s="247"/>
      <c r="H91" s="395">
        <f>VLOOKUP(B91,'Data - CFR 202526'!$B$4:$CO$505,85,0)</f>
        <v>16039.07</v>
      </c>
    </row>
    <row r="92" spans="1:8" ht="13.8">
      <c r="A92" s="252" t="s">
        <v>1386</v>
      </c>
      <c r="B92" s="288">
        <v>2070</v>
      </c>
      <c r="C92" s="288" t="s">
        <v>792</v>
      </c>
      <c r="D92" s="248" t="str">
        <f t="shared" si="1"/>
        <v>Primary</v>
      </c>
      <c r="E92" s="384"/>
      <c r="F92" s="396"/>
      <c r="G92" s="247"/>
      <c r="H92" s="395">
        <f>VLOOKUP(B92,'Data - CFR 202526'!$B$4:$CO$505,85,0)</f>
        <v>4613.9699999999975</v>
      </c>
    </row>
    <row r="93" spans="1:8" ht="13.8">
      <c r="A93" s="252" t="s">
        <v>1386</v>
      </c>
      <c r="B93" s="288">
        <v>7023</v>
      </c>
      <c r="C93" s="288" t="s">
        <v>793</v>
      </c>
      <c r="D93" s="248" t="str">
        <f t="shared" si="1"/>
        <v>Special</v>
      </c>
      <c r="E93" s="384"/>
      <c r="F93" s="396"/>
      <c r="G93" s="247"/>
      <c r="H93" s="395">
        <f>VLOOKUP(B93,'Data - CFR 202526'!$B$4:$CO$505,85,0)</f>
        <v>0</v>
      </c>
    </row>
    <row r="94" spans="1:8" ht="13.8">
      <c r="A94" s="252" t="s">
        <v>1386</v>
      </c>
      <c r="B94" s="288">
        <v>2255</v>
      </c>
      <c r="C94" s="288" t="s">
        <v>794</v>
      </c>
      <c r="D94" s="248" t="str">
        <f t="shared" si="1"/>
        <v>Primary</v>
      </c>
      <c r="E94" s="384"/>
      <c r="F94" s="396"/>
      <c r="G94" s="247"/>
      <c r="H94" s="395">
        <f>VLOOKUP(B94,'Data - CFR 202526'!$B$4:$CO$505,85,0)</f>
        <v>6150.63</v>
      </c>
    </row>
    <row r="95" spans="1:8" ht="13.8">
      <c r="A95" s="252" t="s">
        <v>1386</v>
      </c>
      <c r="B95" s="288">
        <v>2115</v>
      </c>
      <c r="C95" s="288" t="s">
        <v>795</v>
      </c>
      <c r="D95" s="248" t="str">
        <f t="shared" si="1"/>
        <v>Primary</v>
      </c>
      <c r="E95" s="384"/>
      <c r="F95" s="396"/>
      <c r="G95" s="247"/>
      <c r="H95" s="395">
        <f>VLOOKUP(B95,'Data - CFR 202526'!$B$4:$CO$505,85,0)</f>
        <v>5114.670000000001</v>
      </c>
    </row>
    <row r="96" spans="1:8" ht="13.8">
      <c r="A96" s="252" t="s">
        <v>1386</v>
      </c>
      <c r="B96" s="288">
        <v>2329</v>
      </c>
      <c r="C96" s="288" t="s">
        <v>796</v>
      </c>
      <c r="D96" s="248" t="str">
        <f t="shared" si="1"/>
        <v>Primary</v>
      </c>
      <c r="E96" s="384"/>
      <c r="F96" s="396"/>
      <c r="G96" s="247"/>
      <c r="H96" s="395">
        <f>VLOOKUP(B96,'Data - CFR 202526'!$B$4:$CO$505,85,0)</f>
        <v>0</v>
      </c>
    </row>
    <row r="97" spans="1:8" ht="13.8">
      <c r="A97" s="252" t="s">
        <v>1386</v>
      </c>
      <c r="B97" s="288">
        <v>3384</v>
      </c>
      <c r="C97" s="288" t="s">
        <v>797</v>
      </c>
      <c r="D97" s="248" t="str">
        <f t="shared" si="1"/>
        <v>Primary</v>
      </c>
      <c r="E97" s="384"/>
      <c r="F97" s="396"/>
      <c r="G97" s="247"/>
      <c r="H97" s="395">
        <f>VLOOKUP(B97,'Data - CFR 202526'!$B$4:$CO$505,85,0)</f>
        <v>0</v>
      </c>
    </row>
    <row r="98" spans="1:8" ht="13.8">
      <c r="A98" s="252" t="s">
        <v>1386</v>
      </c>
      <c r="B98" s="288">
        <v>5200</v>
      </c>
      <c r="C98" s="288" t="s">
        <v>798</v>
      </c>
      <c r="D98" s="248" t="str">
        <f t="shared" si="1"/>
        <v>NA</v>
      </c>
      <c r="E98" s="384"/>
      <c r="F98" s="396"/>
      <c r="G98" s="247"/>
      <c r="H98" s="395">
        <f>VLOOKUP(B98,'Data - CFR 202526'!$B$4:$CO$505,85,0)</f>
        <v>8302.8399999999965</v>
      </c>
    </row>
    <row r="99" spans="1:8" ht="13.8">
      <c r="A99" s="252" t="s">
        <v>1386</v>
      </c>
      <c r="B99" s="288">
        <v>2317</v>
      </c>
      <c r="C99" s="288" t="s">
        <v>800</v>
      </c>
      <c r="D99" s="248" t="str">
        <f t="shared" si="1"/>
        <v>Primary</v>
      </c>
      <c r="E99" s="384"/>
      <c r="F99" s="396"/>
      <c r="G99" s="247"/>
      <c r="H99" s="395">
        <f>VLOOKUP(B99,'Data - CFR 202526'!$B$4:$CO$505,85,0)</f>
        <v>0</v>
      </c>
    </row>
    <row r="100" spans="1:8" ht="13.8">
      <c r="A100" s="252" t="s">
        <v>1386</v>
      </c>
      <c r="B100" s="288">
        <v>3356</v>
      </c>
      <c r="C100" s="288" t="s">
        <v>801</v>
      </c>
      <c r="D100" s="248" t="str">
        <f t="shared" si="1"/>
        <v>Primary</v>
      </c>
      <c r="E100" s="384"/>
      <c r="F100" s="396"/>
      <c r="G100" s="247"/>
      <c r="H100" s="395">
        <f>VLOOKUP(B100,'Data - CFR 202526'!$B$4:$CO$505,85,0)</f>
        <v>0</v>
      </c>
    </row>
    <row r="101" spans="1:8" ht="13.8">
      <c r="A101" s="252" t="s">
        <v>1386</v>
      </c>
      <c r="B101" s="288">
        <v>3358</v>
      </c>
      <c r="C101" s="288" t="s">
        <v>802</v>
      </c>
      <c r="D101" s="248" t="str">
        <f t="shared" si="1"/>
        <v>Primary</v>
      </c>
      <c r="E101" s="384"/>
      <c r="F101" s="396"/>
      <c r="G101" s="247"/>
      <c r="H101" s="395">
        <f>VLOOKUP(B101,'Data - CFR 202526'!$B$4:$CO$505,85,0)</f>
        <v>0</v>
      </c>
    </row>
    <row r="102" spans="1:8" ht="13.8">
      <c r="A102" s="252" t="s">
        <v>1386</v>
      </c>
      <c r="B102" s="288">
        <v>3029</v>
      </c>
      <c r="C102" s="288" t="s">
        <v>803</v>
      </c>
      <c r="D102" s="248" t="str">
        <f t="shared" si="1"/>
        <v>Primary</v>
      </c>
      <c r="E102" s="384"/>
      <c r="F102" s="396"/>
      <c r="G102" s="247"/>
      <c r="H102" s="395">
        <f>VLOOKUP(B102,'Data - CFR 202526'!$B$4:$CO$505,85,0)</f>
        <v>8380.17</v>
      </c>
    </row>
    <row r="103" spans="1:8" ht="13.8">
      <c r="A103" s="252" t="s">
        <v>1386</v>
      </c>
      <c r="B103" s="288">
        <v>2084</v>
      </c>
      <c r="C103" s="288" t="s">
        <v>804</v>
      </c>
      <c r="D103" s="248" t="str">
        <f t="shared" si="1"/>
        <v>Primary</v>
      </c>
      <c r="E103" s="384"/>
      <c r="F103" s="396"/>
      <c r="G103" s="247"/>
      <c r="H103" s="395">
        <f>VLOOKUP(B103,'Data - CFR 202526'!$B$4:$CO$505,85,0)</f>
        <v>497.19999999999982</v>
      </c>
    </row>
    <row r="104" spans="1:8" ht="13.8">
      <c r="A104" s="252" t="s">
        <v>1386</v>
      </c>
      <c r="B104" s="288">
        <v>2443</v>
      </c>
      <c r="C104" s="288" t="s">
        <v>805</v>
      </c>
      <c r="D104" s="248" t="str">
        <f t="shared" si="1"/>
        <v>Primary</v>
      </c>
      <c r="E104" s="384"/>
      <c r="F104" s="396"/>
      <c r="G104" s="247"/>
      <c r="H104" s="395">
        <f>VLOOKUP(B104,'Data - CFR 202526'!$B$4:$CO$505,85,0)</f>
        <v>7195.7400000000016</v>
      </c>
    </row>
    <row r="105" spans="1:8" ht="13.8">
      <c r="A105" s="252" t="s">
        <v>1386</v>
      </c>
      <c r="B105" s="288">
        <v>3052</v>
      </c>
      <c r="C105" s="288" t="s">
        <v>806</v>
      </c>
      <c r="D105" s="248" t="str">
        <f t="shared" si="1"/>
        <v>Primary</v>
      </c>
      <c r="E105" s="384"/>
      <c r="F105" s="396"/>
      <c r="G105" s="247"/>
      <c r="H105" s="395">
        <f>VLOOKUP(B105,'Data - CFR 202526'!$B$4:$CO$505,85,0)</f>
        <v>3521.25</v>
      </c>
    </row>
    <row r="106" spans="1:8" ht="13.8">
      <c r="A106" s="252" t="s">
        <v>1386</v>
      </c>
      <c r="B106" s="288">
        <v>2046</v>
      </c>
      <c r="C106" s="288" t="s">
        <v>807</v>
      </c>
      <c r="D106" s="248" t="str">
        <f t="shared" si="1"/>
        <v>Primary</v>
      </c>
      <c r="E106" s="384"/>
      <c r="F106" s="396"/>
      <c r="G106" s="247"/>
      <c r="H106" s="395">
        <f>VLOOKUP(B106,'Data - CFR 202526'!$B$4:$CO$505,85,0)</f>
        <v>734.64000000000124</v>
      </c>
    </row>
    <row r="107" spans="1:8" ht="13.8">
      <c r="A107" s="252" t="s">
        <v>1386</v>
      </c>
      <c r="B107" s="288">
        <v>3325</v>
      </c>
      <c r="C107" s="288" t="s">
        <v>808</v>
      </c>
      <c r="D107" s="248" t="str">
        <f t="shared" si="1"/>
        <v>Primary</v>
      </c>
      <c r="E107" s="384"/>
      <c r="F107" s="396"/>
      <c r="G107" s="247"/>
      <c r="H107" s="395">
        <f>VLOOKUP(B107,'Data - CFR 202526'!$B$4:$CO$505,85,0)</f>
        <v>0</v>
      </c>
    </row>
    <row r="108" spans="1:8" ht="13.8">
      <c r="A108" s="252" t="s">
        <v>1386</v>
      </c>
      <c r="B108" s="288">
        <v>1001</v>
      </c>
      <c r="C108" s="288" t="s">
        <v>809</v>
      </c>
      <c r="D108" s="248" t="str">
        <f t="shared" si="1"/>
        <v>Nursery</v>
      </c>
      <c r="E108" s="384"/>
      <c r="F108" s="396"/>
      <c r="G108" s="247"/>
      <c r="H108" s="395">
        <f>VLOOKUP(B108,'Data - CFR 202526'!$B$4:$CO$505,85,0)</f>
        <v>32356.510000000002</v>
      </c>
    </row>
    <row r="109" spans="1:8" ht="13.8">
      <c r="A109" s="252" t="s">
        <v>1386</v>
      </c>
      <c r="B109" s="288">
        <v>2123</v>
      </c>
      <c r="C109" s="288" t="s">
        <v>810</v>
      </c>
      <c r="D109" s="248" t="str">
        <f t="shared" si="1"/>
        <v>Primary</v>
      </c>
      <c r="E109" s="384"/>
      <c r="F109" s="396"/>
      <c r="G109" s="247"/>
      <c r="H109" s="395">
        <f>VLOOKUP(B109,'Data - CFR 202526'!$B$4:$CO$505,85,0)</f>
        <v>1486.6299999999987</v>
      </c>
    </row>
    <row r="110" spans="1:8" ht="13.8">
      <c r="A110" s="252" t="s">
        <v>1386</v>
      </c>
      <c r="B110" s="288">
        <v>2260</v>
      </c>
      <c r="C110" s="288" t="s">
        <v>811</v>
      </c>
      <c r="D110" s="248" t="str">
        <f t="shared" si="1"/>
        <v>Primary</v>
      </c>
      <c r="E110" s="384"/>
      <c r="F110" s="396"/>
      <c r="G110" s="247"/>
      <c r="H110" s="395">
        <f>VLOOKUP(B110,'Data - CFR 202526'!$B$4:$CO$505,85,0)</f>
        <v>2856.88</v>
      </c>
    </row>
    <row r="111" spans="1:8" ht="13.8">
      <c r="A111" s="252" t="s">
        <v>1386</v>
      </c>
      <c r="B111" s="288">
        <v>3058</v>
      </c>
      <c r="C111" s="288" t="s">
        <v>812</v>
      </c>
      <c r="D111" s="248" t="str">
        <f t="shared" si="1"/>
        <v>Primary</v>
      </c>
      <c r="E111" s="384"/>
      <c r="F111" s="396"/>
      <c r="G111" s="247"/>
      <c r="H111" s="395">
        <f>VLOOKUP(B111,'Data - CFR 202526'!$B$4:$CO$505,85,0)</f>
        <v>2911.5299999999988</v>
      </c>
    </row>
    <row r="112" spans="1:8" ht="13.8">
      <c r="A112" s="252" t="s">
        <v>1386</v>
      </c>
      <c r="B112" s="288">
        <v>2335</v>
      </c>
      <c r="C112" s="288" t="s">
        <v>813</v>
      </c>
      <c r="D112" s="248" t="str">
        <f t="shared" si="1"/>
        <v>Primary</v>
      </c>
      <c r="E112" s="384"/>
      <c r="F112" s="396"/>
      <c r="G112" s="247"/>
      <c r="H112" s="395">
        <f>VLOOKUP(B112,'Data - CFR 202526'!$B$4:$CO$505,85,0)</f>
        <v>3794.3500000000022</v>
      </c>
    </row>
    <row r="113" spans="1:8" ht="13.8">
      <c r="A113" s="252" t="s">
        <v>1386</v>
      </c>
      <c r="B113" s="288">
        <v>3389</v>
      </c>
      <c r="C113" s="288" t="s">
        <v>814</v>
      </c>
      <c r="D113" s="248" t="str">
        <f t="shared" si="1"/>
        <v>Primary</v>
      </c>
      <c r="E113" s="384"/>
      <c r="F113" s="396"/>
      <c r="G113" s="247"/>
      <c r="H113" s="395">
        <f>VLOOKUP(B113,'Data - CFR 202526'!$B$4:$CO$505,85,0)</f>
        <v>0</v>
      </c>
    </row>
    <row r="114" spans="1:8" ht="13.8">
      <c r="A114" s="252" t="s">
        <v>1386</v>
      </c>
      <c r="B114" s="290">
        <v>2001</v>
      </c>
      <c r="C114" s="290" t="s">
        <v>815</v>
      </c>
      <c r="D114" s="248" t="str">
        <f t="shared" si="1"/>
        <v>Primary</v>
      </c>
      <c r="E114" s="384"/>
      <c r="F114" s="396"/>
      <c r="G114" s="247"/>
      <c r="H114" s="395">
        <f>VLOOKUP(B114,'Data - CFR 202526'!$B$4:$CO$505,85,0)</f>
        <v>39327.46</v>
      </c>
    </row>
    <row r="115" spans="1:8" ht="13.8">
      <c r="A115" s="252" t="s">
        <v>1386</v>
      </c>
      <c r="B115" s="288">
        <v>2064</v>
      </c>
      <c r="C115" s="288" t="s">
        <v>816</v>
      </c>
      <c r="D115" s="248" t="str">
        <f t="shared" si="1"/>
        <v>Primary</v>
      </c>
      <c r="E115" s="384"/>
      <c r="F115" s="396"/>
      <c r="G115" s="247"/>
      <c r="H115" s="395">
        <f>VLOOKUP(B115,'Data - CFR 202526'!$B$4:$CO$505,85,0)</f>
        <v>5346.0599999999995</v>
      </c>
    </row>
    <row r="116" spans="1:8" ht="13.8">
      <c r="A116" s="252" t="s">
        <v>1386</v>
      </c>
      <c r="B116" s="290">
        <v>2000</v>
      </c>
      <c r="C116" s="290" t="s">
        <v>1375</v>
      </c>
      <c r="D116" s="248" t="str">
        <f t="shared" si="1"/>
        <v>Primary</v>
      </c>
      <c r="E116" s="384"/>
      <c r="F116" s="396"/>
      <c r="G116" s="247"/>
      <c r="H116" s="395">
        <f>VLOOKUP(B116,'Data - CFR 202526'!$B$4:$CO$505,85,0)</f>
        <v>16490.18</v>
      </c>
    </row>
    <row r="117" spans="1:8" ht="13.8">
      <c r="A117" s="252" t="s">
        <v>1386</v>
      </c>
      <c r="B117" s="288">
        <v>2048</v>
      </c>
      <c r="C117" s="288" t="s">
        <v>818</v>
      </c>
      <c r="D117" s="248" t="str">
        <f t="shared" si="1"/>
        <v>Primary</v>
      </c>
      <c r="E117" s="384"/>
      <c r="F117" s="396"/>
      <c r="G117" s="247"/>
      <c r="H117" s="395">
        <f>VLOOKUP(B117,'Data - CFR 202526'!$B$4:$CO$505,85,0)</f>
        <v>2740.9799999999987</v>
      </c>
    </row>
    <row r="118" spans="1:8" ht="13.8">
      <c r="A118" s="252" t="s">
        <v>1386</v>
      </c>
      <c r="B118" s="288">
        <v>2232</v>
      </c>
      <c r="C118" s="288" t="s">
        <v>819</v>
      </c>
      <c r="D118" s="248" t="str">
        <f t="shared" si="1"/>
        <v>Primary</v>
      </c>
      <c r="E118" s="384"/>
      <c r="F118" s="396"/>
      <c r="G118" s="247"/>
      <c r="H118" s="395">
        <f>VLOOKUP(B118,'Data - CFR 202526'!$B$4:$CO$505,85,0)</f>
        <v>4971.6399999999994</v>
      </c>
    </row>
    <row r="119" spans="1:8" ht="13.8">
      <c r="A119" s="252" t="s">
        <v>1386</v>
      </c>
      <c r="B119" s="290">
        <v>3392</v>
      </c>
      <c r="C119" s="290" t="s">
        <v>820</v>
      </c>
      <c r="D119" s="248" t="str">
        <f t="shared" si="1"/>
        <v>Primary</v>
      </c>
      <c r="E119" s="384"/>
      <c r="F119" s="396"/>
      <c r="G119" s="247"/>
      <c r="H119" s="395">
        <f>VLOOKUP(B119,'Data - CFR 202526'!$B$4:$CO$505,85,0)</f>
        <v>19989.400000000001</v>
      </c>
    </row>
    <row r="120" spans="1:8" ht="13.8">
      <c r="A120" s="252" t="s">
        <v>1386</v>
      </c>
      <c r="B120" s="288">
        <v>3054</v>
      </c>
      <c r="C120" s="288" t="s">
        <v>821</v>
      </c>
      <c r="D120" s="248" t="str">
        <f t="shared" si="1"/>
        <v>Primary</v>
      </c>
      <c r="E120" s="384"/>
      <c r="F120" s="396"/>
      <c r="G120" s="247"/>
      <c r="H120" s="395">
        <f>VLOOKUP(B120,'Data - CFR 202526'!$B$4:$CO$505,85,0)</f>
        <v>414.90999999999894</v>
      </c>
    </row>
    <row r="121" spans="1:8" ht="13.8">
      <c r="A121" s="252" t="s">
        <v>1386</v>
      </c>
      <c r="B121" s="288">
        <v>3032</v>
      </c>
      <c r="C121" s="288" t="s">
        <v>822</v>
      </c>
      <c r="D121" s="248" t="str">
        <f t="shared" si="1"/>
        <v>Primary</v>
      </c>
      <c r="E121" s="384"/>
      <c r="F121" s="396"/>
      <c r="G121" s="247"/>
      <c r="H121" s="395">
        <f>VLOOKUP(B121,'Data - CFR 202526'!$B$4:$CO$505,85,0)</f>
        <v>7188.090000000002</v>
      </c>
    </row>
    <row r="122" spans="1:8" ht="13.8">
      <c r="A122" s="252" t="s">
        <v>1386</v>
      </c>
      <c r="B122" s="288">
        <v>2054</v>
      </c>
      <c r="C122" s="288" t="s">
        <v>823</v>
      </c>
      <c r="D122" s="248" t="str">
        <f t="shared" si="1"/>
        <v>Primary</v>
      </c>
      <c r="E122" s="384"/>
      <c r="F122" s="396"/>
      <c r="G122" s="247"/>
      <c r="H122" s="395">
        <f>VLOOKUP(B122,'Data - CFR 202526'!$B$4:$CO$505,85,0)</f>
        <v>0.65000000000009095</v>
      </c>
    </row>
    <row r="123" spans="1:8" ht="13.8">
      <c r="A123" s="252" t="s">
        <v>1386</v>
      </c>
      <c r="B123" s="288">
        <v>2240</v>
      </c>
      <c r="C123" s="288" t="s">
        <v>824</v>
      </c>
      <c r="D123" s="248" t="str">
        <f t="shared" si="1"/>
        <v>Primary</v>
      </c>
      <c r="E123" s="384"/>
      <c r="F123" s="396"/>
      <c r="G123" s="247"/>
      <c r="H123" s="395">
        <f>VLOOKUP(B123,'Data - CFR 202526'!$B$4:$CO$505,85,0)</f>
        <v>4663.5499999999984</v>
      </c>
    </row>
    <row r="124" spans="1:8" ht="13.8">
      <c r="A124" s="252" t="s">
        <v>1386</v>
      </c>
      <c r="B124" s="288">
        <v>2254</v>
      </c>
      <c r="C124" s="288" t="s">
        <v>825</v>
      </c>
      <c r="D124" s="248" t="str">
        <f t="shared" si="1"/>
        <v>Primary</v>
      </c>
      <c r="E124" s="384"/>
      <c r="F124" s="396"/>
      <c r="G124" s="247"/>
      <c r="H124" s="395">
        <f>VLOOKUP(B124,'Data - CFR 202526'!$B$4:$CO$505,85,0)</f>
        <v>6139.2100000000009</v>
      </c>
    </row>
  </sheetData>
  <phoneticPr fontId="16" type="noConversion"/>
  <pageMargins left="0.75" right="0.75" top="1" bottom="1" header="0.5" footer="0.5"/>
  <pageSetup paperSize="9" orientation="portrait" r:id="rId1"/>
  <headerFooter alignWithMargins="0"/>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sheetPr>
  <dimension ref="A1:AE79"/>
  <sheetViews>
    <sheetView workbookViewId="0">
      <pane xSplit="4" ySplit="4" topLeftCell="E5" activePane="bottomRight" state="frozen"/>
      <selection pane="topRight" activeCell="E1" sqref="E1"/>
      <selection pane="bottomLeft" activeCell="A5" sqref="A5"/>
      <selection pane="bottomRight" activeCell="E10" sqref="E10"/>
    </sheetView>
  </sheetViews>
  <sheetFormatPr defaultRowHeight="13.2"/>
  <cols>
    <col min="1" max="1" width="8.77734375" style="270"/>
    <col min="2" max="2" width="8.77734375" style="275"/>
    <col min="3" max="3" width="44.77734375" bestFit="1" customWidth="1"/>
    <col min="4" max="4" width="12.77734375" bestFit="1" customWidth="1"/>
    <col min="5" max="5" width="8.77734375" style="266"/>
    <col min="6" max="6" width="7.5546875" style="266" bestFit="1" customWidth="1"/>
    <col min="7" max="7" width="8.77734375" style="266"/>
    <col min="8" max="8" width="27.5546875" style="267" bestFit="1" customWidth="1"/>
    <col min="9" max="11" width="8.77734375" style="269"/>
    <col min="12" max="12" width="14.44140625" style="269" customWidth="1"/>
    <col min="13" max="15" width="8.77734375" style="269"/>
    <col min="16" max="16" width="14.77734375" style="269" customWidth="1"/>
    <col min="17" max="19" width="10.21875" style="269" customWidth="1"/>
    <col min="20" max="20" width="14.21875" style="269" customWidth="1"/>
    <col min="21" max="23" width="10.44140625" style="269" customWidth="1"/>
    <col min="24" max="24" width="12.44140625" style="269" customWidth="1"/>
    <col min="25" max="25" width="12.77734375" style="269" customWidth="1"/>
    <col min="26" max="26" width="11.77734375" style="269" customWidth="1"/>
    <col min="27" max="27" width="11.5546875" style="269" customWidth="1"/>
    <col min="28" max="28" width="33.77734375" style="269" bestFit="1" customWidth="1"/>
    <col min="29" max="29" width="8.77734375" style="266"/>
    <col min="30" max="30" width="2" style="269" customWidth="1"/>
    <col min="31" max="31" width="8.77734375" style="267"/>
  </cols>
  <sheetData>
    <row r="1" spans="1:31">
      <c r="A1" s="265" t="s">
        <v>1387</v>
      </c>
      <c r="B1" s="265"/>
      <c r="D1" s="266"/>
      <c r="E1" s="267"/>
      <c r="G1" s="268"/>
      <c r="H1" s="268"/>
      <c r="I1" s="268"/>
      <c r="J1" s="268"/>
      <c r="K1" s="268"/>
      <c r="L1" s="268"/>
    </row>
    <row r="2" spans="1:31">
      <c r="B2" s="270"/>
      <c r="D2" s="266"/>
    </row>
    <row r="3" spans="1:31">
      <c r="B3" s="270"/>
      <c r="D3" s="266"/>
      <c r="E3" s="267"/>
    </row>
    <row r="4" spans="1:31" s="206" customFormat="1" ht="39.6">
      <c r="A4" s="271" t="s">
        <v>878</v>
      </c>
      <c r="B4" s="272" t="s">
        <v>1388</v>
      </c>
      <c r="C4" s="206" t="s">
        <v>877</v>
      </c>
      <c r="D4" s="206" t="s">
        <v>873</v>
      </c>
      <c r="E4" s="239" t="s">
        <v>1389</v>
      </c>
      <c r="F4" s="239" t="s">
        <v>1390</v>
      </c>
      <c r="G4" s="239" t="s">
        <v>1391</v>
      </c>
      <c r="H4" s="273" t="s">
        <v>1392</v>
      </c>
      <c r="I4" s="239" t="s">
        <v>1393</v>
      </c>
      <c r="J4" s="239" t="s">
        <v>1394</v>
      </c>
      <c r="K4" s="239" t="s">
        <v>1395</v>
      </c>
      <c r="L4" s="273" t="s">
        <v>1392</v>
      </c>
      <c r="M4" s="239" t="s">
        <v>1396</v>
      </c>
      <c r="N4" s="239" t="s">
        <v>1397</v>
      </c>
      <c r="O4" s="239" t="s">
        <v>1398</v>
      </c>
      <c r="P4" s="273" t="s">
        <v>1392</v>
      </c>
      <c r="Q4" s="239" t="s">
        <v>1399</v>
      </c>
      <c r="R4" s="239" t="s">
        <v>1400</v>
      </c>
      <c r="S4" s="239" t="s">
        <v>1401</v>
      </c>
      <c r="T4" s="273" t="s">
        <v>1392</v>
      </c>
      <c r="U4" s="239" t="s">
        <v>1402</v>
      </c>
      <c r="V4" s="239" t="s">
        <v>1403</v>
      </c>
      <c r="W4" s="239" t="s">
        <v>1404</v>
      </c>
      <c r="X4" s="273" t="s">
        <v>1392</v>
      </c>
      <c r="Y4" s="239" t="s">
        <v>1405</v>
      </c>
      <c r="Z4" s="239" t="s">
        <v>1406</v>
      </c>
      <c r="AA4" s="239" t="s">
        <v>1407</v>
      </c>
      <c r="AB4" s="273" t="s">
        <v>1392</v>
      </c>
      <c r="AC4" s="239" t="s">
        <v>1408</v>
      </c>
      <c r="AD4" s="274"/>
      <c r="AE4" s="273"/>
    </row>
    <row r="5" spans="1:31">
      <c r="A5" s="270">
        <v>1008</v>
      </c>
      <c r="B5" s="275" t="s">
        <v>968</v>
      </c>
      <c r="C5" t="s">
        <v>969</v>
      </c>
      <c r="D5" t="s">
        <v>970</v>
      </c>
      <c r="I5" s="266"/>
      <c r="J5" s="266"/>
      <c r="K5" s="266"/>
      <c r="L5" s="267"/>
      <c r="M5" s="266"/>
      <c r="N5" s="266"/>
      <c r="O5" s="266"/>
      <c r="P5" s="267"/>
      <c r="Q5" s="266"/>
      <c r="R5" s="266"/>
      <c r="S5" s="266"/>
      <c r="T5" s="267"/>
      <c r="U5" s="266"/>
      <c r="V5" s="266"/>
      <c r="W5" s="266"/>
      <c r="X5" s="267"/>
      <c r="Y5" s="266"/>
      <c r="Z5" s="266"/>
      <c r="AA5" s="266"/>
      <c r="AB5" s="267"/>
      <c r="AC5" s="207">
        <v>0</v>
      </c>
    </row>
    <row r="6" spans="1:31">
      <c r="A6" s="270">
        <v>2173</v>
      </c>
      <c r="B6" s="275" t="s">
        <v>983</v>
      </c>
      <c r="C6" t="s">
        <v>984</v>
      </c>
      <c r="D6" t="s">
        <v>985</v>
      </c>
      <c r="I6" s="266"/>
      <c r="J6" s="266"/>
      <c r="K6" s="266"/>
      <c r="L6" s="267"/>
      <c r="M6" s="266"/>
      <c r="N6" s="266"/>
      <c r="O6" s="266"/>
      <c r="P6" s="267"/>
      <c r="Q6" s="266"/>
      <c r="R6" s="266"/>
      <c r="S6" s="266"/>
      <c r="T6" s="267"/>
      <c r="U6" s="266"/>
      <c r="V6" s="266"/>
      <c r="W6" s="266"/>
      <c r="X6" s="267"/>
      <c r="Y6" s="266"/>
      <c r="Z6" s="266"/>
      <c r="AA6" s="266"/>
      <c r="AB6" s="267"/>
      <c r="AC6" s="207">
        <v>0</v>
      </c>
    </row>
    <row r="7" spans="1:31">
      <c r="A7" s="270">
        <v>2146</v>
      </c>
      <c r="B7" s="275" t="s">
        <v>986</v>
      </c>
      <c r="C7" t="s">
        <v>1409</v>
      </c>
      <c r="D7" t="s">
        <v>985</v>
      </c>
      <c r="I7" s="266"/>
      <c r="J7" s="266"/>
      <c r="K7" s="266"/>
      <c r="L7" s="267"/>
      <c r="M7" s="266"/>
      <c r="N7" s="266"/>
      <c r="O7" s="266"/>
      <c r="P7" s="267"/>
      <c r="Q7" s="266"/>
      <c r="R7" s="266"/>
      <c r="S7" s="266"/>
      <c r="T7" s="267"/>
      <c r="U7" s="266"/>
      <c r="V7" s="266"/>
      <c r="W7" s="266"/>
      <c r="X7" s="267"/>
      <c r="Y7" s="266"/>
      <c r="Z7" s="266"/>
      <c r="AA7" s="266"/>
      <c r="AB7" s="267"/>
      <c r="AC7" s="207">
        <v>0</v>
      </c>
    </row>
    <row r="8" spans="1:31">
      <c r="A8" s="270">
        <v>3026</v>
      </c>
      <c r="B8" s="275" t="s">
        <v>990</v>
      </c>
      <c r="C8" t="s">
        <v>991</v>
      </c>
      <c r="D8" t="s">
        <v>985</v>
      </c>
      <c r="I8" s="266"/>
      <c r="J8" s="266"/>
      <c r="K8" s="266"/>
      <c r="L8" s="267"/>
      <c r="M8" s="266"/>
      <c r="N8" s="266"/>
      <c r="O8" s="266"/>
      <c r="P8" s="267"/>
      <c r="Q8" s="266"/>
      <c r="R8" s="266"/>
      <c r="S8" s="266"/>
      <c r="T8" s="267"/>
      <c r="U8" s="266"/>
      <c r="V8" s="266"/>
      <c r="W8" s="266"/>
      <c r="X8" s="267"/>
      <c r="Y8" s="266"/>
      <c r="Z8" s="266"/>
      <c r="AA8" s="266"/>
      <c r="AB8" s="267"/>
      <c r="AC8" s="207">
        <v>0</v>
      </c>
    </row>
    <row r="9" spans="1:31">
      <c r="A9" s="270">
        <v>2102</v>
      </c>
      <c r="B9" s="275" t="s">
        <v>1000</v>
      </c>
      <c r="C9" t="s">
        <v>1001</v>
      </c>
      <c r="D9" t="s">
        <v>985</v>
      </c>
      <c r="I9" s="266"/>
      <c r="J9" s="266"/>
      <c r="K9" s="266"/>
      <c r="L9" s="267"/>
      <c r="M9" s="266"/>
      <c r="N9" s="266"/>
      <c r="O9" s="266"/>
      <c r="P9" s="267"/>
      <c r="Q9" s="266"/>
      <c r="R9" s="266"/>
      <c r="S9" s="266"/>
      <c r="T9" s="267"/>
      <c r="U9" s="266"/>
      <c r="V9" s="266"/>
      <c r="W9" s="266"/>
      <c r="X9" s="267"/>
      <c r="Y9" s="266"/>
      <c r="Z9" s="266"/>
      <c r="AA9" s="266"/>
      <c r="AB9" s="267"/>
      <c r="AC9" s="207">
        <v>0</v>
      </c>
    </row>
    <row r="10" spans="1:31">
      <c r="A10" s="270">
        <v>7032</v>
      </c>
      <c r="B10" s="275" t="s">
        <v>1327</v>
      </c>
      <c r="C10" t="s">
        <v>1328</v>
      </c>
      <c r="D10" t="s">
        <v>1329</v>
      </c>
      <c r="I10" s="266"/>
      <c r="J10" s="266"/>
      <c r="K10" s="266"/>
      <c r="L10" s="267"/>
      <c r="M10" s="266"/>
      <c r="N10" s="266"/>
      <c r="O10" s="266"/>
      <c r="P10" s="267"/>
      <c r="Q10" s="266"/>
      <c r="R10" s="266"/>
      <c r="S10" s="266"/>
      <c r="T10" s="267"/>
      <c r="U10" s="266"/>
      <c r="V10" s="266"/>
      <c r="W10" s="266"/>
      <c r="X10" s="267"/>
      <c r="Y10" s="266"/>
      <c r="Z10" s="266"/>
      <c r="AA10" s="266"/>
      <c r="AB10" s="267"/>
      <c r="AC10" s="207">
        <v>0</v>
      </c>
    </row>
    <row r="11" spans="1:31">
      <c r="A11" s="270">
        <v>2166</v>
      </c>
      <c r="B11" s="275" t="s">
        <v>1004</v>
      </c>
      <c r="C11" t="s">
        <v>1005</v>
      </c>
      <c r="D11" t="s">
        <v>985</v>
      </c>
      <c r="I11" s="266"/>
      <c r="J11" s="266"/>
      <c r="K11" s="266"/>
      <c r="L11" s="267"/>
      <c r="M11" s="266"/>
      <c r="N11" s="266"/>
      <c r="O11" s="266"/>
      <c r="P11" s="267"/>
      <c r="Q11" s="266"/>
      <c r="R11" s="266"/>
      <c r="S11" s="266"/>
      <c r="T11" s="267"/>
      <c r="U11" s="266"/>
      <c r="V11" s="266"/>
      <c r="W11" s="266"/>
      <c r="X11" s="267"/>
      <c r="Y11" s="266"/>
      <c r="Z11" s="266"/>
      <c r="AA11" s="266"/>
      <c r="AB11" s="267"/>
      <c r="AC11" s="207">
        <v>0</v>
      </c>
      <c r="AE11" s="270"/>
    </row>
    <row r="12" spans="1:31">
      <c r="A12" s="270">
        <v>5400</v>
      </c>
      <c r="B12" s="275" t="s">
        <v>1293</v>
      </c>
      <c r="C12" t="s">
        <v>1294</v>
      </c>
      <c r="D12" t="s">
        <v>1290</v>
      </c>
      <c r="I12" s="266"/>
      <c r="J12" s="266"/>
      <c r="K12" s="266"/>
      <c r="L12" s="267"/>
      <c r="M12" s="266"/>
      <c r="N12" s="266"/>
      <c r="O12" s="266"/>
      <c r="P12" s="267"/>
      <c r="Q12" s="266">
        <v>195157</v>
      </c>
      <c r="R12" s="266"/>
      <c r="S12" s="266">
        <v>828890</v>
      </c>
      <c r="T12" s="267" t="s">
        <v>1410</v>
      </c>
      <c r="U12" s="266"/>
      <c r="V12" s="266"/>
      <c r="W12" s="266"/>
      <c r="X12" s="267"/>
      <c r="Y12" s="266"/>
      <c r="Z12" s="266"/>
      <c r="AA12" s="266"/>
      <c r="AB12" s="267"/>
      <c r="AC12" s="207">
        <v>1024047</v>
      </c>
      <c r="AE12" s="270"/>
    </row>
    <row r="13" spans="1:31">
      <c r="A13" s="270">
        <v>2062</v>
      </c>
      <c r="B13" s="275" t="s">
        <v>1006</v>
      </c>
      <c r="C13" t="s">
        <v>1007</v>
      </c>
      <c r="D13" t="s">
        <v>985</v>
      </c>
      <c r="I13" s="266"/>
      <c r="J13" s="266"/>
      <c r="K13" s="266"/>
      <c r="L13" s="267"/>
      <c r="M13" s="266"/>
      <c r="N13" s="266"/>
      <c r="O13" s="266"/>
      <c r="P13" s="267"/>
      <c r="Q13" s="266"/>
      <c r="R13" s="266"/>
      <c r="S13" s="266"/>
      <c r="T13" s="267"/>
      <c r="U13" s="266"/>
      <c r="V13" s="266"/>
      <c r="W13" s="266"/>
      <c r="X13" s="267"/>
      <c r="Y13" s="266"/>
      <c r="Z13" s="266"/>
      <c r="AA13" s="266"/>
      <c r="AB13" s="267"/>
      <c r="AC13" s="207">
        <v>0</v>
      </c>
      <c r="AE13" s="270"/>
    </row>
    <row r="14" spans="1:31">
      <c r="A14" s="270">
        <v>2107</v>
      </c>
      <c r="B14" s="275" t="s">
        <v>1010</v>
      </c>
      <c r="C14" t="s">
        <v>1011</v>
      </c>
      <c r="D14" t="s">
        <v>985</v>
      </c>
      <c r="I14" s="266"/>
      <c r="J14" s="266"/>
      <c r="K14" s="266"/>
      <c r="L14" s="267"/>
      <c r="M14" s="266"/>
      <c r="N14" s="266"/>
      <c r="O14" s="266"/>
      <c r="P14" s="267"/>
      <c r="Q14" s="266"/>
      <c r="R14" s="266"/>
      <c r="S14" s="266"/>
      <c r="T14" s="267"/>
      <c r="U14" s="266"/>
      <c r="V14" s="266"/>
      <c r="W14" s="266"/>
      <c r="X14" s="267"/>
      <c r="Y14" s="266"/>
      <c r="Z14" s="266"/>
      <c r="AA14" s="266"/>
      <c r="AB14" s="267"/>
      <c r="AC14" s="207">
        <v>0</v>
      </c>
      <c r="AE14" s="270"/>
    </row>
    <row r="15" spans="1:31">
      <c r="A15" s="270">
        <v>3031</v>
      </c>
      <c r="B15" s="275" t="s">
        <v>1014</v>
      </c>
      <c r="C15" t="s">
        <v>1015</v>
      </c>
      <c r="D15" t="s">
        <v>985</v>
      </c>
      <c r="I15" s="266"/>
      <c r="J15" s="266"/>
      <c r="K15" s="266"/>
      <c r="L15" s="267"/>
      <c r="M15" s="266"/>
      <c r="N15" s="266"/>
      <c r="O15" s="266"/>
      <c r="P15" s="267"/>
      <c r="Q15" s="266"/>
      <c r="R15" s="266"/>
      <c r="S15" s="266"/>
      <c r="T15" s="267"/>
      <c r="U15" s="266"/>
      <c r="V15" s="266"/>
      <c r="W15" s="266"/>
      <c r="X15" s="267"/>
      <c r="Y15" s="266"/>
      <c r="Z15" s="266"/>
      <c r="AA15" s="266"/>
      <c r="AB15" s="267"/>
      <c r="AC15" s="207">
        <v>0</v>
      </c>
      <c r="AE15" s="270"/>
    </row>
    <row r="16" spans="1:31">
      <c r="A16" s="270">
        <v>1012</v>
      </c>
      <c r="B16" s="275" t="s">
        <v>971</v>
      </c>
      <c r="C16" t="s">
        <v>972</v>
      </c>
      <c r="D16" t="s">
        <v>970</v>
      </c>
      <c r="I16" s="266"/>
      <c r="J16" s="266"/>
      <c r="K16" s="266"/>
      <c r="L16" s="267"/>
      <c r="M16" s="266"/>
      <c r="N16" s="266"/>
      <c r="O16" s="266"/>
      <c r="P16" s="267"/>
      <c r="Q16" s="266"/>
      <c r="R16" s="266"/>
      <c r="S16" s="266"/>
      <c r="T16" s="267"/>
      <c r="U16" s="266"/>
      <c r="V16" s="266"/>
      <c r="W16" s="266"/>
      <c r="X16" s="267"/>
      <c r="Y16" s="266"/>
      <c r="Z16" s="266"/>
      <c r="AA16" s="266"/>
      <c r="AB16" s="267"/>
      <c r="AC16" s="207">
        <v>0</v>
      </c>
      <c r="AE16" s="270"/>
    </row>
    <row r="17" spans="1:31">
      <c r="A17" s="270">
        <v>7031</v>
      </c>
      <c r="B17" s="275" t="s">
        <v>1330</v>
      </c>
      <c r="C17" t="s">
        <v>1331</v>
      </c>
      <c r="D17" t="s">
        <v>1329</v>
      </c>
      <c r="E17" s="266">
        <v>292000</v>
      </c>
      <c r="H17" s="267" t="s">
        <v>1411</v>
      </c>
      <c r="I17" s="266"/>
      <c r="J17" s="266"/>
      <c r="K17" s="266"/>
      <c r="L17" s="267"/>
      <c r="M17" s="266"/>
      <c r="N17" s="266"/>
      <c r="O17" s="266"/>
      <c r="P17" s="267"/>
      <c r="Q17" s="266"/>
      <c r="R17" s="266"/>
      <c r="S17" s="266"/>
      <c r="T17" s="267"/>
      <c r="U17" s="266"/>
      <c r="V17" s="266"/>
      <c r="W17" s="266"/>
      <c r="X17" s="267"/>
      <c r="Y17" s="266"/>
      <c r="Z17" s="266"/>
      <c r="AA17" s="266"/>
      <c r="AB17" s="267"/>
      <c r="AC17" s="207">
        <v>292000</v>
      </c>
      <c r="AE17" s="270"/>
    </row>
    <row r="18" spans="1:31">
      <c r="A18" s="270">
        <v>2111</v>
      </c>
      <c r="B18" s="275" t="s">
        <v>1032</v>
      </c>
      <c r="C18" t="s">
        <v>1033</v>
      </c>
      <c r="D18" t="s">
        <v>985</v>
      </c>
      <c r="I18" s="266"/>
      <c r="J18" s="266"/>
      <c r="K18" s="266"/>
      <c r="L18" s="267"/>
      <c r="M18" s="266"/>
      <c r="N18" s="266"/>
      <c r="O18" s="266"/>
      <c r="P18" s="267"/>
      <c r="Q18" s="266"/>
      <c r="R18" s="266"/>
      <c r="S18" s="266"/>
      <c r="T18" s="267"/>
      <c r="U18" s="266"/>
      <c r="V18" s="266"/>
      <c r="W18" s="266"/>
      <c r="X18" s="267"/>
      <c r="Y18" s="266"/>
      <c r="Z18" s="266"/>
      <c r="AA18" s="266"/>
      <c r="AB18" s="267"/>
      <c r="AC18" s="207">
        <v>0</v>
      </c>
      <c r="AE18" s="270"/>
    </row>
    <row r="19" spans="1:31">
      <c r="A19" s="270">
        <v>2147</v>
      </c>
      <c r="B19" s="275" t="s">
        <v>1042</v>
      </c>
      <c r="C19" t="s">
        <v>1043</v>
      </c>
      <c r="D19" t="s">
        <v>985</v>
      </c>
      <c r="I19" s="266"/>
      <c r="J19" s="266"/>
      <c r="K19" s="266"/>
      <c r="L19" s="267"/>
      <c r="M19" s="266"/>
      <c r="N19" s="266"/>
      <c r="O19" s="266"/>
      <c r="P19" s="267"/>
      <c r="Q19" s="266"/>
      <c r="R19" s="266"/>
      <c r="S19" s="266"/>
      <c r="T19" s="267"/>
      <c r="U19" s="266"/>
      <c r="V19" s="266"/>
      <c r="W19" s="266"/>
      <c r="X19" s="267"/>
      <c r="Y19" s="266"/>
      <c r="Z19" s="266"/>
      <c r="AA19" s="266"/>
      <c r="AB19" s="267"/>
      <c r="AC19" s="207">
        <v>0</v>
      </c>
      <c r="AE19" s="276"/>
    </row>
    <row r="20" spans="1:31">
      <c r="A20" s="270">
        <v>2113</v>
      </c>
      <c r="B20" s="275" t="s">
        <v>1046</v>
      </c>
      <c r="C20" t="s">
        <v>1047</v>
      </c>
      <c r="D20" t="s">
        <v>985</v>
      </c>
      <c r="I20" s="266"/>
      <c r="J20" s="266"/>
      <c r="K20" s="266"/>
      <c r="L20" s="267"/>
      <c r="M20" s="266"/>
      <c r="N20" s="266"/>
      <c r="O20" s="266"/>
      <c r="P20" s="267"/>
      <c r="Q20" s="266"/>
      <c r="R20" s="266"/>
      <c r="S20" s="266"/>
      <c r="T20" s="267"/>
      <c r="U20" s="266"/>
      <c r="V20" s="266"/>
      <c r="W20" s="266"/>
      <c r="X20" s="267"/>
      <c r="Y20" s="266"/>
      <c r="Z20" s="266"/>
      <c r="AA20" s="266"/>
      <c r="AB20" s="267"/>
      <c r="AC20" s="207">
        <v>0</v>
      </c>
      <c r="AE20" s="270"/>
    </row>
    <row r="21" spans="1:31">
      <c r="A21" s="270">
        <v>2103</v>
      </c>
      <c r="B21" s="275" t="s">
        <v>1048</v>
      </c>
      <c r="C21" t="s">
        <v>1049</v>
      </c>
      <c r="D21" t="s">
        <v>985</v>
      </c>
      <c r="I21" s="266"/>
      <c r="J21" s="266"/>
      <c r="K21" s="266"/>
      <c r="L21" s="267"/>
      <c r="M21" s="266"/>
      <c r="N21" s="266"/>
      <c r="O21" s="266"/>
      <c r="P21" s="267"/>
      <c r="Q21" s="266"/>
      <c r="R21" s="266"/>
      <c r="S21" s="266"/>
      <c r="T21" s="267"/>
      <c r="U21" s="266"/>
      <c r="V21" s="266"/>
      <c r="W21" s="266"/>
      <c r="X21" s="267"/>
      <c r="Y21" s="266"/>
      <c r="Z21" s="266"/>
      <c r="AA21" s="266"/>
      <c r="AB21" s="267"/>
      <c r="AC21" s="207">
        <v>0</v>
      </c>
      <c r="AE21" s="270"/>
    </row>
    <row r="22" spans="1:31">
      <c r="A22" s="270">
        <v>2084</v>
      </c>
      <c r="B22" s="275" t="s">
        <v>1050</v>
      </c>
      <c r="C22" t="s">
        <v>1051</v>
      </c>
      <c r="D22" t="s">
        <v>985</v>
      </c>
      <c r="I22" s="266"/>
      <c r="J22" s="266"/>
      <c r="K22" s="266"/>
      <c r="L22" s="267"/>
      <c r="M22" s="266"/>
      <c r="N22" s="266"/>
      <c r="O22" s="266"/>
      <c r="P22" s="267"/>
      <c r="Q22" s="266"/>
      <c r="R22" s="266"/>
      <c r="S22" s="266"/>
      <c r="T22" s="267"/>
      <c r="U22" s="266"/>
      <c r="V22" s="266"/>
      <c r="W22" s="266"/>
      <c r="X22" s="267"/>
      <c r="Y22" s="266"/>
      <c r="Z22" s="266"/>
      <c r="AA22" s="266"/>
      <c r="AB22" s="267"/>
      <c r="AC22" s="207">
        <v>0</v>
      </c>
      <c r="AE22" s="270"/>
    </row>
    <row r="23" spans="1:31">
      <c r="A23" s="270">
        <v>5201</v>
      </c>
      <c r="B23" s="275" t="s">
        <v>1056</v>
      </c>
      <c r="C23" t="s">
        <v>1057</v>
      </c>
      <c r="D23" t="s">
        <v>985</v>
      </c>
      <c r="I23" s="266"/>
      <c r="J23" s="266"/>
      <c r="K23" s="266"/>
      <c r="L23" s="267"/>
      <c r="M23" s="266"/>
      <c r="N23" s="266"/>
      <c r="O23" s="266"/>
      <c r="P23" s="267"/>
      <c r="Q23" s="266"/>
      <c r="R23" s="266"/>
      <c r="S23" s="266"/>
      <c r="T23" s="267"/>
      <c r="U23" s="266"/>
      <c r="V23" s="266"/>
      <c r="W23" s="266"/>
      <c r="X23" s="267"/>
      <c r="Y23" s="266"/>
      <c r="Z23" s="266"/>
      <c r="AA23" s="266"/>
      <c r="AB23" s="267"/>
      <c r="AC23" s="207">
        <v>0</v>
      </c>
      <c r="AE23" s="270"/>
    </row>
    <row r="24" spans="1:31">
      <c r="A24" s="270">
        <v>2027</v>
      </c>
      <c r="B24" s="275" t="s">
        <v>1058</v>
      </c>
      <c r="C24" t="s">
        <v>1059</v>
      </c>
      <c r="D24" t="s">
        <v>985</v>
      </c>
      <c r="I24" s="266"/>
      <c r="J24" s="266"/>
      <c r="K24" s="266"/>
      <c r="L24" s="267"/>
      <c r="M24" s="266"/>
      <c r="N24" s="266"/>
      <c r="O24" s="266"/>
      <c r="P24" s="267"/>
      <c r="Q24" s="266">
        <v>14428</v>
      </c>
      <c r="R24" s="266">
        <v>14429</v>
      </c>
      <c r="S24" s="266"/>
      <c r="T24" s="267" t="s">
        <v>1412</v>
      </c>
      <c r="U24" s="266"/>
      <c r="V24" s="266"/>
      <c r="W24" s="266"/>
      <c r="X24" s="267"/>
      <c r="Y24" s="266"/>
      <c r="Z24" s="266"/>
      <c r="AA24" s="266"/>
      <c r="AB24" s="267"/>
      <c r="AC24" s="207">
        <v>28857</v>
      </c>
      <c r="AE24" s="270"/>
    </row>
    <row r="25" spans="1:31">
      <c r="A25" s="270">
        <v>2182</v>
      </c>
      <c r="B25" s="275" t="s">
        <v>1060</v>
      </c>
      <c r="C25" t="s">
        <v>1061</v>
      </c>
      <c r="D25" t="s">
        <v>985</v>
      </c>
      <c r="I25" s="266"/>
      <c r="J25" s="266"/>
      <c r="K25" s="266"/>
      <c r="L25" s="267"/>
      <c r="M25" s="266"/>
      <c r="N25" s="266"/>
      <c r="O25" s="266"/>
      <c r="P25" s="267"/>
      <c r="Q25" s="266"/>
      <c r="R25" s="266"/>
      <c r="S25" s="266"/>
      <c r="T25" s="267"/>
      <c r="U25" s="266"/>
      <c r="V25" s="266"/>
      <c r="W25" s="266"/>
      <c r="X25" s="267"/>
      <c r="Y25" s="266"/>
      <c r="Z25" s="266"/>
      <c r="AA25" s="266"/>
      <c r="AB25" s="267"/>
      <c r="AC25" s="207">
        <v>0</v>
      </c>
      <c r="AE25" s="270"/>
    </row>
    <row r="26" spans="1:31">
      <c r="A26" s="270">
        <v>3308</v>
      </c>
      <c r="B26" s="275" t="s">
        <v>1076</v>
      </c>
      <c r="C26" t="s">
        <v>1077</v>
      </c>
      <c r="D26" t="s">
        <v>985</v>
      </c>
      <c r="I26" s="266"/>
      <c r="J26" s="266"/>
      <c r="K26" s="266"/>
      <c r="L26" s="267"/>
      <c r="M26" s="266"/>
      <c r="N26" s="266"/>
      <c r="O26" s="266"/>
      <c r="P26" s="267"/>
      <c r="Q26" s="266"/>
      <c r="R26" s="266"/>
      <c r="S26" s="266"/>
      <c r="T26" s="267"/>
      <c r="U26" s="266"/>
      <c r="V26" s="266"/>
      <c r="W26" s="266"/>
      <c r="X26" s="267"/>
      <c r="Y26" s="266"/>
      <c r="Z26" s="266"/>
      <c r="AA26" s="266"/>
      <c r="AB26" s="267"/>
      <c r="AC26" s="207">
        <v>0</v>
      </c>
      <c r="AE26" s="270"/>
    </row>
    <row r="27" spans="1:31">
      <c r="A27" s="270">
        <v>5203</v>
      </c>
      <c r="B27" s="275" t="s">
        <v>1080</v>
      </c>
      <c r="C27" t="s">
        <v>1081</v>
      </c>
      <c r="D27" t="s">
        <v>985</v>
      </c>
      <c r="I27" s="266"/>
      <c r="J27" s="266"/>
      <c r="K27" s="266"/>
      <c r="L27" s="267"/>
      <c r="M27" s="266"/>
      <c r="N27" s="266"/>
      <c r="O27" s="266"/>
      <c r="P27" s="267"/>
      <c r="Q27" s="266"/>
      <c r="R27" s="266"/>
      <c r="S27" s="266"/>
      <c r="T27" s="267"/>
      <c r="U27" s="266"/>
      <c r="V27" s="266"/>
      <c r="W27" s="266"/>
      <c r="X27" s="267"/>
      <c r="Y27" s="266">
        <v>7000</v>
      </c>
      <c r="Z27" s="266"/>
      <c r="AA27" s="266"/>
      <c r="AB27" s="267" t="s">
        <v>1413</v>
      </c>
      <c r="AC27" s="207">
        <v>7000</v>
      </c>
      <c r="AE27" s="270"/>
    </row>
    <row r="28" spans="1:31">
      <c r="A28" s="270">
        <v>1001</v>
      </c>
      <c r="B28" s="275" t="s">
        <v>973</v>
      </c>
      <c r="C28" t="s">
        <v>974</v>
      </c>
      <c r="D28" t="s">
        <v>970</v>
      </c>
      <c r="I28" s="266"/>
      <c r="J28" s="266"/>
      <c r="K28" s="266"/>
      <c r="L28" s="267"/>
      <c r="M28" s="266"/>
      <c r="N28" s="266"/>
      <c r="O28" s="266"/>
      <c r="P28" s="267"/>
      <c r="Q28" s="266"/>
      <c r="R28" s="266"/>
      <c r="S28" s="266"/>
      <c r="T28" s="267"/>
      <c r="U28" s="266"/>
      <c r="V28" s="266"/>
      <c r="W28" s="266"/>
      <c r="X28" s="267"/>
      <c r="Y28" s="266">
        <v>51183</v>
      </c>
      <c r="Z28" s="266">
        <v>51183</v>
      </c>
      <c r="AA28" s="266">
        <v>34226</v>
      </c>
      <c r="AB28" s="267" t="s">
        <v>1414</v>
      </c>
      <c r="AC28" s="207">
        <v>136592</v>
      </c>
      <c r="AE28" s="270"/>
    </row>
    <row r="29" spans="1:31">
      <c r="A29" s="270">
        <v>3379</v>
      </c>
      <c r="B29" s="275" t="s">
        <v>1088</v>
      </c>
      <c r="C29" t="s">
        <v>1089</v>
      </c>
      <c r="D29" t="s">
        <v>985</v>
      </c>
      <c r="I29" s="266"/>
      <c r="J29" s="266"/>
      <c r="K29" s="266"/>
      <c r="L29" s="267"/>
      <c r="M29" s="266"/>
      <c r="N29" s="266"/>
      <c r="O29" s="266"/>
      <c r="P29" s="267"/>
      <c r="Q29" s="266"/>
      <c r="R29" s="266"/>
      <c r="S29" s="266"/>
      <c r="T29" s="267"/>
      <c r="U29" s="266"/>
      <c r="V29" s="266"/>
      <c r="W29" s="266"/>
      <c r="X29" s="267"/>
      <c r="Y29" s="266"/>
      <c r="Z29" s="266"/>
      <c r="AA29" s="266"/>
      <c r="AB29" s="267"/>
      <c r="AC29" s="207">
        <v>0</v>
      </c>
      <c r="AE29" s="276"/>
    </row>
    <row r="30" spans="1:31">
      <c r="A30" s="270">
        <v>2168</v>
      </c>
      <c r="B30" s="275" t="s">
        <v>1096</v>
      </c>
      <c r="C30" t="s">
        <v>1097</v>
      </c>
      <c r="D30" t="s">
        <v>985</v>
      </c>
      <c r="I30" s="266"/>
      <c r="J30" s="266"/>
      <c r="K30" s="266"/>
      <c r="L30" s="267"/>
      <c r="M30" s="266"/>
      <c r="N30" s="266"/>
      <c r="O30" s="266"/>
      <c r="P30" s="267"/>
      <c r="Q30" s="266"/>
      <c r="R30" s="266"/>
      <c r="S30" s="266"/>
      <c r="T30" s="267"/>
      <c r="U30" s="266"/>
      <c r="V30" s="266"/>
      <c r="W30" s="266"/>
      <c r="X30" s="267"/>
      <c r="Y30" s="266"/>
      <c r="Z30" s="266"/>
      <c r="AA30" s="266"/>
      <c r="AB30" s="267"/>
      <c r="AC30" s="207">
        <v>0</v>
      </c>
      <c r="AE30" s="270"/>
    </row>
    <row r="31" spans="1:31">
      <c r="A31" s="270">
        <v>3304</v>
      </c>
      <c r="B31" s="275" t="s">
        <v>1098</v>
      </c>
      <c r="C31" t="s">
        <v>1099</v>
      </c>
      <c r="D31" t="s">
        <v>985</v>
      </c>
      <c r="I31" s="266"/>
      <c r="J31" s="266"/>
      <c r="K31" s="266"/>
      <c r="L31" s="267"/>
      <c r="M31" s="266"/>
      <c r="N31" s="266"/>
      <c r="O31" s="266"/>
      <c r="P31" s="267"/>
      <c r="Q31" s="266"/>
      <c r="R31" s="266"/>
      <c r="S31" s="266"/>
      <c r="T31" s="267"/>
      <c r="U31" s="266"/>
      <c r="V31" s="266"/>
      <c r="W31" s="266"/>
      <c r="X31" s="267"/>
      <c r="Y31" s="266"/>
      <c r="Z31" s="266"/>
      <c r="AA31" s="266"/>
      <c r="AB31" s="267"/>
      <c r="AC31" s="207">
        <v>0</v>
      </c>
      <c r="AE31" s="270"/>
    </row>
    <row r="32" spans="1:31">
      <c r="A32" s="270">
        <v>2124</v>
      </c>
      <c r="B32" s="275" t="s">
        <v>1100</v>
      </c>
      <c r="C32" t="s">
        <v>1101</v>
      </c>
      <c r="D32" t="s">
        <v>985</v>
      </c>
      <c r="I32" s="266"/>
      <c r="J32" s="266"/>
      <c r="K32" s="266"/>
      <c r="L32" s="267"/>
      <c r="M32" s="266"/>
      <c r="N32" s="266"/>
      <c r="O32" s="266"/>
      <c r="P32" s="267"/>
      <c r="Q32" s="266"/>
      <c r="R32" s="266"/>
      <c r="S32" s="266"/>
      <c r="T32" s="267"/>
      <c r="U32" s="266"/>
      <c r="V32" s="266"/>
      <c r="W32" s="266"/>
      <c r="X32" s="267"/>
      <c r="Y32" s="266">
        <v>70000</v>
      </c>
      <c r="Z32" s="266"/>
      <c r="AA32" s="266"/>
      <c r="AB32" s="267" t="s">
        <v>1415</v>
      </c>
      <c r="AC32" s="207">
        <v>70000</v>
      </c>
      <c r="AE32" s="270"/>
    </row>
    <row r="33" spans="1:31">
      <c r="A33" s="270">
        <v>5207</v>
      </c>
      <c r="B33" s="275" t="s">
        <v>1104</v>
      </c>
      <c r="C33" t="s">
        <v>1105</v>
      </c>
      <c r="D33" t="s">
        <v>985</v>
      </c>
      <c r="I33" s="266"/>
      <c r="J33" s="266"/>
      <c r="K33" s="266"/>
      <c r="L33" s="267"/>
      <c r="M33" s="266"/>
      <c r="N33" s="266"/>
      <c r="O33" s="266"/>
      <c r="P33" s="267"/>
      <c r="Q33" s="266"/>
      <c r="R33" s="266"/>
      <c r="S33" s="266"/>
      <c r="T33" s="267"/>
      <c r="U33" s="266"/>
      <c r="V33" s="266"/>
      <c r="W33" s="266"/>
      <c r="X33" s="267"/>
      <c r="Y33" s="266"/>
      <c r="Z33" s="266"/>
      <c r="AA33" s="266"/>
      <c r="AB33" s="267"/>
      <c r="AC33" s="207">
        <v>0</v>
      </c>
      <c r="AE33" s="270"/>
    </row>
    <row r="34" spans="1:31">
      <c r="A34" s="270">
        <v>3363</v>
      </c>
      <c r="B34" s="275" t="s">
        <v>1106</v>
      </c>
      <c r="C34" t="s">
        <v>1107</v>
      </c>
      <c r="D34" t="s">
        <v>985</v>
      </c>
      <c r="I34" s="266"/>
      <c r="J34" s="266"/>
      <c r="K34" s="266"/>
      <c r="L34" s="267"/>
      <c r="M34" s="266"/>
      <c r="N34" s="266"/>
      <c r="O34" s="266"/>
      <c r="P34" s="267"/>
      <c r="Q34" s="266"/>
      <c r="R34" s="266"/>
      <c r="S34" s="266"/>
      <c r="T34" s="267"/>
      <c r="U34" s="266"/>
      <c r="V34" s="266"/>
      <c r="W34" s="266"/>
      <c r="X34" s="267"/>
      <c r="Y34" s="266"/>
      <c r="Z34" s="266"/>
      <c r="AA34" s="266"/>
      <c r="AB34" s="267"/>
      <c r="AC34" s="207">
        <v>0</v>
      </c>
      <c r="AE34" s="270"/>
    </row>
    <row r="35" spans="1:31">
      <c r="A35" s="270">
        <v>5200</v>
      </c>
      <c r="B35" s="275" t="s">
        <v>1108</v>
      </c>
      <c r="C35" t="s">
        <v>1109</v>
      </c>
      <c r="D35" t="s">
        <v>985</v>
      </c>
      <c r="I35" s="266"/>
      <c r="J35" s="266"/>
      <c r="K35" s="266"/>
      <c r="L35" s="267"/>
      <c r="M35" s="266"/>
      <c r="N35" s="266"/>
      <c r="O35" s="266"/>
      <c r="P35" s="267"/>
      <c r="Q35" s="266"/>
      <c r="R35" s="266"/>
      <c r="S35" s="266"/>
      <c r="T35" s="267"/>
      <c r="U35" s="266"/>
      <c r="V35" s="266"/>
      <c r="W35" s="266"/>
      <c r="X35" s="267"/>
      <c r="Y35" s="266"/>
      <c r="Z35" s="266"/>
      <c r="AA35" s="266"/>
      <c r="AB35" s="267"/>
      <c r="AC35" s="207">
        <v>0</v>
      </c>
      <c r="AE35" s="270"/>
    </row>
    <row r="36" spans="1:31">
      <c r="A36" s="270">
        <v>2090</v>
      </c>
      <c r="B36" s="275" t="s">
        <v>1118</v>
      </c>
      <c r="C36" t="s">
        <v>1119</v>
      </c>
      <c r="D36" t="s">
        <v>985</v>
      </c>
      <c r="I36" s="266"/>
      <c r="J36" s="266"/>
      <c r="K36" s="266"/>
      <c r="L36" s="267"/>
      <c r="M36" s="266"/>
      <c r="N36" s="266"/>
      <c r="O36" s="266"/>
      <c r="P36" s="267"/>
      <c r="Q36" s="266"/>
      <c r="R36" s="266"/>
      <c r="S36" s="266"/>
      <c r="T36" s="267"/>
      <c r="U36" s="266"/>
      <c r="V36" s="266"/>
      <c r="W36" s="266"/>
      <c r="X36" s="267"/>
      <c r="Y36" s="266"/>
      <c r="Z36" s="266"/>
      <c r="AA36" s="266"/>
      <c r="AB36" s="267"/>
      <c r="AC36" s="207">
        <v>0</v>
      </c>
      <c r="AE36" s="270"/>
    </row>
    <row r="37" spans="1:31">
      <c r="A37" s="270">
        <v>1002</v>
      </c>
      <c r="B37" s="275" t="s">
        <v>975</v>
      </c>
      <c r="C37" t="s">
        <v>976</v>
      </c>
      <c r="D37" t="s">
        <v>970</v>
      </c>
      <c r="I37" s="266"/>
      <c r="J37" s="266"/>
      <c r="K37" s="266"/>
      <c r="L37" s="267"/>
      <c r="M37" s="266"/>
      <c r="N37" s="266"/>
      <c r="O37" s="266"/>
      <c r="P37" s="267"/>
      <c r="Q37" s="266"/>
      <c r="R37" s="266"/>
      <c r="S37" s="266"/>
      <c r="T37" s="267"/>
      <c r="U37" s="266"/>
      <c r="V37" s="266"/>
      <c r="W37" s="266">
        <v>106210</v>
      </c>
      <c r="X37" s="267" t="s">
        <v>1414</v>
      </c>
      <c r="Y37" s="266"/>
      <c r="Z37" s="266"/>
      <c r="AA37" s="266">
        <v>106210</v>
      </c>
      <c r="AB37" s="267" t="s">
        <v>1414</v>
      </c>
      <c r="AC37" s="207">
        <v>212420</v>
      </c>
      <c r="AE37" s="270"/>
    </row>
    <row r="38" spans="1:31">
      <c r="A38" s="270">
        <v>2128</v>
      </c>
      <c r="B38" s="275" t="s">
        <v>1126</v>
      </c>
      <c r="C38" t="s">
        <v>1127</v>
      </c>
      <c r="D38" t="s">
        <v>985</v>
      </c>
      <c r="I38" s="266"/>
      <c r="J38" s="266"/>
      <c r="K38" s="266"/>
      <c r="L38" s="267"/>
      <c r="M38" s="266"/>
      <c r="N38" s="266"/>
      <c r="O38" s="266"/>
      <c r="P38" s="267"/>
      <c r="Q38" s="266"/>
      <c r="R38" s="266"/>
      <c r="S38" s="266"/>
      <c r="T38" s="267"/>
      <c r="U38" s="266"/>
      <c r="V38" s="266"/>
      <c r="W38" s="266"/>
      <c r="X38" s="267"/>
      <c r="Y38" s="266">
        <v>285000</v>
      </c>
      <c r="Z38" s="266"/>
      <c r="AA38" s="266"/>
      <c r="AB38" s="267" t="s">
        <v>1415</v>
      </c>
      <c r="AC38" s="207">
        <v>285000</v>
      </c>
      <c r="AE38" s="270"/>
    </row>
    <row r="39" spans="1:31">
      <c r="A39" s="270">
        <v>2145</v>
      </c>
      <c r="B39" s="275" t="s">
        <v>1128</v>
      </c>
      <c r="C39" t="s">
        <v>1129</v>
      </c>
      <c r="D39" t="s">
        <v>985</v>
      </c>
      <c r="E39" s="266">
        <v>42715</v>
      </c>
      <c r="H39" s="267" t="s">
        <v>1416</v>
      </c>
      <c r="I39" s="266"/>
      <c r="J39" s="266"/>
      <c r="K39" s="266"/>
      <c r="L39" s="267"/>
      <c r="M39" s="266"/>
      <c r="N39" s="266"/>
      <c r="O39" s="266"/>
      <c r="P39" s="267"/>
      <c r="Q39" s="266"/>
      <c r="R39" s="266"/>
      <c r="S39" s="266"/>
      <c r="T39" s="267"/>
      <c r="U39" s="266"/>
      <c r="V39" s="266"/>
      <c r="W39" s="266"/>
      <c r="X39" s="267"/>
      <c r="Y39" s="266"/>
      <c r="Z39" s="266"/>
      <c r="AA39" s="266"/>
      <c r="AB39" s="267"/>
      <c r="AC39" s="207">
        <v>42715</v>
      </c>
      <c r="AE39" s="270"/>
    </row>
    <row r="40" spans="1:31">
      <c r="A40" s="270">
        <v>3023</v>
      </c>
      <c r="B40" s="275" t="s">
        <v>1130</v>
      </c>
      <c r="C40" t="s">
        <v>1131</v>
      </c>
      <c r="D40" t="s">
        <v>985</v>
      </c>
      <c r="E40" s="266">
        <v>55000</v>
      </c>
      <c r="H40" s="267" t="s">
        <v>1417</v>
      </c>
      <c r="I40" s="266"/>
      <c r="J40" s="266"/>
      <c r="K40" s="266"/>
      <c r="L40" s="267"/>
      <c r="M40" s="266"/>
      <c r="N40" s="266"/>
      <c r="O40" s="266"/>
      <c r="P40" s="267"/>
      <c r="Q40" s="266"/>
      <c r="R40" s="266"/>
      <c r="S40" s="266"/>
      <c r="T40" s="267"/>
      <c r="U40" s="266"/>
      <c r="V40" s="266"/>
      <c r="W40" s="266"/>
      <c r="X40" s="267"/>
      <c r="Y40" s="266"/>
      <c r="Z40" s="266"/>
      <c r="AA40" s="266"/>
      <c r="AB40" s="267"/>
      <c r="AC40" s="207">
        <v>55000</v>
      </c>
      <c r="AE40" s="270"/>
    </row>
    <row r="41" spans="1:31">
      <c r="A41" s="270">
        <v>1009</v>
      </c>
      <c r="B41" s="275" t="s">
        <v>977</v>
      </c>
      <c r="C41" t="s">
        <v>978</v>
      </c>
      <c r="D41" t="s">
        <v>970</v>
      </c>
      <c r="I41" s="266"/>
      <c r="J41" s="266"/>
      <c r="K41" s="266"/>
      <c r="L41" s="267"/>
      <c r="M41" s="266"/>
      <c r="N41" s="266"/>
      <c r="O41" s="266"/>
      <c r="P41" s="267"/>
      <c r="Q41" s="266"/>
      <c r="R41" s="266"/>
      <c r="S41" s="266"/>
      <c r="T41" s="267"/>
      <c r="U41" s="266"/>
      <c r="V41" s="266"/>
      <c r="W41" s="266"/>
      <c r="X41" s="267"/>
      <c r="Y41" s="266"/>
      <c r="Z41" s="266"/>
      <c r="AA41" s="266"/>
      <c r="AB41" s="267"/>
      <c r="AC41" s="207">
        <v>0</v>
      </c>
      <c r="AE41" s="270"/>
    </row>
    <row r="42" spans="1:31">
      <c r="A42" s="270">
        <v>5206</v>
      </c>
      <c r="B42" s="275" t="s">
        <v>1144</v>
      </c>
      <c r="C42" t="s">
        <v>1145</v>
      </c>
      <c r="D42" t="s">
        <v>985</v>
      </c>
      <c r="I42" s="266"/>
      <c r="J42" s="266"/>
      <c r="K42" s="266"/>
      <c r="L42" s="267"/>
      <c r="M42" s="266"/>
      <c r="N42" s="266"/>
      <c r="O42" s="266"/>
      <c r="P42" s="267"/>
      <c r="Q42" s="266"/>
      <c r="R42" s="266"/>
      <c r="S42" s="266"/>
      <c r="T42" s="267"/>
      <c r="U42" s="266"/>
      <c r="V42" s="266"/>
      <c r="W42" s="266"/>
      <c r="X42" s="267"/>
      <c r="Y42" s="266"/>
      <c r="Z42" s="266"/>
      <c r="AA42" s="266"/>
      <c r="AB42" s="267"/>
      <c r="AC42" s="207">
        <v>0</v>
      </c>
      <c r="AE42" s="270"/>
    </row>
    <row r="43" spans="1:31">
      <c r="A43" s="270">
        <v>2054</v>
      </c>
      <c r="B43" s="275" t="s">
        <v>1148</v>
      </c>
      <c r="C43" t="s">
        <v>1149</v>
      </c>
      <c r="D43" t="s">
        <v>985</v>
      </c>
      <c r="I43" s="266"/>
      <c r="J43" s="266"/>
      <c r="K43" s="266"/>
      <c r="L43" s="267"/>
      <c r="M43" s="266"/>
      <c r="N43" s="266"/>
      <c r="O43" s="266"/>
      <c r="P43" s="267"/>
      <c r="Q43" s="266"/>
      <c r="R43" s="266"/>
      <c r="S43" s="266"/>
      <c r="T43" s="267"/>
      <c r="U43" s="266"/>
      <c r="V43" s="266"/>
      <c r="W43" s="266"/>
      <c r="X43" s="267"/>
      <c r="Y43" s="266"/>
      <c r="Z43" s="266"/>
      <c r="AA43" s="266"/>
      <c r="AB43" s="267"/>
      <c r="AC43" s="207">
        <v>0</v>
      </c>
      <c r="AE43" s="270"/>
    </row>
    <row r="44" spans="1:31">
      <c r="A44" s="270">
        <v>2197</v>
      </c>
      <c r="B44" s="275" t="s">
        <v>1150</v>
      </c>
      <c r="C44" t="s">
        <v>1151</v>
      </c>
      <c r="D44" t="s">
        <v>985</v>
      </c>
      <c r="I44" s="266"/>
      <c r="J44" s="266"/>
      <c r="K44" s="266"/>
      <c r="L44" s="267"/>
      <c r="M44" s="266"/>
      <c r="N44" s="266"/>
      <c r="O44" s="266"/>
      <c r="P44" s="267"/>
      <c r="Q44" s="266"/>
      <c r="R44" s="266"/>
      <c r="S44" s="266"/>
      <c r="T44" s="267"/>
      <c r="U44" s="266"/>
      <c r="V44" s="266"/>
      <c r="W44" s="266"/>
      <c r="X44" s="267"/>
      <c r="Y44" s="266"/>
      <c r="Z44" s="266"/>
      <c r="AA44" s="266"/>
      <c r="AB44" s="267"/>
      <c r="AC44" s="207">
        <v>0</v>
      </c>
      <c r="AE44" s="270"/>
    </row>
    <row r="45" spans="1:31">
      <c r="A45" s="270">
        <v>3377</v>
      </c>
      <c r="B45" s="275" t="s">
        <v>1166</v>
      </c>
      <c r="C45" t="s">
        <v>1167</v>
      </c>
      <c r="D45" t="s">
        <v>985</v>
      </c>
      <c r="I45" s="266"/>
      <c r="J45" s="266"/>
      <c r="K45" s="266"/>
      <c r="L45" s="267"/>
      <c r="M45" s="266"/>
      <c r="N45" s="266"/>
      <c r="O45" s="266"/>
      <c r="P45" s="267"/>
      <c r="Q45" s="266"/>
      <c r="R45" s="266"/>
      <c r="S45" s="266"/>
      <c r="T45" s="267"/>
      <c r="U45" s="266"/>
      <c r="V45" s="266"/>
      <c r="W45" s="266"/>
      <c r="X45" s="267"/>
      <c r="Y45" s="266">
        <v>166000</v>
      </c>
      <c r="Z45" s="266"/>
      <c r="AA45" s="266"/>
      <c r="AB45" s="267" t="s">
        <v>1418</v>
      </c>
      <c r="AC45" s="207">
        <v>166000</v>
      </c>
      <c r="AE45" s="270"/>
    </row>
    <row r="46" spans="1:31">
      <c r="A46" s="270">
        <v>2101</v>
      </c>
      <c r="B46" s="275" t="s">
        <v>1168</v>
      </c>
      <c r="C46" t="s">
        <v>1169</v>
      </c>
      <c r="D46" t="s">
        <v>985</v>
      </c>
      <c r="I46" s="266"/>
      <c r="J46" s="266"/>
      <c r="K46" s="266"/>
      <c r="L46" s="267"/>
      <c r="M46" s="266"/>
      <c r="N46" s="266"/>
      <c r="O46" s="266"/>
      <c r="P46" s="267"/>
      <c r="Q46" s="266"/>
      <c r="R46" s="266"/>
      <c r="S46" s="266"/>
      <c r="T46" s="267"/>
      <c r="U46" s="266"/>
      <c r="V46" s="266"/>
      <c r="W46" s="266"/>
      <c r="X46" s="267"/>
      <c r="Y46" s="266"/>
      <c r="Z46" s="266"/>
      <c r="AA46" s="266"/>
      <c r="AB46" s="267"/>
      <c r="AC46" s="207">
        <v>0</v>
      </c>
      <c r="AE46" s="270"/>
    </row>
    <row r="47" spans="1:31">
      <c r="A47" s="270">
        <v>3365</v>
      </c>
      <c r="B47" s="275" t="s">
        <v>1176</v>
      </c>
      <c r="C47" t="s">
        <v>1177</v>
      </c>
      <c r="D47" t="s">
        <v>985</v>
      </c>
      <c r="I47" s="266"/>
      <c r="J47" s="266"/>
      <c r="K47" s="266"/>
      <c r="L47" s="267"/>
      <c r="M47" s="266"/>
      <c r="N47" s="266"/>
      <c r="O47" s="266"/>
      <c r="P47" s="267"/>
      <c r="Q47" s="266"/>
      <c r="R47" s="266"/>
      <c r="S47" s="266"/>
      <c r="T47" s="267"/>
      <c r="U47" s="266"/>
      <c r="V47" s="266"/>
      <c r="W47" s="266"/>
      <c r="X47" s="267"/>
      <c r="Y47" s="266"/>
      <c r="Z47" s="266"/>
      <c r="AA47" s="266"/>
      <c r="AB47" s="267"/>
      <c r="AC47" s="207">
        <v>0</v>
      </c>
      <c r="AE47" s="270"/>
    </row>
    <row r="48" spans="1:31">
      <c r="A48" s="270">
        <v>5202</v>
      </c>
      <c r="B48" s="275" t="s">
        <v>1178</v>
      </c>
      <c r="C48" t="s">
        <v>1179</v>
      </c>
      <c r="D48" t="s">
        <v>985</v>
      </c>
      <c r="I48" s="266"/>
      <c r="J48" s="266"/>
      <c r="K48" s="266"/>
      <c r="L48" s="267"/>
      <c r="M48" s="266"/>
      <c r="N48" s="266"/>
      <c r="O48" s="266"/>
      <c r="P48" s="267"/>
      <c r="Q48" s="266"/>
      <c r="R48" s="266"/>
      <c r="S48" s="266"/>
      <c r="T48" s="267"/>
      <c r="U48" s="266"/>
      <c r="V48" s="266"/>
      <c r="W48" s="266"/>
      <c r="X48" s="267"/>
      <c r="Y48" s="266"/>
      <c r="Z48" s="266"/>
      <c r="AA48" s="266"/>
      <c r="AB48" s="267"/>
      <c r="AC48" s="207">
        <v>0</v>
      </c>
      <c r="AE48" s="270"/>
    </row>
    <row r="49" spans="1:31">
      <c r="A49" s="270">
        <v>2140</v>
      </c>
      <c r="B49" s="275" t="s">
        <v>1180</v>
      </c>
      <c r="C49" t="s">
        <v>1181</v>
      </c>
      <c r="D49" t="s">
        <v>985</v>
      </c>
      <c r="I49" s="266"/>
      <c r="J49" s="266"/>
      <c r="K49" s="266"/>
      <c r="L49" s="267"/>
      <c r="M49" s="266"/>
      <c r="N49" s="266"/>
      <c r="O49" s="266"/>
      <c r="P49" s="267"/>
      <c r="Q49" s="266"/>
      <c r="R49" s="266"/>
      <c r="S49" s="266"/>
      <c r="T49" s="267"/>
      <c r="U49" s="266"/>
      <c r="V49" s="266"/>
      <c r="W49" s="266"/>
      <c r="X49" s="267"/>
      <c r="Y49" s="266"/>
      <c r="Z49" s="266"/>
      <c r="AA49" s="266"/>
      <c r="AB49" s="267"/>
      <c r="AC49" s="207">
        <v>0</v>
      </c>
      <c r="AE49" s="270"/>
    </row>
    <row r="50" spans="1:31">
      <c r="A50" s="270">
        <v>2174</v>
      </c>
      <c r="B50" s="275" t="s">
        <v>1182</v>
      </c>
      <c r="C50" t="s">
        <v>1183</v>
      </c>
      <c r="D50" t="s">
        <v>985</v>
      </c>
      <c r="I50" s="266"/>
      <c r="J50" s="266"/>
      <c r="K50" s="266"/>
      <c r="L50" s="267"/>
      <c r="M50" s="266"/>
      <c r="N50" s="266"/>
      <c r="O50" s="266"/>
      <c r="P50" s="267"/>
      <c r="Q50" s="266"/>
      <c r="R50" s="266"/>
      <c r="S50" s="266"/>
      <c r="T50" s="267"/>
      <c r="U50" s="266"/>
      <c r="V50" s="266"/>
      <c r="W50" s="266"/>
      <c r="X50" s="267"/>
      <c r="Y50" s="266"/>
      <c r="Z50" s="266"/>
      <c r="AA50" s="266"/>
      <c r="AB50" s="267"/>
      <c r="AC50" s="207">
        <v>0</v>
      </c>
      <c r="AE50" s="270"/>
    </row>
    <row r="51" spans="1:31">
      <c r="A51" s="270">
        <v>2055</v>
      </c>
      <c r="B51" s="275" t="s">
        <v>1184</v>
      </c>
      <c r="C51" t="s">
        <v>1185</v>
      </c>
      <c r="D51" t="s">
        <v>985</v>
      </c>
      <c r="I51" s="266"/>
      <c r="J51" s="266"/>
      <c r="K51" s="266"/>
      <c r="L51" s="267"/>
      <c r="M51" s="266"/>
      <c r="N51" s="266"/>
      <c r="O51" s="266"/>
      <c r="P51" s="267"/>
      <c r="Q51" s="266"/>
      <c r="R51" s="266"/>
      <c r="S51" s="266"/>
      <c r="T51" s="267"/>
      <c r="U51" s="266"/>
      <c r="V51" s="266"/>
      <c r="W51" s="266"/>
      <c r="X51" s="267"/>
      <c r="Y51" s="266"/>
      <c r="Z51" s="266"/>
      <c r="AA51" s="266"/>
      <c r="AB51" s="267"/>
      <c r="AC51" s="207">
        <v>0</v>
      </c>
      <c r="AE51" s="270"/>
    </row>
    <row r="52" spans="1:31">
      <c r="A52" s="270">
        <v>1010</v>
      </c>
      <c r="B52" s="275" t="s">
        <v>979</v>
      </c>
      <c r="C52" t="s">
        <v>980</v>
      </c>
      <c r="D52" t="s">
        <v>970</v>
      </c>
      <c r="E52" s="266">
        <v>14750</v>
      </c>
      <c r="H52" s="267" t="s">
        <v>1419</v>
      </c>
      <c r="I52" s="266"/>
      <c r="J52" s="266"/>
      <c r="K52" s="266"/>
      <c r="L52" s="267"/>
      <c r="M52" s="266"/>
      <c r="N52" s="266"/>
      <c r="O52" s="266"/>
      <c r="P52" s="267"/>
      <c r="Q52" s="266"/>
      <c r="R52" s="266"/>
      <c r="S52" s="266"/>
      <c r="T52" s="267"/>
      <c r="U52" s="266"/>
      <c r="V52" s="266"/>
      <c r="W52" s="266">
        <v>218803</v>
      </c>
      <c r="X52" s="267" t="s">
        <v>1414</v>
      </c>
      <c r="Y52" s="267"/>
      <c r="Z52" s="266"/>
      <c r="AA52" s="266">
        <v>218803</v>
      </c>
      <c r="AB52" s="267" t="s">
        <v>1414</v>
      </c>
      <c r="AC52" s="207">
        <v>452356</v>
      </c>
      <c r="AE52" s="270"/>
    </row>
    <row r="53" spans="1:31">
      <c r="A53" s="270">
        <v>3021</v>
      </c>
      <c r="B53" s="275" t="s">
        <v>1222</v>
      </c>
      <c r="C53" t="s">
        <v>1223</v>
      </c>
      <c r="D53" t="s">
        <v>985</v>
      </c>
      <c r="I53" s="266"/>
      <c r="J53" s="266"/>
      <c r="K53" s="266"/>
      <c r="L53" s="267"/>
      <c r="M53" s="266"/>
      <c r="N53" s="266"/>
      <c r="O53" s="266"/>
      <c r="P53" s="267"/>
      <c r="Q53" s="266"/>
      <c r="R53" s="266"/>
      <c r="S53" s="266"/>
      <c r="T53" s="267"/>
      <c r="U53" s="266"/>
      <c r="V53" s="266"/>
      <c r="W53" s="266"/>
      <c r="X53" s="267"/>
      <c r="Y53" s="266"/>
      <c r="Z53" s="266"/>
      <c r="AA53" s="266"/>
      <c r="AB53" s="267"/>
      <c r="AC53" s="207">
        <v>0</v>
      </c>
      <c r="AE53" s="270"/>
    </row>
    <row r="54" spans="1:31">
      <c r="A54" s="270">
        <v>3013</v>
      </c>
      <c r="B54" s="275" t="s">
        <v>1228</v>
      </c>
      <c r="C54" t="s">
        <v>1229</v>
      </c>
      <c r="D54" t="s">
        <v>985</v>
      </c>
      <c r="I54" s="266"/>
      <c r="J54" s="266"/>
      <c r="K54" s="266"/>
      <c r="L54" s="267"/>
      <c r="M54" s="266"/>
      <c r="N54" s="266"/>
      <c r="O54" s="266"/>
      <c r="P54" s="267"/>
      <c r="Q54" s="266"/>
      <c r="R54" s="266"/>
      <c r="S54" s="266"/>
      <c r="T54" s="267"/>
      <c r="U54" s="266"/>
      <c r="V54" s="266"/>
      <c r="W54" s="266"/>
      <c r="X54" s="267"/>
      <c r="Y54" s="266"/>
      <c r="Z54" s="266"/>
      <c r="AA54" s="266"/>
      <c r="AB54" s="267"/>
      <c r="AC54" s="207">
        <v>0</v>
      </c>
      <c r="AE54" s="270"/>
    </row>
    <row r="55" spans="1:31">
      <c r="A55" s="270">
        <v>3301</v>
      </c>
      <c r="B55" s="275" t="s">
        <v>1230</v>
      </c>
      <c r="C55" t="s">
        <v>1231</v>
      </c>
      <c r="D55" t="s">
        <v>985</v>
      </c>
      <c r="I55" s="266"/>
      <c r="J55" s="266"/>
      <c r="K55" s="266"/>
      <c r="L55" s="267"/>
      <c r="M55" s="266"/>
      <c r="N55" s="266"/>
      <c r="O55" s="266"/>
      <c r="P55" s="267"/>
      <c r="Q55" s="266"/>
      <c r="R55" s="266"/>
      <c r="S55" s="266"/>
      <c r="T55" s="267"/>
      <c r="U55" s="266"/>
      <c r="V55" s="266"/>
      <c r="W55" s="266"/>
      <c r="X55" s="267"/>
      <c r="Y55" s="266"/>
      <c r="Z55" s="266"/>
      <c r="AA55" s="266"/>
      <c r="AB55" s="267"/>
      <c r="AC55" s="207">
        <v>0</v>
      </c>
      <c r="AE55" s="270"/>
    </row>
    <row r="56" spans="1:31">
      <c r="A56" s="270">
        <v>3313</v>
      </c>
      <c r="B56" s="275" t="s">
        <v>1234</v>
      </c>
      <c r="C56" t="s">
        <v>1235</v>
      </c>
      <c r="D56" t="s">
        <v>985</v>
      </c>
      <c r="I56" s="266"/>
      <c r="J56" s="266"/>
      <c r="K56" s="266"/>
      <c r="L56" s="267"/>
      <c r="M56" s="266"/>
      <c r="N56" s="266"/>
      <c r="O56" s="266"/>
      <c r="P56" s="267"/>
      <c r="Q56" s="266"/>
      <c r="R56" s="266"/>
      <c r="S56" s="266"/>
      <c r="T56" s="267"/>
      <c r="U56" s="266"/>
      <c r="V56" s="266"/>
      <c r="W56" s="266"/>
      <c r="X56" s="267"/>
      <c r="Y56" s="266"/>
      <c r="Z56" s="266"/>
      <c r="AA56" s="266"/>
      <c r="AB56" s="267"/>
      <c r="AC56" s="207">
        <v>0</v>
      </c>
      <c r="AE56" s="270"/>
    </row>
    <row r="57" spans="1:31">
      <c r="A57" s="270">
        <v>2134</v>
      </c>
      <c r="B57" s="275" t="s">
        <v>1242</v>
      </c>
      <c r="C57" t="s">
        <v>1243</v>
      </c>
      <c r="D57" t="s">
        <v>985</v>
      </c>
      <c r="I57" s="266"/>
      <c r="J57" s="266"/>
      <c r="K57" s="266"/>
      <c r="L57" s="267"/>
      <c r="M57" s="266"/>
      <c r="N57" s="266"/>
      <c r="O57" s="266"/>
      <c r="P57" s="267"/>
      <c r="Q57" s="266"/>
      <c r="R57" s="266"/>
      <c r="S57" s="266"/>
      <c r="T57" s="267"/>
      <c r="U57" s="266"/>
      <c r="V57" s="266"/>
      <c r="W57" s="266"/>
      <c r="X57" s="267"/>
      <c r="Y57" s="266"/>
      <c r="Z57" s="266"/>
      <c r="AA57" s="266"/>
      <c r="AB57" s="267"/>
      <c r="AC57" s="207">
        <v>0</v>
      </c>
      <c r="AE57" s="270"/>
    </row>
    <row r="58" spans="1:31">
      <c r="A58" s="270">
        <v>2148</v>
      </c>
      <c r="B58" s="275" t="s">
        <v>1244</v>
      </c>
      <c r="C58" t="s">
        <v>1245</v>
      </c>
      <c r="D58" t="s">
        <v>985</v>
      </c>
      <c r="I58" s="266"/>
      <c r="J58" s="266"/>
      <c r="K58" s="266"/>
      <c r="L58" s="267"/>
      <c r="M58" s="266"/>
      <c r="N58" s="266"/>
      <c r="O58" s="266"/>
      <c r="P58" s="267"/>
      <c r="Q58" s="266"/>
      <c r="R58" s="266"/>
      <c r="S58" s="266"/>
      <c r="T58" s="267"/>
      <c r="U58" s="266"/>
      <c r="V58" s="266"/>
      <c r="W58" s="266"/>
      <c r="X58" s="267"/>
      <c r="Y58" s="266"/>
      <c r="Z58" s="266"/>
      <c r="AA58" s="266"/>
      <c r="AB58" s="267"/>
      <c r="AC58" s="207">
        <v>0</v>
      </c>
      <c r="AE58" s="270"/>
    </row>
    <row r="59" spans="1:31">
      <c r="A59" s="270">
        <v>2081</v>
      </c>
      <c r="B59" s="275" t="s">
        <v>1246</v>
      </c>
      <c r="C59" t="s">
        <v>1247</v>
      </c>
      <c r="D59" t="s">
        <v>985</v>
      </c>
      <c r="I59" s="266"/>
      <c r="J59" s="266"/>
      <c r="K59" s="266"/>
      <c r="L59" s="267"/>
      <c r="M59" s="266"/>
      <c r="N59" s="266"/>
      <c r="O59" s="266"/>
      <c r="P59" s="267"/>
      <c r="Q59" s="266"/>
      <c r="R59" s="266"/>
      <c r="S59" s="266"/>
      <c r="T59" s="267"/>
      <c r="U59" s="266"/>
      <c r="V59" s="266"/>
      <c r="W59" s="266"/>
      <c r="X59" s="267"/>
      <c r="Y59" s="266"/>
      <c r="Z59" s="266"/>
      <c r="AA59" s="266"/>
      <c r="AB59" s="267"/>
      <c r="AC59" s="207">
        <v>0</v>
      </c>
      <c r="AE59" s="270"/>
    </row>
    <row r="60" spans="1:31">
      <c r="A60" s="270">
        <v>1000</v>
      </c>
      <c r="B60" s="275" t="s">
        <v>981</v>
      </c>
      <c r="C60" t="s">
        <v>982</v>
      </c>
      <c r="D60" t="s">
        <v>970</v>
      </c>
      <c r="I60" s="266"/>
      <c r="J60" s="266"/>
      <c r="K60" s="266"/>
      <c r="L60" s="267"/>
      <c r="M60" s="266"/>
      <c r="N60" s="266"/>
      <c r="O60" s="266"/>
      <c r="P60" s="267"/>
      <c r="Q60" s="266"/>
      <c r="R60" s="266"/>
      <c r="S60" s="266"/>
      <c r="T60" s="267"/>
      <c r="U60" s="266"/>
      <c r="V60" s="266"/>
      <c r="W60" s="266"/>
      <c r="X60" s="267"/>
      <c r="Y60" s="266"/>
      <c r="Z60" s="266"/>
      <c r="AA60" s="266"/>
      <c r="AB60" s="267"/>
      <c r="AC60" s="207">
        <v>0</v>
      </c>
      <c r="AE60" s="270"/>
    </row>
    <row r="61" spans="1:31">
      <c r="A61" s="270">
        <v>2057</v>
      </c>
      <c r="B61" s="275" t="s">
        <v>1248</v>
      </c>
      <c r="C61" t="s">
        <v>1249</v>
      </c>
      <c r="D61" t="s">
        <v>985</v>
      </c>
      <c r="I61" s="266"/>
      <c r="J61" s="266"/>
      <c r="K61" s="266"/>
      <c r="L61" s="267"/>
      <c r="M61" s="266"/>
      <c r="N61" s="266"/>
      <c r="O61" s="266"/>
      <c r="P61" s="267"/>
      <c r="Q61" s="266"/>
      <c r="R61" s="266"/>
      <c r="S61" s="266"/>
      <c r="T61" s="267"/>
      <c r="U61" s="266"/>
      <c r="V61" s="266"/>
      <c r="W61" s="266"/>
      <c r="X61" s="267"/>
      <c r="Y61" s="266"/>
      <c r="Z61" s="266"/>
      <c r="AA61" s="266"/>
      <c r="AB61" s="267"/>
      <c r="AC61" s="207">
        <v>0</v>
      </c>
      <c r="AE61" s="270"/>
    </row>
    <row r="62" spans="1:31">
      <c r="A62" s="270">
        <v>2058</v>
      </c>
      <c r="B62" s="275" t="s">
        <v>1250</v>
      </c>
      <c r="C62" t="s">
        <v>1251</v>
      </c>
      <c r="D62" t="s">
        <v>985</v>
      </c>
      <c r="I62" s="266"/>
      <c r="J62" s="266"/>
      <c r="K62" s="266"/>
      <c r="L62" s="267"/>
      <c r="M62" s="266"/>
      <c r="N62" s="266"/>
      <c r="O62" s="266"/>
      <c r="P62" s="267"/>
      <c r="Q62" s="266"/>
      <c r="R62" s="266"/>
      <c r="S62" s="266"/>
      <c r="T62" s="267"/>
      <c r="U62" s="266"/>
      <c r="V62" s="266"/>
      <c r="W62" s="266"/>
      <c r="X62" s="267"/>
      <c r="Y62" s="266"/>
      <c r="Z62" s="266"/>
      <c r="AA62" s="266"/>
      <c r="AB62" s="267"/>
      <c r="AC62" s="207">
        <v>0</v>
      </c>
      <c r="AE62" s="270"/>
    </row>
    <row r="63" spans="1:31">
      <c r="A63" s="270">
        <v>4074</v>
      </c>
      <c r="B63" s="275" t="s">
        <v>1323</v>
      </c>
      <c r="C63" t="s">
        <v>1324</v>
      </c>
      <c r="D63" t="s">
        <v>1290</v>
      </c>
      <c r="E63" s="266">
        <v>300000</v>
      </c>
      <c r="H63" s="267" t="s">
        <v>1420</v>
      </c>
      <c r="I63" s="266"/>
      <c r="J63" s="266"/>
      <c r="K63" s="266"/>
      <c r="L63" s="267"/>
      <c r="M63" s="266"/>
      <c r="N63" s="266"/>
      <c r="O63" s="266"/>
      <c r="P63" s="267"/>
      <c r="Q63" s="266">
        <v>226553</v>
      </c>
      <c r="R63" s="266"/>
      <c r="S63" s="266"/>
      <c r="T63" s="267" t="s">
        <v>1421</v>
      </c>
      <c r="U63" s="266"/>
      <c r="V63" s="266"/>
      <c r="W63" s="266"/>
      <c r="X63" s="267"/>
      <c r="Y63" s="266"/>
      <c r="Z63" s="266"/>
      <c r="AA63" s="266"/>
      <c r="AB63" s="267"/>
      <c r="AC63" s="207">
        <v>526553</v>
      </c>
      <c r="AE63" s="270"/>
    </row>
    <row r="64" spans="1:31">
      <c r="A64" s="270">
        <v>2071</v>
      </c>
      <c r="B64" s="275" t="s">
        <v>1264</v>
      </c>
      <c r="C64" t="s">
        <v>1265</v>
      </c>
      <c r="D64" t="s">
        <v>985</v>
      </c>
      <c r="I64" s="266"/>
      <c r="J64" s="266"/>
      <c r="K64" s="266"/>
      <c r="L64" s="267"/>
      <c r="M64" s="266"/>
      <c r="N64" s="266"/>
      <c r="O64" s="266"/>
      <c r="P64" s="267"/>
      <c r="Q64" s="266"/>
      <c r="R64" s="266"/>
      <c r="S64" s="266"/>
      <c r="T64" s="267"/>
      <c r="U64" s="266"/>
      <c r="V64" s="266"/>
      <c r="W64" s="266"/>
      <c r="X64" s="267"/>
      <c r="Y64" s="266"/>
      <c r="Z64" s="266"/>
      <c r="AA64" s="266"/>
      <c r="AB64" s="267"/>
      <c r="AC64" s="207">
        <v>0</v>
      </c>
      <c r="AE64" s="270"/>
    </row>
    <row r="65" spans="1:31">
      <c r="A65" s="270">
        <v>2074</v>
      </c>
      <c r="B65" s="275" t="s">
        <v>1272</v>
      </c>
      <c r="C65" t="s">
        <v>1273</v>
      </c>
      <c r="D65" t="s">
        <v>985</v>
      </c>
      <c r="I65" s="266"/>
      <c r="J65" s="266"/>
      <c r="K65" s="266"/>
      <c r="L65" s="267"/>
      <c r="M65" s="266"/>
      <c r="N65" s="266"/>
      <c r="O65" s="266"/>
      <c r="P65" s="267"/>
      <c r="Q65" s="266"/>
      <c r="R65" s="266"/>
      <c r="S65" s="266"/>
      <c r="T65" s="267"/>
      <c r="U65" s="266"/>
      <c r="V65" s="266"/>
      <c r="W65" s="266"/>
      <c r="X65" s="267"/>
      <c r="Y65" s="266">
        <v>13026</v>
      </c>
      <c r="Z65" s="266"/>
      <c r="AA65" s="266"/>
      <c r="AB65" s="267" t="s">
        <v>1422</v>
      </c>
      <c r="AC65" s="207">
        <v>13026</v>
      </c>
      <c r="AE65" s="270"/>
    </row>
    <row r="66" spans="1:31">
      <c r="A66" s="270">
        <v>2100</v>
      </c>
      <c r="B66" s="275" t="s">
        <v>1284</v>
      </c>
      <c r="C66" t="s">
        <v>1285</v>
      </c>
      <c r="D66" t="s">
        <v>985</v>
      </c>
      <c r="I66" s="266"/>
      <c r="J66" s="266"/>
      <c r="K66" s="266"/>
      <c r="L66" s="267"/>
      <c r="M66" s="266"/>
      <c r="N66" s="266"/>
      <c r="O66" s="266"/>
      <c r="P66" s="267"/>
      <c r="Q66" s="266"/>
      <c r="R66" s="266"/>
      <c r="S66" s="266"/>
      <c r="T66" s="267"/>
      <c r="U66" s="266"/>
      <c r="V66" s="266"/>
      <c r="W66" s="266"/>
      <c r="X66" s="267"/>
      <c r="Y66" s="266">
        <v>17364</v>
      </c>
      <c r="Z66" s="266"/>
      <c r="AA66" s="266"/>
      <c r="AB66" s="267" t="s">
        <v>1423</v>
      </c>
      <c r="AC66" s="207">
        <v>17364</v>
      </c>
      <c r="AE66" s="270"/>
    </row>
    <row r="67" spans="1:31" ht="13.8" thickBot="1">
      <c r="A67" s="270">
        <v>1103</v>
      </c>
      <c r="B67" s="275" t="s">
        <v>1424</v>
      </c>
      <c r="C67" t="s">
        <v>1425</v>
      </c>
      <c r="D67" t="s">
        <v>1347</v>
      </c>
      <c r="I67" s="266"/>
      <c r="J67" s="266"/>
      <c r="K67" s="266"/>
      <c r="L67" s="267"/>
      <c r="M67" s="266"/>
      <c r="N67" s="266"/>
      <c r="O67" s="266"/>
      <c r="P67" s="267"/>
      <c r="Q67" s="266"/>
      <c r="R67" s="266"/>
      <c r="S67" s="266"/>
      <c r="T67" s="267"/>
      <c r="U67" s="266"/>
      <c r="V67" s="266"/>
      <c r="W67" s="266"/>
      <c r="X67" s="267"/>
      <c r="Y67" s="266"/>
      <c r="Z67" s="266"/>
      <c r="AA67" s="266"/>
      <c r="AB67" s="267"/>
      <c r="AC67" s="207">
        <v>0</v>
      </c>
      <c r="AE67" s="270"/>
    </row>
    <row r="68" spans="1:31" ht="13.8" thickBot="1">
      <c r="C68" s="277" t="s">
        <v>1426</v>
      </c>
      <c r="E68" s="278">
        <v>704465</v>
      </c>
      <c r="F68" s="278">
        <v>0</v>
      </c>
      <c r="G68" s="279">
        <v>0</v>
      </c>
      <c r="I68" s="278">
        <v>0</v>
      </c>
      <c r="J68" s="278">
        <v>0</v>
      </c>
      <c r="K68" s="279">
        <v>0</v>
      </c>
      <c r="M68" s="278">
        <v>0</v>
      </c>
      <c r="N68" s="278">
        <v>0</v>
      </c>
      <c r="O68" s="279">
        <v>0</v>
      </c>
      <c r="Q68" s="278">
        <v>436138</v>
      </c>
      <c r="R68" s="278">
        <v>14429</v>
      </c>
      <c r="S68" s="279">
        <v>828890</v>
      </c>
      <c r="U68" s="278">
        <v>0</v>
      </c>
      <c r="V68" s="278">
        <v>0</v>
      </c>
      <c r="W68" s="279">
        <v>325013</v>
      </c>
      <c r="Y68" s="278">
        <v>609573</v>
      </c>
      <c r="Z68" s="278">
        <v>51183</v>
      </c>
      <c r="AA68" s="279">
        <v>359239</v>
      </c>
      <c r="AC68" s="280">
        <v>3328930</v>
      </c>
      <c r="AE68" s="270"/>
    </row>
    <row r="69" spans="1:31" ht="13.8" thickBot="1">
      <c r="C69" s="277" t="s">
        <v>1427</v>
      </c>
      <c r="G69" s="280">
        <v>704465</v>
      </c>
      <c r="I69" s="266"/>
      <c r="J69" s="266"/>
      <c r="K69" s="280">
        <v>0</v>
      </c>
      <c r="M69" s="266"/>
      <c r="N69" s="266"/>
      <c r="O69" s="280">
        <v>0</v>
      </c>
      <c r="Q69" s="266"/>
      <c r="R69" s="266"/>
      <c r="S69" s="280">
        <v>1279457</v>
      </c>
      <c r="U69" s="266"/>
      <c r="V69" s="266"/>
      <c r="W69" s="280">
        <v>325013</v>
      </c>
      <c r="Y69" s="266"/>
      <c r="Z69" s="266"/>
      <c r="AA69" s="280">
        <v>1019995</v>
      </c>
      <c r="AC69" s="281">
        <v>0</v>
      </c>
      <c r="AE69" s="270"/>
    </row>
    <row r="70" spans="1:31">
      <c r="E70" s="266">
        <v>5</v>
      </c>
      <c r="F70" s="266">
        <v>0</v>
      </c>
      <c r="I70" s="266">
        <v>0</v>
      </c>
      <c r="J70" s="266">
        <v>0</v>
      </c>
      <c r="M70" s="266">
        <v>0</v>
      </c>
      <c r="N70" s="266">
        <v>0</v>
      </c>
      <c r="Q70" s="266">
        <v>3</v>
      </c>
      <c r="R70" s="266">
        <v>1</v>
      </c>
      <c r="U70" s="266">
        <v>0</v>
      </c>
      <c r="V70" s="266">
        <v>0</v>
      </c>
      <c r="Y70" s="266">
        <v>7</v>
      </c>
      <c r="Z70" s="266">
        <v>1</v>
      </c>
      <c r="AE70" s="270"/>
    </row>
    <row r="71" spans="1:31">
      <c r="A71"/>
      <c r="B71"/>
      <c r="E71"/>
      <c r="F71"/>
      <c r="G71"/>
      <c r="H71"/>
      <c r="I71"/>
      <c r="J71"/>
      <c r="K71"/>
      <c r="L71"/>
      <c r="M71"/>
      <c r="N71"/>
      <c r="O71"/>
      <c r="P71"/>
      <c r="Q71"/>
      <c r="R71"/>
      <c r="S71"/>
      <c r="T71"/>
      <c r="U71"/>
      <c r="V71"/>
      <c r="W71"/>
      <c r="X71"/>
      <c r="Y71"/>
      <c r="Z71"/>
      <c r="AA71"/>
      <c r="AB71"/>
      <c r="AC71"/>
      <c r="AD71"/>
      <c r="AE71"/>
    </row>
    <row r="72" spans="1:31" hidden="1">
      <c r="A72"/>
      <c r="B72"/>
      <c r="C72" s="282" t="s">
        <v>1428</v>
      </c>
      <c r="E72"/>
      <c r="F72"/>
      <c r="G72"/>
      <c r="H72"/>
      <c r="I72"/>
      <c r="J72"/>
      <c r="K72"/>
      <c r="L72"/>
      <c r="M72"/>
      <c r="N72"/>
      <c r="O72"/>
      <c r="P72"/>
      <c r="Q72"/>
      <c r="R72"/>
      <c r="S72"/>
      <c r="T72"/>
      <c r="U72"/>
      <c r="V72"/>
      <c r="W72"/>
      <c r="X72"/>
      <c r="Y72"/>
      <c r="Z72"/>
      <c r="AA72"/>
      <c r="AB72"/>
      <c r="AC72"/>
      <c r="AD72"/>
      <c r="AE72"/>
    </row>
    <row r="73" spans="1:31" hidden="1">
      <c r="A73"/>
      <c r="B73"/>
      <c r="C73" s="283" t="s">
        <v>1429</v>
      </c>
      <c r="E73"/>
      <c r="F73"/>
      <c r="G73"/>
      <c r="H73"/>
      <c r="I73"/>
      <c r="J73"/>
      <c r="K73"/>
      <c r="L73"/>
      <c r="M73"/>
      <c r="N73"/>
      <c r="O73"/>
      <c r="P73"/>
      <c r="Q73"/>
      <c r="R73"/>
      <c r="S73"/>
      <c r="T73"/>
      <c r="U73"/>
      <c r="V73"/>
      <c r="W73"/>
      <c r="X73"/>
      <c r="Y73"/>
      <c r="Z73"/>
      <c r="AA73"/>
      <c r="AB73"/>
      <c r="AC73"/>
      <c r="AD73"/>
      <c r="AE73"/>
    </row>
    <row r="74" spans="1:31">
      <c r="A74"/>
      <c r="B74"/>
      <c r="C74" s="283"/>
      <c r="E74"/>
      <c r="F74"/>
      <c r="G74"/>
      <c r="H74"/>
      <c r="I74"/>
      <c r="J74"/>
      <c r="K74"/>
      <c r="L74"/>
      <c r="M74"/>
      <c r="N74"/>
      <c r="O74"/>
      <c r="P74"/>
      <c r="Q74"/>
      <c r="R74"/>
      <c r="S74"/>
      <c r="T74"/>
      <c r="U74"/>
      <c r="V74"/>
      <c r="W74"/>
      <c r="X74"/>
      <c r="Y74"/>
      <c r="Z74"/>
      <c r="AA74"/>
      <c r="AB74"/>
      <c r="AC74"/>
      <c r="AD74"/>
      <c r="AE74"/>
    </row>
    <row r="75" spans="1:31">
      <c r="A75"/>
      <c r="B75"/>
      <c r="C75" s="283"/>
      <c r="E75"/>
      <c r="F75"/>
      <c r="G75"/>
      <c r="H75"/>
      <c r="I75"/>
      <c r="J75"/>
      <c r="K75"/>
      <c r="L75"/>
      <c r="M75"/>
      <c r="N75"/>
      <c r="O75"/>
      <c r="P75"/>
      <c r="Q75"/>
      <c r="R75"/>
      <c r="S75"/>
      <c r="T75"/>
      <c r="U75"/>
      <c r="V75"/>
      <c r="W75"/>
      <c r="X75"/>
      <c r="Y75"/>
      <c r="Z75"/>
      <c r="AA75"/>
      <c r="AB75"/>
      <c r="AC75"/>
      <c r="AD75"/>
      <c r="AE75"/>
    </row>
    <row r="76" spans="1:31">
      <c r="A76"/>
      <c r="B76"/>
      <c r="C76" s="283"/>
      <c r="E76"/>
      <c r="F76"/>
      <c r="G76"/>
      <c r="H76"/>
      <c r="I76"/>
      <c r="J76"/>
      <c r="K76"/>
      <c r="L76"/>
      <c r="M76"/>
      <c r="N76"/>
      <c r="O76"/>
      <c r="P76"/>
      <c r="Q76"/>
      <c r="R76"/>
      <c r="S76"/>
      <c r="T76"/>
      <c r="U76"/>
      <c r="V76"/>
      <c r="W76"/>
      <c r="X76"/>
      <c r="Y76"/>
      <c r="Z76"/>
      <c r="AA76"/>
      <c r="AB76"/>
      <c r="AC76"/>
      <c r="AD76"/>
      <c r="AE76"/>
    </row>
    <row r="77" spans="1:31">
      <c r="A77"/>
      <c r="B77"/>
      <c r="C77" s="283"/>
      <c r="E77"/>
      <c r="F77"/>
      <c r="G77"/>
      <c r="H77"/>
      <c r="I77"/>
      <c r="J77"/>
      <c r="K77"/>
      <c r="L77"/>
      <c r="M77"/>
      <c r="N77"/>
      <c r="O77"/>
      <c r="P77"/>
      <c r="Q77"/>
      <c r="R77"/>
      <c r="S77"/>
      <c r="T77"/>
      <c r="U77"/>
      <c r="V77"/>
      <c r="W77"/>
      <c r="X77"/>
      <c r="Y77"/>
      <c r="Z77"/>
      <c r="AA77"/>
      <c r="AB77"/>
      <c r="AC77"/>
      <c r="AD77"/>
      <c r="AE77"/>
    </row>
    <row r="78" spans="1:31">
      <c r="A78"/>
      <c r="B78"/>
      <c r="C78" s="283"/>
      <c r="E78"/>
      <c r="F78"/>
      <c r="G78"/>
      <c r="H78"/>
      <c r="I78"/>
      <c r="J78"/>
      <c r="K78"/>
      <c r="L78"/>
      <c r="M78"/>
      <c r="N78"/>
      <c r="O78"/>
      <c r="P78"/>
      <c r="Q78"/>
      <c r="R78"/>
      <c r="S78"/>
      <c r="T78"/>
      <c r="U78"/>
      <c r="V78"/>
      <c r="W78"/>
      <c r="X78"/>
      <c r="Y78"/>
      <c r="Z78"/>
      <c r="AA78"/>
      <c r="AB78"/>
      <c r="AC78"/>
      <c r="AD78"/>
      <c r="AE78"/>
    </row>
    <row r="79" spans="1:31">
      <c r="A79"/>
      <c r="B79"/>
      <c r="C79" s="283"/>
      <c r="E79"/>
      <c r="F79"/>
      <c r="G79"/>
      <c r="H79"/>
      <c r="I79"/>
      <c r="J79"/>
      <c r="K79"/>
      <c r="L79"/>
      <c r="M79"/>
      <c r="N79"/>
      <c r="O79"/>
      <c r="P79"/>
      <c r="Q79"/>
      <c r="R79"/>
      <c r="S79"/>
      <c r="T79"/>
      <c r="U79"/>
      <c r="V79"/>
      <c r="W79"/>
      <c r="X79"/>
      <c r="Y79"/>
      <c r="Z79"/>
      <c r="AA79"/>
      <c r="AB79"/>
      <c r="AC79"/>
      <c r="AD79"/>
      <c r="AE79"/>
    </row>
  </sheetData>
  <phoneticPr fontId="16" type="noConversion"/>
  <pageMargins left="0.75" right="0.75" top="1" bottom="1" header="0.5" footer="0.5"/>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indexed="26"/>
    <pageSetUpPr fitToPage="1"/>
  </sheetPr>
  <dimension ref="A1:N90"/>
  <sheetViews>
    <sheetView showGridLines="0" topLeftCell="A31" workbookViewId="0">
      <selection activeCell="O67" sqref="O67"/>
    </sheetView>
  </sheetViews>
  <sheetFormatPr defaultRowHeight="13.2"/>
  <sheetData>
    <row r="1" spans="2:14">
      <c r="B1" s="11"/>
      <c r="C1" s="11"/>
      <c r="D1" s="11"/>
      <c r="E1" s="11"/>
      <c r="F1" s="11"/>
      <c r="G1" s="11"/>
      <c r="H1" s="11"/>
      <c r="I1" s="11"/>
      <c r="J1" s="11"/>
      <c r="K1" s="11"/>
      <c r="L1" s="11"/>
      <c r="M1" s="11"/>
      <c r="N1" s="11"/>
    </row>
    <row r="2" spans="2:14">
      <c r="B2" s="11"/>
      <c r="C2" s="11"/>
      <c r="D2" s="11"/>
      <c r="E2" s="11"/>
      <c r="F2" s="11"/>
      <c r="G2" s="11"/>
      <c r="H2" s="11"/>
      <c r="I2" s="11"/>
      <c r="J2" s="11"/>
      <c r="K2" s="11"/>
      <c r="L2" s="11"/>
      <c r="M2" s="11"/>
      <c r="N2" s="11"/>
    </row>
    <row r="3" spans="2:14">
      <c r="B3" s="11"/>
      <c r="C3" s="11"/>
      <c r="D3" s="11"/>
      <c r="E3" s="11"/>
      <c r="F3" s="11"/>
      <c r="G3" s="11"/>
      <c r="H3" s="11"/>
      <c r="I3" s="11"/>
      <c r="J3" s="11"/>
      <c r="K3" s="11"/>
      <c r="L3" s="11"/>
      <c r="M3" s="11"/>
      <c r="N3" s="11"/>
    </row>
    <row r="4" spans="2:14">
      <c r="B4" s="11"/>
      <c r="C4" s="11"/>
      <c r="D4" s="11"/>
      <c r="E4" s="11"/>
      <c r="F4" s="11"/>
      <c r="G4" s="11"/>
      <c r="H4" s="11"/>
      <c r="I4" s="11"/>
      <c r="J4" s="11"/>
      <c r="K4" s="11"/>
      <c r="L4" s="11"/>
      <c r="M4" s="11"/>
      <c r="N4" s="11"/>
    </row>
    <row r="5" spans="2:14">
      <c r="B5" s="11"/>
      <c r="C5" s="11"/>
      <c r="D5" s="11"/>
      <c r="E5" s="11"/>
      <c r="F5" s="11"/>
      <c r="G5" s="11"/>
      <c r="H5" s="11"/>
      <c r="I5" s="11"/>
      <c r="J5" s="11"/>
      <c r="K5" s="11"/>
      <c r="L5" s="11"/>
      <c r="M5" s="11"/>
      <c r="N5" s="11"/>
    </row>
    <row r="6" spans="2:14">
      <c r="B6" s="11"/>
      <c r="C6" s="11"/>
      <c r="D6" s="11"/>
      <c r="E6" s="11"/>
      <c r="F6" s="11"/>
      <c r="G6" s="11"/>
      <c r="H6" s="11"/>
      <c r="I6" s="11"/>
      <c r="J6" s="11"/>
      <c r="K6" s="11"/>
      <c r="L6" s="11"/>
      <c r="M6" s="11"/>
      <c r="N6" s="11"/>
    </row>
    <row r="7" spans="2:14">
      <c r="B7" s="11"/>
      <c r="C7" s="11"/>
      <c r="D7" s="11"/>
      <c r="E7" s="11"/>
      <c r="F7" s="11"/>
      <c r="G7" s="11"/>
      <c r="H7" s="11"/>
      <c r="I7" s="11"/>
      <c r="J7" s="11"/>
      <c r="K7" s="11"/>
      <c r="L7" s="11"/>
      <c r="M7" s="11"/>
      <c r="N7" s="11"/>
    </row>
    <row r="8" spans="2:14">
      <c r="B8" s="11"/>
      <c r="C8" s="11"/>
      <c r="D8" s="11"/>
      <c r="E8" s="11"/>
      <c r="F8" s="11"/>
      <c r="G8" s="11"/>
      <c r="H8" s="11"/>
      <c r="I8" s="11"/>
      <c r="J8" s="11"/>
      <c r="K8" s="11"/>
      <c r="L8" s="11"/>
      <c r="M8" s="11"/>
      <c r="N8" s="11"/>
    </row>
    <row r="9" spans="2:14">
      <c r="B9" s="11"/>
      <c r="C9" s="11"/>
      <c r="D9" s="11"/>
      <c r="E9" s="11"/>
      <c r="F9" s="11"/>
      <c r="G9" s="11"/>
      <c r="H9" s="11"/>
      <c r="I9" s="11"/>
      <c r="J9" s="11"/>
      <c r="K9" s="11"/>
      <c r="L9" s="11"/>
      <c r="M9" s="11"/>
      <c r="N9" s="11"/>
    </row>
    <row r="10" spans="2:14">
      <c r="B10" s="11"/>
      <c r="C10" s="11"/>
      <c r="D10" s="11"/>
      <c r="E10" s="11"/>
      <c r="F10" s="11"/>
      <c r="G10" s="11"/>
      <c r="H10" s="11"/>
      <c r="I10" s="11"/>
      <c r="J10" s="11"/>
      <c r="K10" s="11"/>
      <c r="L10" s="11"/>
      <c r="M10" s="11"/>
      <c r="N10" s="11"/>
    </row>
    <row r="11" spans="2:14">
      <c r="B11" s="11"/>
      <c r="C11" s="11"/>
      <c r="D11" s="11"/>
      <c r="E11" s="11"/>
      <c r="F11" s="11"/>
      <c r="G11" s="11"/>
      <c r="H11" s="11"/>
      <c r="I11" s="11"/>
      <c r="J11" s="11"/>
      <c r="K11" s="11"/>
      <c r="L11" s="11"/>
      <c r="M11" s="11"/>
      <c r="N11" s="11"/>
    </row>
    <row r="12" spans="2:14">
      <c r="B12" s="11"/>
      <c r="C12" s="11"/>
      <c r="D12" s="11"/>
      <c r="E12" s="11"/>
      <c r="F12" s="11"/>
      <c r="G12" s="11"/>
      <c r="H12" s="11"/>
      <c r="I12" s="11"/>
      <c r="J12" s="11"/>
      <c r="K12" s="11"/>
      <c r="L12" s="11"/>
      <c r="M12" s="11"/>
      <c r="N12" s="11"/>
    </row>
    <row r="13" spans="2:14">
      <c r="B13" s="11"/>
      <c r="C13" s="11"/>
      <c r="D13" s="11"/>
      <c r="E13" s="11"/>
      <c r="F13" s="11"/>
      <c r="G13" s="11"/>
      <c r="H13" s="11"/>
      <c r="I13" s="11"/>
      <c r="J13" s="11"/>
      <c r="K13" s="11"/>
      <c r="L13" s="11"/>
      <c r="M13" s="11"/>
      <c r="N13" s="11"/>
    </row>
    <row r="14" spans="2:14">
      <c r="B14" s="11"/>
      <c r="C14" s="11"/>
      <c r="D14" s="11"/>
      <c r="E14" s="11"/>
      <c r="F14" s="11"/>
      <c r="G14" s="11"/>
      <c r="H14" s="11"/>
      <c r="I14" s="11"/>
      <c r="J14" s="11"/>
      <c r="K14" s="11"/>
      <c r="L14" s="11"/>
      <c r="M14" s="11"/>
      <c r="N14" s="11"/>
    </row>
    <row r="15" spans="2:14">
      <c r="B15" s="11"/>
      <c r="C15" s="11"/>
      <c r="D15" s="11"/>
      <c r="E15" s="11"/>
      <c r="F15" s="11"/>
      <c r="G15" s="11"/>
      <c r="H15" s="11"/>
      <c r="I15" s="11"/>
      <c r="J15" s="11"/>
      <c r="K15" s="11"/>
      <c r="L15" s="11"/>
      <c r="M15" s="11"/>
      <c r="N15" s="11"/>
    </row>
    <row r="16" spans="2:14">
      <c r="B16" s="11"/>
      <c r="C16" s="11"/>
      <c r="D16" s="11"/>
      <c r="E16" s="11"/>
      <c r="F16" s="11"/>
      <c r="G16" s="11"/>
      <c r="H16" s="11"/>
      <c r="I16" s="11"/>
      <c r="J16" s="11"/>
      <c r="K16" s="11"/>
      <c r="L16" s="11"/>
      <c r="M16" s="11"/>
      <c r="N16" s="11"/>
    </row>
    <row r="17" spans="2:14">
      <c r="B17" s="11"/>
      <c r="C17" s="11"/>
      <c r="D17" s="11"/>
      <c r="E17" s="11"/>
      <c r="F17" s="11"/>
      <c r="G17" s="11"/>
      <c r="H17" s="11"/>
      <c r="I17" s="11"/>
      <c r="J17" s="11"/>
      <c r="K17" s="11"/>
      <c r="L17" s="11"/>
      <c r="M17" s="11"/>
      <c r="N17" s="11"/>
    </row>
    <row r="18" spans="2:14">
      <c r="B18" s="11"/>
      <c r="C18" s="11"/>
      <c r="D18" s="11"/>
      <c r="E18" s="11"/>
      <c r="F18" s="11"/>
      <c r="G18" s="11"/>
      <c r="H18" s="11"/>
      <c r="I18" s="11"/>
      <c r="J18" s="11"/>
      <c r="K18" s="11"/>
      <c r="L18" s="11"/>
      <c r="M18" s="11"/>
      <c r="N18" s="11"/>
    </row>
    <row r="19" spans="2:14">
      <c r="B19" s="11"/>
      <c r="C19" s="11"/>
      <c r="D19" s="11"/>
      <c r="E19" s="11"/>
      <c r="F19" s="11"/>
      <c r="G19" s="11"/>
      <c r="H19" s="11"/>
      <c r="I19" s="11"/>
      <c r="J19" s="11"/>
      <c r="K19" s="11"/>
      <c r="L19" s="11"/>
      <c r="M19" s="11"/>
      <c r="N19" s="11"/>
    </row>
    <row r="20" spans="2:14">
      <c r="B20" s="11"/>
      <c r="C20" s="11"/>
      <c r="D20" s="11"/>
      <c r="E20" s="11"/>
      <c r="F20" s="11"/>
      <c r="G20" s="11"/>
      <c r="H20" s="11"/>
      <c r="I20" s="11"/>
      <c r="J20" s="11"/>
      <c r="K20" s="11"/>
      <c r="L20" s="11"/>
      <c r="M20" s="11"/>
      <c r="N20" s="11"/>
    </row>
    <row r="21" spans="2:14">
      <c r="B21" s="11"/>
      <c r="C21" s="11"/>
      <c r="D21" s="11"/>
      <c r="E21" s="11"/>
      <c r="F21" s="11"/>
      <c r="G21" s="11"/>
      <c r="H21" s="11"/>
      <c r="I21" s="11"/>
      <c r="J21" s="11"/>
      <c r="K21" s="11"/>
      <c r="L21" s="11"/>
      <c r="M21" s="11"/>
      <c r="N21" s="11"/>
    </row>
    <row r="22" spans="2:14">
      <c r="B22" s="11"/>
      <c r="C22" s="11"/>
      <c r="D22" s="11"/>
      <c r="E22" s="11"/>
      <c r="F22" s="11"/>
      <c r="G22" s="11"/>
      <c r="H22" s="11"/>
      <c r="I22" s="11"/>
      <c r="J22" s="11"/>
      <c r="K22" s="11"/>
      <c r="L22" s="11"/>
      <c r="M22" s="11"/>
      <c r="N22" s="11"/>
    </row>
    <row r="23" spans="2:14">
      <c r="B23" s="11"/>
      <c r="C23" s="11"/>
      <c r="D23" s="11"/>
      <c r="E23" s="11"/>
      <c r="F23" s="11"/>
      <c r="G23" s="11"/>
      <c r="H23" s="11"/>
      <c r="I23" s="11"/>
      <c r="J23" s="11"/>
      <c r="K23" s="11"/>
      <c r="L23" s="11"/>
      <c r="M23" s="11"/>
      <c r="N23" s="11"/>
    </row>
    <row r="24" spans="2:14">
      <c r="B24" s="11"/>
      <c r="C24" s="11"/>
      <c r="D24" s="11"/>
      <c r="E24" s="11"/>
      <c r="F24" s="11"/>
      <c r="G24" s="11"/>
      <c r="H24" s="11"/>
      <c r="I24" s="11"/>
      <c r="J24" s="11"/>
      <c r="K24" s="11"/>
      <c r="L24" s="11"/>
      <c r="M24" s="11"/>
      <c r="N24" s="11"/>
    </row>
    <row r="25" spans="2:14">
      <c r="B25" s="11"/>
      <c r="C25" s="11"/>
      <c r="D25" s="11"/>
      <c r="E25" s="11"/>
      <c r="F25" s="11"/>
      <c r="G25" s="11"/>
      <c r="H25" s="11"/>
      <c r="I25" s="11"/>
      <c r="J25" s="11"/>
      <c r="K25" s="11"/>
      <c r="L25" s="11"/>
      <c r="M25" s="11"/>
      <c r="N25" s="11"/>
    </row>
    <row r="26" spans="2:14">
      <c r="B26" s="11"/>
      <c r="C26" s="11"/>
      <c r="D26" s="11"/>
      <c r="E26" s="11"/>
      <c r="F26" s="11"/>
      <c r="G26" s="11"/>
      <c r="H26" s="11"/>
      <c r="I26" s="11"/>
      <c r="J26" s="11"/>
      <c r="K26" s="11"/>
      <c r="L26" s="11"/>
      <c r="M26" s="11"/>
      <c r="N26" s="11"/>
    </row>
    <row r="27" spans="2:14">
      <c r="B27" s="11"/>
      <c r="C27" s="11"/>
      <c r="D27" s="11"/>
      <c r="E27" s="11"/>
      <c r="F27" s="11"/>
      <c r="G27" s="11"/>
      <c r="H27" s="11"/>
      <c r="I27" s="11"/>
      <c r="J27" s="11"/>
      <c r="K27" s="11"/>
      <c r="L27" s="11"/>
      <c r="M27" s="11"/>
      <c r="N27" s="11"/>
    </row>
    <row r="28" spans="2:14">
      <c r="B28" s="11"/>
      <c r="C28" s="11"/>
      <c r="D28" s="11"/>
      <c r="E28" s="11"/>
      <c r="F28" s="11"/>
      <c r="G28" s="11"/>
      <c r="H28" s="11"/>
      <c r="I28" s="11"/>
      <c r="J28" s="11"/>
      <c r="K28" s="11"/>
      <c r="L28" s="11"/>
      <c r="M28" s="11"/>
      <c r="N28" s="11"/>
    </row>
    <row r="29" spans="2:14">
      <c r="B29" s="11"/>
      <c r="C29" s="11"/>
      <c r="D29" s="11"/>
      <c r="E29" s="11"/>
      <c r="F29" s="11"/>
      <c r="G29" s="11"/>
      <c r="H29" s="11"/>
      <c r="I29" s="11"/>
      <c r="J29" s="11"/>
      <c r="K29" s="11"/>
      <c r="L29" s="11"/>
      <c r="M29" s="11"/>
      <c r="N29" s="11"/>
    </row>
    <row r="30" spans="2:14">
      <c r="B30" s="11"/>
      <c r="C30" s="11"/>
      <c r="D30" s="11"/>
      <c r="E30" s="11"/>
      <c r="F30" s="11"/>
      <c r="G30" s="11"/>
      <c r="H30" s="11"/>
      <c r="I30" s="11"/>
      <c r="J30" s="11"/>
      <c r="K30" s="11"/>
      <c r="L30" s="11"/>
      <c r="M30" s="11"/>
      <c r="N30" s="11"/>
    </row>
    <row r="31" spans="2:14">
      <c r="B31" s="11"/>
      <c r="C31" s="11"/>
      <c r="D31" s="11"/>
      <c r="E31" s="11"/>
      <c r="F31" s="11"/>
      <c r="G31" s="11"/>
      <c r="H31" s="11"/>
      <c r="I31" s="11"/>
      <c r="J31" s="11"/>
      <c r="K31" s="11"/>
      <c r="L31" s="11"/>
      <c r="M31" s="11"/>
      <c r="N31" s="11"/>
    </row>
    <row r="32" spans="2:14">
      <c r="B32" s="11"/>
      <c r="C32" s="11"/>
      <c r="D32" s="11"/>
      <c r="E32" s="11"/>
      <c r="F32" s="11"/>
      <c r="G32" s="11"/>
      <c r="H32" s="11"/>
      <c r="I32" s="11"/>
      <c r="J32" s="11"/>
      <c r="K32" s="11"/>
      <c r="L32" s="11"/>
      <c r="M32" s="11"/>
      <c r="N32" s="11"/>
    </row>
    <row r="33" spans="2:14">
      <c r="B33" s="11"/>
      <c r="C33" s="11"/>
      <c r="D33" s="11"/>
      <c r="E33" s="11"/>
      <c r="F33" s="11"/>
      <c r="G33" s="11"/>
      <c r="H33" s="11"/>
      <c r="I33" s="11"/>
      <c r="J33" s="11"/>
      <c r="K33" s="11"/>
      <c r="L33" s="11"/>
      <c r="M33" s="11"/>
      <c r="N33" s="11"/>
    </row>
    <row r="34" spans="2:14">
      <c r="B34" s="11"/>
      <c r="C34" s="11"/>
      <c r="D34" s="11"/>
      <c r="E34" s="11"/>
      <c r="F34" s="11"/>
      <c r="G34" s="11"/>
      <c r="H34" s="11"/>
      <c r="I34" s="11"/>
      <c r="J34" s="11"/>
      <c r="K34" s="11"/>
      <c r="L34" s="11"/>
      <c r="M34" s="11"/>
      <c r="N34" s="11"/>
    </row>
    <row r="35" spans="2:14">
      <c r="B35" s="11"/>
      <c r="C35" s="11"/>
      <c r="D35" s="11"/>
      <c r="E35" s="11"/>
      <c r="F35" s="11"/>
      <c r="G35" s="11"/>
      <c r="H35" s="11"/>
      <c r="I35" s="11"/>
      <c r="J35" s="11"/>
      <c r="K35" s="11"/>
      <c r="L35" s="11"/>
      <c r="M35" s="11"/>
      <c r="N35" s="11"/>
    </row>
    <row r="36" spans="2:14">
      <c r="B36" s="11"/>
      <c r="C36" s="11"/>
      <c r="D36" s="11"/>
      <c r="E36" s="11"/>
      <c r="F36" s="11"/>
      <c r="G36" s="11"/>
      <c r="H36" s="11"/>
      <c r="I36" s="11"/>
      <c r="J36" s="11"/>
      <c r="K36" s="11"/>
      <c r="L36" s="11"/>
      <c r="M36" s="11"/>
      <c r="N36" s="11"/>
    </row>
    <row r="37" spans="2:14">
      <c r="B37" s="11"/>
      <c r="C37" s="11"/>
      <c r="D37" s="11"/>
      <c r="E37" s="11"/>
      <c r="F37" s="11"/>
      <c r="G37" s="11"/>
      <c r="H37" s="11"/>
      <c r="I37" s="11"/>
      <c r="J37" s="11"/>
      <c r="K37" s="11"/>
      <c r="L37" s="11"/>
      <c r="M37" s="11"/>
      <c r="N37" s="11"/>
    </row>
    <row r="38" spans="2:14">
      <c r="B38" s="11"/>
      <c r="C38" s="11"/>
      <c r="D38" s="11"/>
      <c r="E38" s="11"/>
      <c r="F38" s="11"/>
      <c r="G38" s="11"/>
      <c r="H38" s="11"/>
      <c r="I38" s="11"/>
      <c r="J38" s="11"/>
      <c r="K38" s="11"/>
      <c r="L38" s="11"/>
      <c r="M38" s="11"/>
      <c r="N38" s="11"/>
    </row>
    <row r="39" spans="2:14">
      <c r="B39" s="11"/>
      <c r="C39" s="11"/>
      <c r="D39" s="11"/>
      <c r="E39" s="11"/>
      <c r="F39" s="11"/>
      <c r="G39" s="11"/>
      <c r="H39" s="11"/>
      <c r="I39" s="11"/>
      <c r="J39" s="11"/>
      <c r="K39" s="11"/>
      <c r="L39" s="11"/>
      <c r="M39" s="11"/>
      <c r="N39" s="11"/>
    </row>
    <row r="40" spans="2:14">
      <c r="B40" s="11"/>
      <c r="C40" s="11"/>
      <c r="D40" s="11"/>
      <c r="E40" s="11"/>
      <c r="F40" s="11"/>
      <c r="G40" s="11"/>
      <c r="H40" s="11"/>
      <c r="I40" s="11"/>
      <c r="J40" s="11"/>
      <c r="K40" s="11"/>
      <c r="L40" s="11"/>
      <c r="M40" s="11"/>
      <c r="N40" s="11"/>
    </row>
    <row r="41" spans="2:14">
      <c r="B41" s="11"/>
      <c r="C41" s="11"/>
      <c r="D41" s="11"/>
      <c r="E41" s="11"/>
      <c r="F41" s="11"/>
      <c r="G41" s="11"/>
      <c r="H41" s="11"/>
      <c r="I41" s="11"/>
      <c r="J41" s="11"/>
      <c r="K41" s="11"/>
      <c r="L41" s="11"/>
      <c r="M41" s="11"/>
      <c r="N41" s="11"/>
    </row>
    <row r="42" spans="2:14">
      <c r="B42" s="11"/>
      <c r="C42" s="11"/>
      <c r="D42" s="11"/>
      <c r="E42" s="11"/>
      <c r="F42" s="11"/>
      <c r="G42" s="11"/>
      <c r="H42" s="11"/>
      <c r="I42" s="11"/>
      <c r="J42" s="11"/>
      <c r="K42" s="11"/>
      <c r="L42" s="11"/>
      <c r="M42" s="11"/>
      <c r="N42" s="11"/>
    </row>
    <row r="43" spans="2:14">
      <c r="B43" s="11"/>
      <c r="C43" s="11"/>
      <c r="D43" s="11"/>
      <c r="E43" s="11"/>
      <c r="F43" s="11"/>
      <c r="G43" s="11"/>
      <c r="H43" s="11"/>
      <c r="I43" s="11"/>
      <c r="J43" s="11"/>
      <c r="K43" s="11"/>
      <c r="L43" s="11"/>
      <c r="M43" s="11"/>
      <c r="N43" s="11"/>
    </row>
    <row r="44" spans="2:14">
      <c r="B44" s="11"/>
      <c r="C44" s="11"/>
      <c r="D44" s="11"/>
      <c r="E44" s="11"/>
      <c r="F44" s="11"/>
      <c r="G44" s="11"/>
      <c r="H44" s="11"/>
      <c r="I44" s="11"/>
      <c r="J44" s="11"/>
      <c r="K44" s="11"/>
      <c r="L44" s="11"/>
      <c r="M44" s="11"/>
      <c r="N44" s="11"/>
    </row>
    <row r="45" spans="2:14">
      <c r="B45" s="11"/>
      <c r="C45" s="11"/>
      <c r="D45" s="11"/>
      <c r="E45" s="11"/>
      <c r="F45" s="11"/>
      <c r="G45" s="11"/>
      <c r="H45" s="11"/>
      <c r="I45" s="11"/>
      <c r="J45" s="11"/>
      <c r="K45" s="11"/>
      <c r="L45" s="11"/>
      <c r="M45" s="11"/>
      <c r="N45" s="11"/>
    </row>
    <row r="46" spans="2:14">
      <c r="B46" s="11"/>
      <c r="C46" s="11"/>
      <c r="D46" s="11"/>
      <c r="E46" s="11"/>
      <c r="F46" s="11"/>
      <c r="G46" s="11"/>
      <c r="H46" s="11"/>
      <c r="I46" s="11"/>
      <c r="J46" s="11"/>
      <c r="K46" s="11"/>
      <c r="L46" s="11"/>
      <c r="M46" s="11"/>
      <c r="N46" s="11"/>
    </row>
    <row r="47" spans="2:14">
      <c r="B47" s="11"/>
      <c r="C47" s="11"/>
      <c r="D47" s="11"/>
      <c r="E47" s="11"/>
      <c r="F47" s="11"/>
      <c r="G47" s="11"/>
      <c r="H47" s="11"/>
      <c r="I47" s="11"/>
      <c r="J47" s="11"/>
      <c r="K47" s="11"/>
      <c r="L47" s="11"/>
      <c r="M47" s="11"/>
      <c r="N47" s="11"/>
    </row>
    <row r="48" spans="2:14">
      <c r="B48" s="11"/>
      <c r="C48" s="11"/>
      <c r="D48" s="11"/>
      <c r="E48" s="11"/>
      <c r="F48" s="11"/>
      <c r="G48" s="11"/>
      <c r="H48" s="11"/>
      <c r="I48" s="11"/>
      <c r="J48" s="11"/>
      <c r="K48" s="11"/>
      <c r="L48" s="11"/>
      <c r="M48" s="11"/>
      <c r="N48" s="11"/>
    </row>
    <row r="49" spans="2:14">
      <c r="B49" s="11"/>
      <c r="C49" s="11"/>
      <c r="D49" s="11"/>
      <c r="E49" s="11"/>
      <c r="F49" s="11"/>
      <c r="G49" s="11"/>
      <c r="H49" s="11"/>
      <c r="I49" s="11"/>
      <c r="J49" s="11"/>
      <c r="K49" s="11"/>
      <c r="L49" s="11"/>
      <c r="M49" s="11"/>
      <c r="N49" s="11"/>
    </row>
    <row r="50" spans="2:14">
      <c r="B50" s="11"/>
      <c r="C50" s="11"/>
      <c r="D50" s="11"/>
      <c r="E50" s="11"/>
      <c r="F50" s="11"/>
      <c r="G50" s="11"/>
      <c r="H50" s="11"/>
      <c r="I50" s="11"/>
      <c r="J50" s="11"/>
      <c r="K50" s="11"/>
      <c r="L50" s="11"/>
      <c r="M50" s="11"/>
      <c r="N50" s="11"/>
    </row>
    <row r="51" spans="2:14">
      <c r="B51" s="11"/>
      <c r="C51" s="11"/>
      <c r="D51" s="11"/>
      <c r="E51" s="11"/>
      <c r="F51" s="11"/>
      <c r="G51" s="11"/>
      <c r="H51" s="11"/>
      <c r="I51" s="11"/>
      <c r="J51" s="11"/>
      <c r="K51" s="11"/>
      <c r="L51" s="11"/>
      <c r="M51" s="11"/>
      <c r="N51" s="11"/>
    </row>
    <row r="67" spans="1:14">
      <c r="A67" s="97"/>
      <c r="B67" s="97"/>
      <c r="C67" s="97"/>
      <c r="D67" s="97"/>
      <c r="E67" s="97"/>
      <c r="F67" s="97"/>
      <c r="G67" s="97"/>
      <c r="H67" s="97"/>
      <c r="I67" s="97"/>
      <c r="J67" s="97"/>
      <c r="K67" s="98"/>
      <c r="L67" s="98"/>
      <c r="M67" s="98"/>
      <c r="N67" s="98"/>
    </row>
    <row r="68" spans="1:14">
      <c r="A68" s="99" t="s">
        <v>385</v>
      </c>
      <c r="B68" s="98"/>
      <c r="C68" s="98"/>
      <c r="D68" s="98"/>
      <c r="E68" s="98"/>
      <c r="F68" s="98"/>
      <c r="G68" s="98"/>
      <c r="H68" s="98"/>
      <c r="I68" s="98"/>
      <c r="J68" s="98"/>
      <c r="K68" s="98"/>
      <c r="L68" s="98"/>
      <c r="M68" s="98"/>
      <c r="N68" s="98"/>
    </row>
    <row r="69" spans="1:14">
      <c r="A69" s="98"/>
      <c r="B69" s="98"/>
      <c r="C69" s="98"/>
      <c r="D69" s="98"/>
      <c r="E69" s="98"/>
      <c r="F69" s="98"/>
      <c r="G69" s="98"/>
      <c r="H69" s="98"/>
      <c r="I69" s="98"/>
      <c r="J69" s="98"/>
      <c r="K69" s="98"/>
      <c r="L69" s="98"/>
      <c r="M69" s="98"/>
      <c r="N69" s="98"/>
    </row>
    <row r="70" spans="1:14">
      <c r="A70" s="98" t="s">
        <v>386</v>
      </c>
      <c r="B70" s="98"/>
      <c r="C70" s="98"/>
      <c r="D70" s="98"/>
      <c r="E70" s="98"/>
      <c r="F70" s="98"/>
      <c r="G70" s="98"/>
      <c r="H70" s="98"/>
      <c r="I70" s="98"/>
      <c r="J70" s="98"/>
      <c r="K70" s="98"/>
      <c r="L70" s="98"/>
      <c r="M70" s="98"/>
      <c r="N70" s="98"/>
    </row>
    <row r="71" spans="1:14" ht="13.8" thickBot="1">
      <c r="A71" s="98"/>
      <c r="B71" s="98"/>
      <c r="C71" s="98"/>
      <c r="D71" s="98"/>
      <c r="E71" s="98"/>
      <c r="F71" s="98"/>
      <c r="G71" s="98"/>
      <c r="H71" s="98"/>
      <c r="I71" s="98"/>
      <c r="J71" s="98"/>
      <c r="K71" s="98"/>
      <c r="L71" s="98"/>
      <c r="M71" s="98"/>
      <c r="N71" s="98"/>
    </row>
    <row r="72" spans="1:14">
      <c r="A72" s="100" t="s">
        <v>387</v>
      </c>
      <c r="B72" s="100" t="s">
        <v>388</v>
      </c>
      <c r="C72" s="100" t="s">
        <v>389</v>
      </c>
      <c r="D72" s="100" t="s">
        <v>390</v>
      </c>
      <c r="E72" s="100" t="s">
        <v>391</v>
      </c>
      <c r="F72" s="98"/>
      <c r="G72" s="101" t="s">
        <v>392</v>
      </c>
      <c r="H72" s="100" t="s">
        <v>393</v>
      </c>
      <c r="I72" s="372" t="s">
        <v>394</v>
      </c>
      <c r="J72" s="98"/>
      <c r="K72" s="98"/>
      <c r="L72" s="98"/>
      <c r="M72" s="98"/>
      <c r="N72" s="98"/>
    </row>
    <row r="73" spans="1:14">
      <c r="A73" s="102"/>
      <c r="B73" s="102"/>
      <c r="C73" s="102"/>
      <c r="D73" s="102"/>
      <c r="E73" s="102"/>
      <c r="F73" s="98"/>
      <c r="G73" s="373" t="s">
        <v>395</v>
      </c>
      <c r="H73" s="102" t="s">
        <v>396</v>
      </c>
      <c r="I73" s="102" t="s">
        <v>397</v>
      </c>
      <c r="J73" s="98"/>
      <c r="K73" s="98"/>
      <c r="L73" s="98"/>
      <c r="M73" s="98"/>
      <c r="N73" s="98"/>
    </row>
    <row r="74" spans="1:14" ht="13.8" thickBot="1">
      <c r="A74" s="103"/>
      <c r="B74" s="103"/>
      <c r="C74" s="103"/>
      <c r="D74" s="103"/>
      <c r="E74" s="103"/>
      <c r="F74" s="98"/>
      <c r="G74" s="104" t="s">
        <v>398</v>
      </c>
      <c r="H74" s="103"/>
      <c r="I74" s="103"/>
      <c r="J74" s="98"/>
      <c r="K74" s="98"/>
      <c r="L74" s="98"/>
      <c r="M74" s="98"/>
      <c r="N74" s="98"/>
    </row>
    <row r="75" spans="1:14">
      <c r="A75" s="98"/>
      <c r="B75" s="98"/>
      <c r="C75" s="98"/>
      <c r="D75" s="98"/>
      <c r="E75" s="98"/>
      <c r="F75" s="98"/>
      <c r="G75" s="98"/>
      <c r="H75" s="98"/>
      <c r="I75" s="98"/>
      <c r="J75" s="98"/>
      <c r="K75" s="98"/>
      <c r="L75" s="98"/>
      <c r="M75" s="98"/>
      <c r="N75" s="98"/>
    </row>
    <row r="76" spans="1:14">
      <c r="A76" s="98" t="s">
        <v>399</v>
      </c>
      <c r="B76" s="98"/>
      <c r="C76" s="98"/>
      <c r="D76" s="98"/>
      <c r="E76" s="98"/>
      <c r="F76" s="98"/>
      <c r="G76" s="98"/>
      <c r="H76" s="98"/>
      <c r="I76" s="98"/>
      <c r="J76" s="98"/>
      <c r="K76" s="98"/>
      <c r="L76" s="98"/>
      <c r="M76" s="98"/>
      <c r="N76" s="98"/>
    </row>
    <row r="77" spans="1:14">
      <c r="A77" s="98"/>
      <c r="B77" s="98"/>
      <c r="C77" s="98"/>
      <c r="D77" s="98"/>
      <c r="E77" s="98"/>
      <c r="F77" s="98"/>
      <c r="G77" s="98"/>
      <c r="H77" s="98"/>
      <c r="I77" s="98"/>
      <c r="J77" s="98"/>
      <c r="K77" s="98"/>
      <c r="L77" s="98"/>
      <c r="M77" s="98"/>
      <c r="N77" s="98"/>
    </row>
    <row r="78" spans="1:14">
      <c r="A78" s="98" t="s">
        <v>400</v>
      </c>
      <c r="B78" s="98"/>
      <c r="C78" s="98"/>
      <c r="D78" s="98"/>
      <c r="E78" s="98"/>
      <c r="F78" s="98"/>
      <c r="G78" s="98"/>
      <c r="H78" s="98"/>
      <c r="I78" s="98"/>
      <c r="J78" s="98"/>
      <c r="K78" s="98"/>
      <c r="L78" s="98"/>
      <c r="M78" s="98"/>
      <c r="N78" s="98"/>
    </row>
    <row r="79" spans="1:14">
      <c r="A79" s="98" t="s">
        <v>401</v>
      </c>
      <c r="B79" s="98"/>
      <c r="C79" s="98"/>
      <c r="D79" s="98"/>
      <c r="E79" s="98"/>
      <c r="F79" s="98"/>
      <c r="G79" s="98"/>
      <c r="H79" s="98"/>
      <c r="I79" s="98"/>
      <c r="J79" s="98"/>
      <c r="K79" s="98"/>
      <c r="L79" s="98"/>
      <c r="M79" s="98"/>
      <c r="N79" s="98"/>
    </row>
    <row r="80" spans="1:14">
      <c r="A80" s="98"/>
      <c r="B80" s="98"/>
      <c r="C80" s="98"/>
      <c r="D80" s="98"/>
      <c r="E80" s="98"/>
      <c r="F80" s="98"/>
      <c r="G80" s="98"/>
      <c r="H80" s="98"/>
      <c r="I80" s="98"/>
      <c r="J80" s="98"/>
      <c r="K80" s="98"/>
      <c r="L80" s="98"/>
      <c r="M80" s="98"/>
      <c r="N80" s="98"/>
    </row>
    <row r="81" spans="1:14">
      <c r="A81" s="98" t="s">
        <v>402</v>
      </c>
      <c r="B81" s="98"/>
      <c r="C81" s="98"/>
      <c r="D81" s="98"/>
      <c r="E81" s="98"/>
      <c r="F81" s="98"/>
      <c r="G81" s="98"/>
      <c r="H81" s="98"/>
      <c r="I81" s="98"/>
      <c r="J81" s="98"/>
      <c r="K81" s="98"/>
      <c r="L81" s="98"/>
      <c r="M81" s="98"/>
      <c r="N81" s="98"/>
    </row>
    <row r="82" spans="1:14">
      <c r="A82" s="98"/>
      <c r="B82" s="98"/>
      <c r="C82" s="98"/>
      <c r="D82" s="98"/>
      <c r="E82" s="98"/>
      <c r="F82" s="98"/>
      <c r="G82" s="98"/>
      <c r="H82" s="98"/>
      <c r="I82" s="98"/>
      <c r="J82" s="98"/>
      <c r="K82" s="98"/>
      <c r="L82" s="98"/>
      <c r="M82" s="98"/>
      <c r="N82" s="98"/>
    </row>
    <row r="83" spans="1:14">
      <c r="A83" s="98" t="s">
        <v>403</v>
      </c>
      <c r="B83" s="98"/>
      <c r="C83" s="98"/>
      <c r="D83" s="98"/>
      <c r="E83" s="98"/>
      <c r="F83" s="98"/>
      <c r="G83" s="98"/>
      <c r="H83" s="98"/>
      <c r="I83" s="98"/>
      <c r="J83" s="98"/>
      <c r="K83" s="98"/>
      <c r="L83" s="98"/>
      <c r="M83" s="98"/>
      <c r="N83" s="98"/>
    </row>
    <row r="84" spans="1:14">
      <c r="A84" s="97"/>
      <c r="B84" s="97"/>
      <c r="C84" s="97"/>
      <c r="D84" s="97"/>
      <c r="E84" s="97"/>
      <c r="F84" s="97"/>
      <c r="G84" s="97"/>
      <c r="H84" s="97"/>
      <c r="I84" s="97"/>
      <c r="J84" s="97"/>
      <c r="K84" s="98"/>
      <c r="L84" s="98"/>
      <c r="M84" s="98"/>
      <c r="N84" s="98"/>
    </row>
    <row r="85" spans="1:14">
      <c r="A85" s="97"/>
      <c r="B85" s="97"/>
      <c r="C85" s="97"/>
      <c r="D85" s="97"/>
      <c r="E85" s="97"/>
      <c r="F85" s="97"/>
      <c r="G85" s="97"/>
      <c r="H85" s="97"/>
      <c r="I85" s="97"/>
      <c r="J85" s="97"/>
      <c r="K85" s="98"/>
      <c r="L85" s="98"/>
      <c r="M85" s="98"/>
      <c r="N85" s="98"/>
    </row>
    <row r="86" spans="1:14">
      <c r="A86" s="97"/>
      <c r="B86" s="97"/>
      <c r="C86" s="97"/>
      <c r="D86" s="97"/>
      <c r="E86" s="97"/>
      <c r="F86" s="97"/>
      <c r="G86" s="97"/>
      <c r="H86" s="97"/>
      <c r="I86" s="97"/>
      <c r="J86" s="97"/>
      <c r="K86" s="98"/>
      <c r="L86" s="98"/>
      <c r="M86" s="98"/>
      <c r="N86" s="98"/>
    </row>
    <row r="87" spans="1:14">
      <c r="A87" s="105"/>
      <c r="B87" s="97"/>
      <c r="C87" s="97"/>
      <c r="D87" s="97"/>
      <c r="E87" s="97"/>
      <c r="F87" s="97"/>
      <c r="G87" s="97"/>
      <c r="H87" s="97"/>
      <c r="I87" s="97"/>
      <c r="J87" s="97"/>
      <c r="K87" s="98"/>
      <c r="L87" s="98"/>
      <c r="M87" s="98"/>
      <c r="N87" s="98"/>
    </row>
    <row r="88" spans="1:14">
      <c r="A88" s="97"/>
      <c r="B88" s="97"/>
      <c r="C88" s="97"/>
      <c r="D88" s="97"/>
      <c r="E88" s="97"/>
      <c r="F88" s="97"/>
      <c r="G88" s="97"/>
      <c r="H88" s="97"/>
      <c r="I88" s="97"/>
      <c r="J88" s="97"/>
      <c r="K88" s="98"/>
      <c r="L88" s="98"/>
      <c r="M88" s="98"/>
      <c r="N88" s="98"/>
    </row>
    <row r="89" spans="1:14">
      <c r="A89" s="97"/>
      <c r="B89" s="97"/>
      <c r="C89" s="97"/>
      <c r="D89" s="97"/>
      <c r="E89" s="97"/>
      <c r="F89" s="97"/>
      <c r="G89" s="97"/>
      <c r="H89" s="97"/>
      <c r="I89" s="97"/>
      <c r="J89" s="97"/>
      <c r="K89" s="98"/>
      <c r="L89" s="98"/>
      <c r="M89" s="98"/>
      <c r="N89" s="98"/>
    </row>
    <row r="90" spans="1:14">
      <c r="A90" s="97"/>
      <c r="B90" s="97"/>
      <c r="C90" s="97"/>
      <c r="D90" s="97"/>
      <c r="E90" s="97"/>
      <c r="F90" s="97"/>
      <c r="G90" s="97"/>
      <c r="H90" s="97"/>
      <c r="I90" s="97"/>
      <c r="J90" s="97"/>
      <c r="K90" s="98"/>
      <c r="L90" s="98"/>
      <c r="M90" s="98"/>
      <c r="N90" s="98"/>
    </row>
  </sheetData>
  <phoneticPr fontId="16" type="noConversion"/>
  <pageMargins left="0.15748031496062992" right="0.15748031496062992" top="0.39370078740157483" bottom="0.39370078740157483" header="0.51181102362204722" footer="0.51181102362204722"/>
  <pageSetup paperSize="9" scale="70" orientation="portrait" r:id="rId1"/>
  <headerFooter alignWithMargins="0"/>
  <drawing r:id="rId2"/>
  <legacyDrawing r:id="rId3"/>
  <oleObjects>
    <mc:AlternateContent xmlns:mc="http://schemas.openxmlformats.org/markup-compatibility/2006">
      <mc:Choice Requires="x14">
        <oleObject progId="Word.Document.8" shapeId="2053" r:id="rId4">
          <objectPr defaultSize="0" autoPict="0" r:id="rId5">
            <anchor moveWithCells="1">
              <from>
                <xdr:col>0</xdr:col>
                <xdr:colOff>320040</xdr:colOff>
                <xdr:row>3</xdr:row>
                <xdr:rowOff>0</xdr:rowOff>
              </from>
              <to>
                <xdr:col>11</xdr:col>
                <xdr:colOff>281940</xdr:colOff>
                <xdr:row>70</xdr:row>
                <xdr:rowOff>38100</xdr:rowOff>
              </to>
            </anchor>
          </objectPr>
        </oleObject>
      </mc:Choice>
      <mc:Fallback>
        <oleObject progId="Word.Document.8" shapeId="2053"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00"/>
  </sheetPr>
  <dimension ref="A1:F91"/>
  <sheetViews>
    <sheetView workbookViewId="0">
      <selection activeCell="S30" sqref="S30"/>
    </sheetView>
  </sheetViews>
  <sheetFormatPr defaultColWidth="9.21875" defaultRowHeight="13.2"/>
  <cols>
    <col min="1" max="1" width="9.21875" style="169"/>
    <col min="2" max="2" width="44.77734375" style="169" bestFit="1" customWidth="1"/>
    <col min="3" max="3" width="11.21875" style="171" bestFit="1" customWidth="1"/>
    <col min="4" max="16384" width="9.21875" style="169"/>
  </cols>
  <sheetData>
    <row r="1" spans="1:6">
      <c r="A1" s="205" t="s">
        <v>1430</v>
      </c>
      <c r="B1" s="251"/>
      <c r="C1" s="387"/>
      <c r="D1" s="251"/>
      <c r="E1" s="251"/>
      <c r="F1" s="251"/>
    </row>
    <row r="2" spans="1:6">
      <c r="A2" s="251"/>
      <c r="B2" s="251" t="s">
        <v>1431</v>
      </c>
      <c r="C2" s="387"/>
      <c r="D2" s="251"/>
      <c r="E2" s="251"/>
      <c r="F2" s="251"/>
    </row>
    <row r="3" spans="1:6" s="206" customFormat="1" ht="25.5" customHeight="1">
      <c r="A3" s="206" t="s">
        <v>967</v>
      </c>
      <c r="B3" s="286" t="s">
        <v>877</v>
      </c>
      <c r="C3" s="254" t="s">
        <v>1432</v>
      </c>
    </row>
    <row r="4" spans="1:6">
      <c r="A4" s="251" t="s">
        <v>968</v>
      </c>
      <c r="B4" s="251" t="s">
        <v>969</v>
      </c>
      <c r="C4" s="284">
        <v>60000</v>
      </c>
      <c r="D4" s="251"/>
      <c r="E4" s="251"/>
      <c r="F4" s="392"/>
    </row>
    <row r="5" spans="1:6">
      <c r="A5" s="251" t="s">
        <v>971</v>
      </c>
      <c r="B5" s="251" t="s">
        <v>972</v>
      </c>
      <c r="C5" s="284">
        <v>67192.946929440775</v>
      </c>
      <c r="D5" s="251"/>
      <c r="E5" s="251"/>
      <c r="F5" s="392"/>
    </row>
    <row r="6" spans="1:6">
      <c r="A6" s="251" t="s">
        <v>973</v>
      </c>
      <c r="B6" s="251" t="s">
        <v>974</v>
      </c>
      <c r="C6" s="284">
        <v>60000</v>
      </c>
      <c r="D6" s="251"/>
      <c r="E6" s="251"/>
      <c r="F6" s="392"/>
    </row>
    <row r="7" spans="1:6">
      <c r="A7" s="251" t="s">
        <v>975</v>
      </c>
      <c r="B7" s="251" t="s">
        <v>976</v>
      </c>
      <c r="C7" s="284">
        <v>60000</v>
      </c>
      <c r="D7" s="251"/>
      <c r="E7" s="251"/>
      <c r="F7" s="392"/>
    </row>
    <row r="8" spans="1:6">
      <c r="A8" s="251" t="s">
        <v>977</v>
      </c>
      <c r="B8" s="251" t="s">
        <v>978</v>
      </c>
      <c r="C8" s="284">
        <v>60000</v>
      </c>
      <c r="D8" s="251"/>
      <c r="E8" s="251"/>
      <c r="F8" s="392"/>
    </row>
    <row r="9" spans="1:6">
      <c r="A9" s="251" t="s">
        <v>979</v>
      </c>
      <c r="B9" s="251" t="s">
        <v>980</v>
      </c>
      <c r="C9" s="284">
        <v>81239.627652305644</v>
      </c>
      <c r="D9" s="251"/>
      <c r="E9" s="251"/>
      <c r="F9" s="392"/>
    </row>
    <row r="10" spans="1:6">
      <c r="A10" s="397" t="s">
        <v>981</v>
      </c>
      <c r="B10" s="397" t="s">
        <v>982</v>
      </c>
      <c r="C10" s="285">
        <v>60000</v>
      </c>
      <c r="D10" s="251"/>
      <c r="E10" s="251"/>
      <c r="F10" s="392"/>
    </row>
    <row r="11" spans="1:6">
      <c r="A11" s="251" t="s">
        <v>983</v>
      </c>
      <c r="B11" s="251" t="s">
        <v>984</v>
      </c>
      <c r="C11" s="284">
        <v>64484.54309835413</v>
      </c>
      <c r="D11" s="251"/>
      <c r="E11" s="251"/>
      <c r="F11" s="392"/>
    </row>
    <row r="12" spans="1:6">
      <c r="A12" s="251" t="s">
        <v>986</v>
      </c>
      <c r="B12" s="251" t="s">
        <v>1409</v>
      </c>
      <c r="C12" s="284">
        <v>199632.99565419366</v>
      </c>
      <c r="D12" s="251"/>
      <c r="E12" s="251"/>
      <c r="F12" s="392"/>
    </row>
    <row r="13" spans="1:6">
      <c r="A13" s="251" t="s">
        <v>990</v>
      </c>
      <c r="B13" s="251" t="s">
        <v>991</v>
      </c>
      <c r="C13" s="284">
        <v>101445.61195614</v>
      </c>
      <c r="D13" s="251"/>
      <c r="E13" s="251"/>
      <c r="F13" s="392"/>
    </row>
    <row r="14" spans="1:6">
      <c r="A14" s="251" t="s">
        <v>1000</v>
      </c>
      <c r="B14" s="251" t="s">
        <v>1001</v>
      </c>
      <c r="C14" s="284">
        <v>88176.903519648593</v>
      </c>
      <c r="D14" s="251"/>
      <c r="E14" s="251"/>
      <c r="F14" s="392"/>
    </row>
    <row r="15" spans="1:6">
      <c r="A15" s="251" t="s">
        <v>1004</v>
      </c>
      <c r="B15" s="251" t="s">
        <v>1005</v>
      </c>
      <c r="C15" s="284">
        <v>60000</v>
      </c>
      <c r="D15" s="251"/>
      <c r="E15" s="251"/>
      <c r="F15" s="392"/>
    </row>
    <row r="16" spans="1:6">
      <c r="A16" s="251" t="s">
        <v>1006</v>
      </c>
      <c r="B16" s="251" t="s">
        <v>1007</v>
      </c>
      <c r="C16" s="284">
        <v>137717.98487367539</v>
      </c>
      <c r="D16" s="251"/>
      <c r="E16" s="251"/>
      <c r="F16" s="392"/>
    </row>
    <row r="17" spans="1:6">
      <c r="A17" s="251" t="s">
        <v>1010</v>
      </c>
      <c r="B17" s="251" t="s">
        <v>1011</v>
      </c>
      <c r="C17" s="284">
        <v>155032.26657252535</v>
      </c>
      <c r="D17" s="251"/>
      <c r="E17" s="251"/>
      <c r="F17" s="392"/>
    </row>
    <row r="18" spans="1:6">
      <c r="A18" s="251" t="s">
        <v>1014</v>
      </c>
      <c r="B18" s="251" t="s">
        <v>1015</v>
      </c>
      <c r="C18" s="284">
        <v>61019.608742133591</v>
      </c>
      <c r="D18" s="251"/>
      <c r="E18" s="251"/>
      <c r="F18" s="392"/>
    </row>
    <row r="19" spans="1:6">
      <c r="A19" s="251" t="s">
        <v>1032</v>
      </c>
      <c r="B19" s="251" t="s">
        <v>1033</v>
      </c>
      <c r="C19" s="284">
        <v>157101.86485417566</v>
      </c>
      <c r="D19" s="251"/>
      <c r="E19" s="251"/>
      <c r="F19" s="392"/>
    </row>
    <row r="20" spans="1:6">
      <c r="A20" s="251" t="s">
        <v>1046</v>
      </c>
      <c r="B20" s="251" t="s">
        <v>1047</v>
      </c>
      <c r="C20" s="284">
        <v>159336.82751592438</v>
      </c>
      <c r="D20" s="251"/>
      <c r="E20" s="251"/>
      <c r="F20" s="392"/>
    </row>
    <row r="21" spans="1:6">
      <c r="A21" s="251" t="s">
        <v>1048</v>
      </c>
      <c r="B21" s="251" t="s">
        <v>1049</v>
      </c>
      <c r="C21" s="284">
        <v>105244.49420646553</v>
      </c>
      <c r="D21" s="251"/>
      <c r="E21" s="251"/>
      <c r="F21" s="392"/>
    </row>
    <row r="22" spans="1:6">
      <c r="A22" s="251" t="s">
        <v>1050</v>
      </c>
      <c r="B22" s="251" t="s">
        <v>1051</v>
      </c>
      <c r="C22" s="284">
        <v>166700.87705720653</v>
      </c>
      <c r="D22" s="251"/>
      <c r="E22" s="251"/>
      <c r="F22" s="392"/>
    </row>
    <row r="23" spans="1:6">
      <c r="A23" s="251" t="s">
        <v>1056</v>
      </c>
      <c r="B23" s="251" t="s">
        <v>1057</v>
      </c>
      <c r="C23" s="284">
        <v>70879.083470495403</v>
      </c>
      <c r="D23" s="251"/>
      <c r="E23" s="251"/>
      <c r="F23" s="392"/>
    </row>
    <row r="24" spans="1:6">
      <c r="A24" s="251" t="s">
        <v>1058</v>
      </c>
      <c r="B24" s="251" t="s">
        <v>1059</v>
      </c>
      <c r="C24" s="284">
        <v>136123.20498492668</v>
      </c>
      <c r="D24" s="251"/>
      <c r="E24" s="251"/>
      <c r="F24" s="392"/>
    </row>
    <row r="25" spans="1:6">
      <c r="A25" s="251" t="s">
        <v>1060</v>
      </c>
      <c r="B25" s="251" t="s">
        <v>1061</v>
      </c>
      <c r="C25" s="284">
        <v>195837.98271379378</v>
      </c>
      <c r="D25" s="251"/>
      <c r="E25" s="251"/>
      <c r="F25" s="392"/>
    </row>
    <row r="26" spans="1:6">
      <c r="A26" s="251" t="s">
        <v>1076</v>
      </c>
      <c r="B26" s="251" t="s">
        <v>1077</v>
      </c>
      <c r="C26" s="284">
        <v>125713.4436476704</v>
      </c>
      <c r="D26" s="251"/>
      <c r="E26" s="251"/>
      <c r="F26" s="392"/>
    </row>
    <row r="27" spans="1:6">
      <c r="A27" s="251" t="s">
        <v>1080</v>
      </c>
      <c r="B27" s="251" t="s">
        <v>1081</v>
      </c>
      <c r="C27" s="284">
        <v>83136.295706436184</v>
      </c>
      <c r="D27" s="251"/>
      <c r="E27" s="251"/>
      <c r="F27" s="392"/>
    </row>
    <row r="28" spans="1:6">
      <c r="A28" s="251" t="s">
        <v>1088</v>
      </c>
      <c r="B28" s="251" t="s">
        <v>1089</v>
      </c>
      <c r="C28" s="284">
        <v>161065.6269430418</v>
      </c>
      <c r="D28" s="251"/>
      <c r="E28" s="251"/>
      <c r="F28" s="392"/>
    </row>
    <row r="29" spans="1:6">
      <c r="A29" s="251" t="s">
        <v>1096</v>
      </c>
      <c r="B29" s="251" t="s">
        <v>1097</v>
      </c>
      <c r="C29" s="284">
        <v>108043.05820392226</v>
      </c>
      <c r="D29" s="251"/>
      <c r="E29" s="251"/>
      <c r="F29" s="392"/>
    </row>
    <row r="30" spans="1:6">
      <c r="A30" s="251" t="s">
        <v>1098</v>
      </c>
      <c r="B30" s="251" t="s">
        <v>1099</v>
      </c>
      <c r="C30" s="284">
        <v>126272.7915384192</v>
      </c>
      <c r="D30" s="251"/>
      <c r="E30" s="251"/>
      <c r="F30" s="392"/>
    </row>
    <row r="31" spans="1:6">
      <c r="A31" s="251" t="s">
        <v>1100</v>
      </c>
      <c r="B31" s="251" t="s">
        <v>1101</v>
      </c>
      <c r="C31" s="284">
        <v>148415.77776431793</v>
      </c>
      <c r="D31" s="251"/>
      <c r="E31" s="251"/>
      <c r="F31" s="392"/>
    </row>
    <row r="32" spans="1:6">
      <c r="A32" s="251" t="s">
        <v>1104</v>
      </c>
      <c r="B32" s="251" t="s">
        <v>1105</v>
      </c>
      <c r="C32" s="284">
        <v>60000</v>
      </c>
      <c r="D32" s="251"/>
      <c r="E32" s="251"/>
      <c r="F32" s="392"/>
    </row>
    <row r="33" spans="1:6">
      <c r="A33" s="251" t="s">
        <v>1106</v>
      </c>
      <c r="B33" s="251" t="s">
        <v>1107</v>
      </c>
      <c r="C33" s="284">
        <v>117904.81078242874</v>
      </c>
      <c r="D33" s="251"/>
      <c r="E33" s="251"/>
      <c r="F33" s="392"/>
    </row>
    <row r="34" spans="1:6">
      <c r="A34" s="251" t="s">
        <v>1108</v>
      </c>
      <c r="B34" s="251" t="s">
        <v>1109</v>
      </c>
      <c r="C34" s="284">
        <v>228867.15463189478</v>
      </c>
      <c r="D34" s="251"/>
      <c r="E34" s="251"/>
      <c r="F34" s="392"/>
    </row>
    <row r="35" spans="1:6">
      <c r="A35" s="251" t="s">
        <v>1118</v>
      </c>
      <c r="B35" s="251" t="s">
        <v>1119</v>
      </c>
      <c r="C35" s="284">
        <v>151752.98257040998</v>
      </c>
      <c r="D35" s="251"/>
      <c r="E35" s="251"/>
      <c r="F35" s="392"/>
    </row>
    <row r="36" spans="1:6">
      <c r="A36" s="251" t="s">
        <v>1126</v>
      </c>
      <c r="B36" s="251" t="s">
        <v>1127</v>
      </c>
      <c r="C36" s="284">
        <v>145381.74397687268</v>
      </c>
      <c r="D36" s="251"/>
      <c r="E36" s="251"/>
      <c r="F36" s="392"/>
    </row>
    <row r="37" spans="1:6">
      <c r="A37" s="251" t="s">
        <v>1128</v>
      </c>
      <c r="B37" s="251" t="s">
        <v>1129</v>
      </c>
      <c r="C37" s="284">
        <v>156301.60167724272</v>
      </c>
      <c r="D37" s="251"/>
      <c r="E37" s="251"/>
      <c r="F37" s="392"/>
    </row>
    <row r="38" spans="1:6">
      <c r="A38" s="251" t="s">
        <v>1130</v>
      </c>
      <c r="B38" s="251" t="s">
        <v>1131</v>
      </c>
      <c r="C38" s="284">
        <v>125362.08013566</v>
      </c>
      <c r="D38" s="251"/>
      <c r="E38" s="251"/>
      <c r="F38" s="392"/>
    </row>
    <row r="39" spans="1:6">
      <c r="A39" s="251" t="s">
        <v>1144</v>
      </c>
      <c r="B39" s="251" t="s">
        <v>1145</v>
      </c>
      <c r="C39" s="284">
        <v>69868.631991944087</v>
      </c>
      <c r="D39" s="251"/>
      <c r="E39" s="251"/>
      <c r="F39" s="392"/>
    </row>
    <row r="40" spans="1:6">
      <c r="A40" s="251" t="s">
        <v>1148</v>
      </c>
      <c r="B40" s="251" t="s">
        <v>1149</v>
      </c>
      <c r="C40" s="284">
        <v>154697.64573309178</v>
      </c>
      <c r="D40" s="251"/>
      <c r="E40" s="251"/>
      <c r="F40" s="392"/>
    </row>
    <row r="41" spans="1:6">
      <c r="A41" s="251" t="s">
        <v>1150</v>
      </c>
      <c r="B41" s="251" t="s">
        <v>1151</v>
      </c>
      <c r="C41" s="284">
        <v>150069.52041666326</v>
      </c>
      <c r="D41" s="251"/>
      <c r="E41" s="251"/>
      <c r="F41" s="392"/>
    </row>
    <row r="42" spans="1:6">
      <c r="A42" s="251" t="s">
        <v>1166</v>
      </c>
      <c r="B42" s="251" t="s">
        <v>1167</v>
      </c>
      <c r="C42" s="284">
        <v>227380.51500160951</v>
      </c>
      <c r="D42" s="251"/>
      <c r="E42" s="251"/>
      <c r="F42" s="392"/>
    </row>
    <row r="43" spans="1:6">
      <c r="A43" s="251" t="s">
        <v>1168</v>
      </c>
      <c r="B43" s="251" t="s">
        <v>1169</v>
      </c>
      <c r="C43" s="284">
        <v>147502.96545508914</v>
      </c>
      <c r="D43" s="251"/>
      <c r="E43" s="251"/>
      <c r="F43" s="392"/>
    </row>
    <row r="44" spans="1:6">
      <c r="A44" s="251" t="s">
        <v>1176</v>
      </c>
      <c r="B44" s="251" t="s">
        <v>1177</v>
      </c>
      <c r="C44" s="284">
        <v>143788.92558431605</v>
      </c>
      <c r="D44" s="251"/>
      <c r="E44" s="251"/>
      <c r="F44" s="392"/>
    </row>
    <row r="45" spans="1:6">
      <c r="A45" s="251" t="s">
        <v>1178</v>
      </c>
      <c r="B45" s="251" t="s">
        <v>1179</v>
      </c>
      <c r="C45" s="284">
        <v>73842.953748706132</v>
      </c>
      <c r="D45" s="251"/>
      <c r="E45" s="251"/>
      <c r="F45" s="392"/>
    </row>
    <row r="46" spans="1:6">
      <c r="A46" s="251" t="s">
        <v>1180</v>
      </c>
      <c r="B46" s="251" t="s">
        <v>1181</v>
      </c>
      <c r="C46" s="284">
        <v>133525.2432454896</v>
      </c>
      <c r="D46" s="251"/>
      <c r="E46" s="251"/>
      <c r="F46" s="392"/>
    </row>
    <row r="47" spans="1:6">
      <c r="A47" s="251" t="s">
        <v>1182</v>
      </c>
      <c r="B47" s="251" t="s">
        <v>1183</v>
      </c>
      <c r="C47" s="284">
        <v>133155.50588344646</v>
      </c>
      <c r="D47" s="251"/>
      <c r="E47" s="251"/>
      <c r="F47" s="392"/>
    </row>
    <row r="48" spans="1:6">
      <c r="A48" s="251" t="s">
        <v>1184</v>
      </c>
      <c r="B48" s="251" t="s">
        <v>1185</v>
      </c>
      <c r="C48" s="284">
        <v>114200.7231283032</v>
      </c>
      <c r="D48" s="251"/>
      <c r="E48" s="251"/>
      <c r="F48" s="392"/>
    </row>
    <row r="49" spans="1:6">
      <c r="A49" s="251" t="s">
        <v>1222</v>
      </c>
      <c r="B49" s="251" t="s">
        <v>1223</v>
      </c>
      <c r="C49" s="284">
        <v>77020.953856401931</v>
      </c>
      <c r="D49" s="251"/>
      <c r="E49" s="251"/>
      <c r="F49" s="392"/>
    </row>
    <row r="50" spans="1:6">
      <c r="A50" s="251" t="s">
        <v>1228</v>
      </c>
      <c r="B50" s="251" t="s">
        <v>1229</v>
      </c>
      <c r="C50" s="284">
        <v>153551.71789318605</v>
      </c>
      <c r="D50" s="251"/>
      <c r="E50" s="251"/>
      <c r="F50" s="392"/>
    </row>
    <row r="51" spans="1:6">
      <c r="A51" s="251" t="s">
        <v>1230</v>
      </c>
      <c r="B51" s="251" t="s">
        <v>1231</v>
      </c>
      <c r="C51" s="284">
        <v>73598.679144831563</v>
      </c>
      <c r="D51" s="251"/>
      <c r="E51" s="251"/>
      <c r="F51" s="392"/>
    </row>
    <row r="52" spans="1:6">
      <c r="A52" s="251" t="s">
        <v>1234</v>
      </c>
      <c r="B52" s="251" t="s">
        <v>1235</v>
      </c>
      <c r="C52" s="284">
        <v>159472.03330551932</v>
      </c>
      <c r="D52" s="251"/>
      <c r="E52" s="251"/>
      <c r="F52" s="392"/>
    </row>
    <row r="53" spans="1:6">
      <c r="A53" s="251" t="s">
        <v>1242</v>
      </c>
      <c r="B53" s="251" t="s">
        <v>1243</v>
      </c>
      <c r="C53" s="284">
        <v>60000</v>
      </c>
      <c r="D53" s="251"/>
      <c r="E53" s="251"/>
      <c r="F53" s="392"/>
    </row>
    <row r="54" spans="1:6">
      <c r="A54" s="251" t="s">
        <v>1244</v>
      </c>
      <c r="B54" s="251" t="s">
        <v>1245</v>
      </c>
      <c r="C54" s="284">
        <v>94797.677438968662</v>
      </c>
      <c r="D54" s="251"/>
      <c r="E54" s="251"/>
      <c r="F54" s="392"/>
    </row>
    <row r="55" spans="1:6">
      <c r="A55" s="251" t="s">
        <v>1246</v>
      </c>
      <c r="B55" s="251" t="s">
        <v>1247</v>
      </c>
      <c r="C55" s="284">
        <v>68502.577781952088</v>
      </c>
      <c r="D55" s="251"/>
      <c r="E55" s="251"/>
      <c r="F55" s="392"/>
    </row>
    <row r="56" spans="1:6">
      <c r="A56" s="251" t="s">
        <v>1248</v>
      </c>
      <c r="B56" s="251" t="s">
        <v>1249</v>
      </c>
      <c r="C56" s="284">
        <v>184262.36223598127</v>
      </c>
      <c r="D56" s="251"/>
      <c r="E56" s="251"/>
      <c r="F56" s="392"/>
    </row>
    <row r="57" spans="1:6">
      <c r="A57" s="251" t="s">
        <v>1250</v>
      </c>
      <c r="B57" s="251" t="s">
        <v>1251</v>
      </c>
      <c r="C57" s="284">
        <v>137897.08073224447</v>
      </c>
      <c r="D57" s="251"/>
      <c r="E57" s="251"/>
      <c r="F57" s="392"/>
    </row>
    <row r="58" spans="1:6">
      <c r="A58" s="251" t="s">
        <v>1264</v>
      </c>
      <c r="B58" s="251" t="s">
        <v>1265</v>
      </c>
      <c r="C58" s="284">
        <v>153845.79077249116</v>
      </c>
      <c r="D58" s="251"/>
      <c r="E58" s="251"/>
      <c r="F58" s="392"/>
    </row>
    <row r="59" spans="1:6">
      <c r="A59" s="251" t="s">
        <v>1272</v>
      </c>
      <c r="B59" s="251" t="s">
        <v>1273</v>
      </c>
      <c r="C59" s="284">
        <v>225962.60942319705</v>
      </c>
      <c r="D59" s="251"/>
      <c r="E59" s="251"/>
      <c r="F59" s="392"/>
    </row>
    <row r="60" spans="1:6">
      <c r="A60" s="397" t="s">
        <v>1284</v>
      </c>
      <c r="B60" s="397" t="s">
        <v>1285</v>
      </c>
      <c r="C60" s="285">
        <v>78087.396608016803</v>
      </c>
      <c r="D60" s="251"/>
      <c r="E60" s="251"/>
      <c r="F60" s="392"/>
    </row>
    <row r="61" spans="1:6">
      <c r="A61" s="251" t="s">
        <v>1293</v>
      </c>
      <c r="B61" s="251" t="s">
        <v>1294</v>
      </c>
      <c r="C61" s="284">
        <v>507981.94721586589</v>
      </c>
      <c r="D61" s="251"/>
      <c r="E61" s="251"/>
      <c r="F61" s="392"/>
    </row>
    <row r="62" spans="1:6">
      <c r="A62" s="397" t="s">
        <v>1323</v>
      </c>
      <c r="B62" s="397" t="s">
        <v>1324</v>
      </c>
      <c r="C62" s="285">
        <v>496748.25219730253</v>
      </c>
      <c r="D62" s="251"/>
      <c r="E62" s="251"/>
      <c r="F62" s="392"/>
    </row>
    <row r="63" spans="1:6">
      <c r="A63" s="251" t="s">
        <v>1330</v>
      </c>
      <c r="B63" s="251" t="s">
        <v>1331</v>
      </c>
      <c r="C63" s="284">
        <v>489310.96478839347</v>
      </c>
      <c r="D63" s="251"/>
      <c r="E63" s="251"/>
      <c r="F63" s="392"/>
    </row>
    <row r="64" spans="1:6">
      <c r="A64" s="246"/>
      <c r="B64" s="246"/>
      <c r="C64" s="207"/>
      <c r="D64" s="251"/>
      <c r="E64" s="251"/>
      <c r="F64" s="392"/>
    </row>
    <row r="65" spans="1:6">
      <c r="A65" s="246"/>
      <c r="B65" s="246"/>
      <c r="C65" s="207"/>
      <c r="D65" s="251"/>
      <c r="E65" s="251"/>
      <c r="F65" s="392"/>
    </row>
    <row r="66" spans="1:6">
      <c r="A66" s="246"/>
      <c r="B66" s="246"/>
      <c r="C66" s="207"/>
      <c r="D66" s="251"/>
      <c r="E66" s="251"/>
      <c r="F66" s="392"/>
    </row>
    <row r="67" spans="1:6">
      <c r="A67" s="251"/>
      <c r="B67" s="251"/>
      <c r="C67" s="387"/>
      <c r="D67" s="251"/>
      <c r="E67" s="251"/>
      <c r="F67" s="392"/>
    </row>
    <row r="68" spans="1:6">
      <c r="A68" s="251"/>
      <c r="B68" s="251"/>
      <c r="C68" s="387"/>
      <c r="D68" s="251"/>
      <c r="E68" s="251"/>
      <c r="F68" s="392"/>
    </row>
    <row r="69" spans="1:6">
      <c r="A69" s="251"/>
      <c r="B69" s="251"/>
      <c r="C69" s="387"/>
      <c r="D69" s="251"/>
      <c r="E69" s="251"/>
      <c r="F69" s="392"/>
    </row>
    <row r="70" spans="1:6">
      <c r="A70" s="251"/>
      <c r="B70" s="251"/>
      <c r="C70" s="387"/>
      <c r="D70" s="251"/>
      <c r="E70" s="251"/>
      <c r="F70" s="392"/>
    </row>
    <row r="71" spans="1:6">
      <c r="A71" s="251"/>
      <c r="B71" s="251"/>
      <c r="C71" s="387"/>
      <c r="D71" s="251"/>
      <c r="E71" s="251"/>
      <c r="F71" s="392"/>
    </row>
    <row r="72" spans="1:6">
      <c r="A72" s="251"/>
      <c r="B72" s="251"/>
      <c r="C72" s="387"/>
      <c r="D72" s="251"/>
      <c r="E72" s="251"/>
      <c r="F72" s="392"/>
    </row>
    <row r="73" spans="1:6">
      <c r="A73" s="251"/>
      <c r="B73" s="251"/>
      <c r="C73" s="387"/>
      <c r="D73" s="251"/>
      <c r="E73" s="251"/>
      <c r="F73" s="392"/>
    </row>
    <row r="74" spans="1:6">
      <c r="A74" s="251"/>
      <c r="B74" s="251"/>
      <c r="C74" s="387"/>
      <c r="D74" s="251"/>
      <c r="E74" s="251"/>
      <c r="F74" s="392"/>
    </row>
    <row r="75" spans="1:6">
      <c r="A75" s="251"/>
      <c r="B75" s="251"/>
      <c r="C75" s="387"/>
      <c r="D75" s="251"/>
      <c r="E75" s="251"/>
      <c r="F75" s="392"/>
    </row>
    <row r="76" spans="1:6">
      <c r="A76" s="251"/>
      <c r="B76" s="251"/>
      <c r="C76" s="387"/>
      <c r="D76" s="251"/>
      <c r="E76" s="251"/>
      <c r="F76" s="392"/>
    </row>
    <row r="77" spans="1:6">
      <c r="A77" s="251"/>
      <c r="B77" s="251"/>
      <c r="C77" s="387"/>
      <c r="D77" s="251"/>
      <c r="E77" s="251"/>
      <c r="F77" s="392"/>
    </row>
    <row r="78" spans="1:6">
      <c r="A78" s="251"/>
      <c r="B78" s="251"/>
      <c r="C78" s="387"/>
      <c r="D78" s="251"/>
      <c r="E78" s="251"/>
      <c r="F78" s="392"/>
    </row>
    <row r="79" spans="1:6">
      <c r="A79" s="251"/>
      <c r="B79" s="251"/>
      <c r="C79" s="387"/>
      <c r="D79" s="251"/>
      <c r="E79" s="251"/>
      <c r="F79" s="392"/>
    </row>
    <row r="80" spans="1:6">
      <c r="A80" s="251"/>
      <c r="B80" s="251"/>
      <c r="C80" s="387"/>
      <c r="D80" s="251"/>
      <c r="E80" s="251"/>
      <c r="F80" s="392"/>
    </row>
    <row r="81" spans="6:6">
      <c r="F81" s="392"/>
    </row>
    <row r="82" spans="6:6">
      <c r="F82" s="392"/>
    </row>
    <row r="83" spans="6:6">
      <c r="F83" s="392"/>
    </row>
    <row r="84" spans="6:6">
      <c r="F84" s="392"/>
    </row>
    <row r="85" spans="6:6">
      <c r="F85" s="392"/>
    </row>
    <row r="86" spans="6:6">
      <c r="F86" s="392"/>
    </row>
    <row r="87" spans="6:6">
      <c r="F87" s="392"/>
    </row>
    <row r="88" spans="6:6">
      <c r="F88" s="392"/>
    </row>
    <row r="89" spans="6:6">
      <c r="F89" s="392"/>
    </row>
    <row r="90" spans="6:6">
      <c r="F90" s="392"/>
    </row>
    <row r="91" spans="6:6">
      <c r="F91" s="392"/>
    </row>
  </sheetData>
  <phoneticPr fontId="16"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
  <sheetViews>
    <sheetView workbookViewId="0"/>
  </sheetViews>
  <sheetFormatPr defaultColWidth="9.21875" defaultRowHeight="13.2"/>
  <cols>
    <col min="1" max="16384" width="9.21875" style="172"/>
  </cols>
  <sheetData>
    <row r="1" spans="1:1">
      <c r="A1" s="247"/>
    </row>
  </sheetData>
  <phoneticPr fontId="16"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FFAE1-B273-4F12-9FDA-0FAEEDD819B4}">
  <sheetPr codeName="Sheet17">
    <tabColor theme="2" tint="-9.9978637043366805E-2"/>
  </sheetPr>
  <dimension ref="A1:O321"/>
  <sheetViews>
    <sheetView topLeftCell="A89" zoomScale="70" zoomScaleNormal="70" workbookViewId="0">
      <selection activeCell="K117" sqref="K117"/>
    </sheetView>
  </sheetViews>
  <sheetFormatPr defaultColWidth="9.33203125" defaultRowHeight="15"/>
  <cols>
    <col min="1" max="1" width="15.5546875" style="350" customWidth="1"/>
    <col min="2" max="2" width="69" style="62" customWidth="1"/>
    <col min="3" max="3" width="17.33203125" style="61" customWidth="1"/>
    <col min="4" max="4" width="7.5546875" style="62" customWidth="1"/>
    <col min="5" max="5" width="18.6640625" style="61" customWidth="1"/>
    <col min="6" max="6" width="1.5546875" style="327" customWidth="1"/>
    <col min="7" max="7" width="16.33203125" style="61" customWidth="1"/>
    <col min="8" max="8" width="1.5546875" style="327" customWidth="1"/>
    <col min="9" max="9" width="19.33203125" style="61" customWidth="1"/>
    <col min="10" max="10" width="7.6640625" style="326" customWidth="1"/>
    <col min="11" max="11" width="16.33203125" style="61" customWidth="1"/>
    <col min="12" max="12" width="1.5546875" style="67" customWidth="1"/>
    <col min="13" max="13" width="16.33203125" style="61" customWidth="1"/>
    <col min="14" max="14" width="1.6640625" style="327" customWidth="1"/>
    <col min="15" max="15" width="62.5546875" style="350" customWidth="1"/>
    <col min="16" max="16384" width="9.33203125" style="327"/>
  </cols>
  <sheetData>
    <row r="1" spans="1:15" s="332" customFormat="1" ht="25.5" customHeight="1">
      <c r="A1" s="560" t="s">
        <v>1438</v>
      </c>
      <c r="B1" s="560"/>
      <c r="C1" s="560"/>
      <c r="D1" s="560"/>
      <c r="E1" s="560"/>
      <c r="F1" s="560"/>
      <c r="G1" s="560"/>
      <c r="H1" s="560"/>
      <c r="I1" s="560"/>
      <c r="J1" s="560"/>
      <c r="K1" s="560"/>
      <c r="L1" s="560"/>
      <c r="M1" s="560"/>
      <c r="N1" s="560"/>
      <c r="O1" s="560"/>
    </row>
    <row r="2" spans="1:15" s="332" customFormat="1" ht="23.4" thickBot="1">
      <c r="A2" s="28"/>
      <c r="B2" s="27"/>
      <c r="C2" s="27"/>
      <c r="D2" s="27"/>
      <c r="E2" s="27"/>
      <c r="F2" s="27"/>
      <c r="G2" s="27"/>
      <c r="H2" s="27"/>
      <c r="I2" s="27"/>
      <c r="J2" s="310"/>
      <c r="K2" s="27"/>
      <c r="L2" s="124"/>
      <c r="M2" s="27"/>
      <c r="N2" s="27"/>
      <c r="O2" s="366">
        <f>I5</f>
        <v>45473</v>
      </c>
    </row>
    <row r="3" spans="1:15" s="332" customFormat="1" ht="25.5" customHeight="1" thickBot="1">
      <c r="A3" s="116" t="s">
        <v>406</v>
      </c>
      <c r="B3" s="259" t="s">
        <v>1506</v>
      </c>
      <c r="C3" s="110"/>
      <c r="D3" s="564" t="s">
        <v>471</v>
      </c>
      <c r="E3" s="565"/>
      <c r="F3" s="565"/>
      <c r="G3" s="565"/>
      <c r="H3" s="566"/>
      <c r="I3" s="123">
        <v>2222</v>
      </c>
      <c r="J3" s="311"/>
      <c r="K3" s="564" t="s">
        <v>1433</v>
      </c>
      <c r="L3" s="565"/>
      <c r="M3" s="565"/>
      <c r="N3" s="565"/>
      <c r="O3" s="367" t="s">
        <v>1363</v>
      </c>
    </row>
    <row r="4" spans="1:15" s="332" customFormat="1" ht="22.5" customHeight="1" thickBot="1">
      <c r="A4" s="335" t="s">
        <v>472</v>
      </c>
      <c r="B4" s="117" t="s">
        <v>704</v>
      </c>
      <c r="C4" s="110"/>
      <c r="D4" s="564" t="s">
        <v>473</v>
      </c>
      <c r="E4" s="562"/>
      <c r="F4" s="562"/>
      <c r="G4" s="562"/>
      <c r="H4" s="563"/>
      <c r="I4" s="123" t="s">
        <v>149</v>
      </c>
      <c r="J4" s="311"/>
      <c r="K4" s="121"/>
      <c r="L4" s="125"/>
      <c r="M4" s="121"/>
      <c r="N4" s="333"/>
      <c r="O4" s="334"/>
    </row>
    <row r="5" spans="1:15" s="332" customFormat="1" ht="28.5" customHeight="1" thickBot="1">
      <c r="A5" s="115"/>
      <c r="B5" s="253"/>
      <c r="C5" s="114"/>
      <c r="D5" s="561" t="s">
        <v>474</v>
      </c>
      <c r="E5" s="562"/>
      <c r="F5" s="562"/>
      <c r="G5" s="562"/>
      <c r="H5" s="563"/>
      <c r="I5" s="367">
        <v>45473</v>
      </c>
      <c r="J5" s="312"/>
      <c r="K5" s="122"/>
      <c r="L5" s="126"/>
      <c r="M5" s="122"/>
      <c r="N5" s="333"/>
      <c r="O5" s="334"/>
    </row>
    <row r="6" spans="1:15" s="332" customFormat="1" ht="15.6" hidden="1">
      <c r="A6" s="139" t="s">
        <v>475</v>
      </c>
      <c r="B6" s="111"/>
      <c r="C6" s="112"/>
      <c r="D6" s="29"/>
      <c r="E6" s="113"/>
      <c r="F6" s="113"/>
      <c r="G6" s="113"/>
      <c r="H6" s="113"/>
      <c r="I6" s="110"/>
      <c r="J6" s="313"/>
      <c r="K6" s="110"/>
      <c r="L6" s="127"/>
      <c r="M6" s="110"/>
      <c r="N6" s="333"/>
      <c r="O6" s="334"/>
    </row>
    <row r="7" spans="1:15" s="332" customFormat="1" ht="9" customHeight="1">
      <c r="A7" s="111"/>
      <c r="B7" s="111"/>
      <c r="C7" s="112"/>
      <c r="D7" s="29"/>
      <c r="E7" s="113"/>
      <c r="F7" s="113"/>
      <c r="G7" s="113"/>
      <c r="H7" s="113"/>
      <c r="I7" s="110"/>
      <c r="J7" s="313"/>
      <c r="K7" s="110"/>
      <c r="L7" s="127"/>
      <c r="M7" s="110"/>
      <c r="N7" s="333"/>
      <c r="O7" s="334"/>
    </row>
    <row r="8" spans="1:15" s="332" customFormat="1" ht="16.2" hidden="1" thickBot="1">
      <c r="A8" s="334" t="s">
        <v>476</v>
      </c>
      <c r="B8" s="111"/>
      <c r="C8" s="336">
        <v>6</v>
      </c>
      <c r="D8" s="29"/>
      <c r="E8" s="118" t="str">
        <f>IF(C8="","** please complete **","")</f>
        <v/>
      </c>
      <c r="F8" s="113"/>
      <c r="G8" s="113"/>
      <c r="H8" s="113"/>
      <c r="I8" s="110"/>
      <c r="J8" s="313"/>
      <c r="K8" s="110"/>
      <c r="L8" s="127"/>
      <c r="M8" s="110"/>
      <c r="N8" s="333"/>
      <c r="O8" s="334"/>
    </row>
    <row r="9" spans="1:15" s="332" customFormat="1" ht="16.2" hidden="1" thickBot="1">
      <c r="A9" s="334" t="s">
        <v>477</v>
      </c>
      <c r="B9" s="111"/>
      <c r="C9" s="336"/>
      <c r="D9" s="29"/>
      <c r="E9" s="118" t="str">
        <f>IF(C9="","** please complete **","")</f>
        <v>** please complete **</v>
      </c>
      <c r="F9" s="113"/>
      <c r="G9" s="113"/>
      <c r="H9" s="113"/>
      <c r="I9" s="110"/>
      <c r="J9" s="313"/>
      <c r="K9" s="110"/>
      <c r="L9" s="127"/>
      <c r="M9" s="110"/>
      <c r="N9" s="333"/>
      <c r="O9" s="334"/>
    </row>
    <row r="10" spans="1:15" s="332" customFormat="1" ht="16.2" hidden="1" thickBot="1">
      <c r="A10" s="334" t="s">
        <v>478</v>
      </c>
      <c r="B10" s="111"/>
      <c r="C10" s="336"/>
      <c r="D10" s="29"/>
      <c r="E10" s="118" t="str">
        <f>IF(C10="","** please complete **","")</f>
        <v>** please complete **</v>
      </c>
      <c r="F10" s="113"/>
      <c r="G10" s="113"/>
      <c r="H10" s="113"/>
      <c r="I10" s="110"/>
      <c r="J10" s="313"/>
      <c r="K10" s="110"/>
      <c r="L10" s="127"/>
      <c r="M10" s="110"/>
      <c r="N10" s="333"/>
      <c r="O10" s="334"/>
    </row>
    <row r="11" spans="1:15" s="62" customFormat="1" ht="14.25" customHeight="1">
      <c r="A11" s="140"/>
      <c r="B11" s="30"/>
      <c r="C11" s="31" t="s">
        <v>479</v>
      </c>
      <c r="D11" s="30"/>
      <c r="E11" s="31" t="s">
        <v>1464</v>
      </c>
      <c r="F11" s="32"/>
      <c r="G11" s="31"/>
      <c r="H11" s="32"/>
      <c r="I11" s="31"/>
      <c r="J11" s="314"/>
      <c r="K11" s="31"/>
      <c r="L11" s="31"/>
      <c r="M11" s="31"/>
      <c r="N11" s="337"/>
      <c r="O11" s="338"/>
    </row>
    <row r="12" spans="1:15" s="62" customFormat="1" ht="33" customHeight="1">
      <c r="A12" s="567" t="s">
        <v>428</v>
      </c>
      <c r="B12" s="568"/>
      <c r="C12" s="568"/>
      <c r="D12" s="568"/>
      <c r="E12" s="568"/>
      <c r="F12" s="568"/>
      <c r="G12" s="568"/>
      <c r="H12" s="568"/>
      <c r="I12" s="568"/>
      <c r="J12" s="568"/>
      <c r="K12" s="568"/>
      <c r="L12" s="568"/>
      <c r="M12" s="568"/>
      <c r="N12" s="568"/>
      <c r="O12" s="569"/>
    </row>
    <row r="13" spans="1:15" s="120" customFormat="1" ht="96.6">
      <c r="A13" s="119"/>
      <c r="B13" s="133"/>
      <c r="C13" s="134" t="s">
        <v>480</v>
      </c>
      <c r="D13" s="135"/>
      <c r="E13" s="134" t="s">
        <v>481</v>
      </c>
      <c r="F13" s="136"/>
      <c r="G13" s="134" t="s">
        <v>482</v>
      </c>
      <c r="H13" s="136"/>
      <c r="I13" s="134" t="s">
        <v>483</v>
      </c>
      <c r="J13" s="315" t="s">
        <v>484</v>
      </c>
      <c r="K13" s="134" t="s">
        <v>485</v>
      </c>
      <c r="L13" s="134"/>
      <c r="M13" s="134" t="s">
        <v>1434</v>
      </c>
      <c r="N13" s="131"/>
      <c r="O13" s="491" t="s">
        <v>546</v>
      </c>
    </row>
    <row r="14" spans="1:15" s="62" customFormat="1" ht="23.25" customHeight="1">
      <c r="A14" s="33"/>
      <c r="B14" s="137"/>
      <c r="C14" s="559" t="s">
        <v>486</v>
      </c>
      <c r="D14" s="559"/>
      <c r="E14" s="559"/>
      <c r="F14" s="559"/>
      <c r="G14" s="559"/>
      <c r="H14" s="559"/>
      <c r="I14" s="559"/>
      <c r="J14" s="559"/>
      <c r="K14" s="559"/>
      <c r="L14" s="559"/>
      <c r="M14" s="559"/>
      <c r="N14" s="339"/>
      <c r="O14" s="492"/>
    </row>
    <row r="15" spans="1:15" s="332" customFormat="1" ht="26.25" customHeight="1">
      <c r="A15" s="34" t="s">
        <v>487</v>
      </c>
      <c r="B15" s="35" t="s">
        <v>488</v>
      </c>
      <c r="C15" s="36" t="s">
        <v>489</v>
      </c>
      <c r="D15" s="328" t="s">
        <v>490</v>
      </c>
      <c r="E15" s="36" t="s">
        <v>489</v>
      </c>
      <c r="G15" s="36" t="s">
        <v>489</v>
      </c>
      <c r="I15" s="36" t="s">
        <v>489</v>
      </c>
      <c r="J15" s="316"/>
      <c r="K15" s="36" t="s">
        <v>489</v>
      </c>
      <c r="L15" s="128"/>
      <c r="M15" s="36" t="s">
        <v>489</v>
      </c>
      <c r="O15" s="493"/>
    </row>
    <row r="16" spans="1:15" s="332" customFormat="1" ht="19.5" customHeight="1">
      <c r="A16" s="38" t="s">
        <v>491</v>
      </c>
      <c r="B16" s="39" t="s">
        <v>492</v>
      </c>
      <c r="C16" s="494">
        <v>2579341</v>
      </c>
      <c r="D16" s="329" t="s">
        <v>493</v>
      </c>
      <c r="E16" s="488">
        <v>2601985</v>
      </c>
      <c r="F16" s="340"/>
      <c r="G16" s="495">
        <v>2721022</v>
      </c>
      <c r="H16" s="340"/>
      <c r="I16" s="495">
        <v>799792</v>
      </c>
      <c r="J16" s="496">
        <v>0.28999999999999998</v>
      </c>
      <c r="K16" s="495">
        <v>2721102</v>
      </c>
      <c r="L16" s="341"/>
      <c r="M16" s="497">
        <f>K16-E16</f>
        <v>119117</v>
      </c>
      <c r="N16" s="340"/>
      <c r="O16" s="498" t="s">
        <v>1469</v>
      </c>
    </row>
    <row r="17" spans="1:15" s="332" customFormat="1" ht="19.5" customHeight="1">
      <c r="A17" s="38" t="s">
        <v>494</v>
      </c>
      <c r="B17" s="39" t="s">
        <v>495</v>
      </c>
      <c r="C17" s="494">
        <v>0</v>
      </c>
      <c r="D17" s="330" t="s">
        <v>496</v>
      </c>
      <c r="E17" s="488">
        <v>0</v>
      </c>
      <c r="F17" s="340"/>
      <c r="G17" s="495">
        <v>0</v>
      </c>
      <c r="H17" s="340"/>
      <c r="I17" s="495">
        <v>0</v>
      </c>
      <c r="J17" s="496">
        <v>0</v>
      </c>
      <c r="K17" s="495">
        <v>0</v>
      </c>
      <c r="L17" s="341"/>
      <c r="M17" s="143">
        <f t="shared" ref="M17:M34" si="0">K17-E17</f>
        <v>0</v>
      </c>
      <c r="N17" s="340"/>
      <c r="O17" s="498"/>
    </row>
    <row r="18" spans="1:15" s="332" customFormat="1" ht="19.5" customHeight="1">
      <c r="A18" s="38" t="s">
        <v>497</v>
      </c>
      <c r="B18" s="39" t="s">
        <v>498</v>
      </c>
      <c r="C18" s="494">
        <v>99237</v>
      </c>
      <c r="D18" s="330" t="s">
        <v>499</v>
      </c>
      <c r="E18" s="488">
        <v>88985</v>
      </c>
      <c r="F18" s="340"/>
      <c r="G18" s="495">
        <v>96642</v>
      </c>
      <c r="H18" s="340"/>
      <c r="I18" s="495">
        <v>22246</v>
      </c>
      <c r="J18" s="496">
        <v>0.23</v>
      </c>
      <c r="K18" s="495">
        <v>96642</v>
      </c>
      <c r="L18" s="341"/>
      <c r="M18" s="497">
        <f t="shared" si="0"/>
        <v>7657</v>
      </c>
      <c r="N18" s="340"/>
      <c r="O18" s="498" t="s">
        <v>1470</v>
      </c>
    </row>
    <row r="19" spans="1:15" s="332" customFormat="1" ht="19.5" customHeight="1">
      <c r="A19" s="38" t="s">
        <v>500</v>
      </c>
      <c r="B19" s="39" t="s">
        <v>501</v>
      </c>
      <c r="C19" s="494">
        <v>0</v>
      </c>
      <c r="D19" s="330" t="s">
        <v>502</v>
      </c>
      <c r="E19" s="488">
        <v>0</v>
      </c>
      <c r="F19" s="340"/>
      <c r="G19" s="495">
        <v>0</v>
      </c>
      <c r="H19" s="340"/>
      <c r="I19" s="495">
        <v>0</v>
      </c>
      <c r="J19" s="496">
        <v>0</v>
      </c>
      <c r="K19" s="495">
        <v>0</v>
      </c>
      <c r="L19" s="341"/>
      <c r="M19" s="143">
        <f t="shared" si="0"/>
        <v>0</v>
      </c>
      <c r="N19" s="340"/>
      <c r="O19" s="498"/>
    </row>
    <row r="20" spans="1:15" s="332" customFormat="1" ht="19.5" customHeight="1">
      <c r="A20" s="38" t="s">
        <v>503</v>
      </c>
      <c r="B20" s="39" t="s">
        <v>504</v>
      </c>
      <c r="C20" s="494">
        <v>186180</v>
      </c>
      <c r="D20" s="330" t="s">
        <v>505</v>
      </c>
      <c r="E20" s="488">
        <v>199830</v>
      </c>
      <c r="F20" s="340"/>
      <c r="G20" s="495">
        <v>199830</v>
      </c>
      <c r="H20" s="340"/>
      <c r="I20" s="495">
        <v>0</v>
      </c>
      <c r="J20" s="496">
        <v>0</v>
      </c>
      <c r="K20" s="495">
        <v>199830</v>
      </c>
      <c r="L20" s="341"/>
      <c r="M20" s="143">
        <f t="shared" si="0"/>
        <v>0</v>
      </c>
      <c r="N20" s="340"/>
      <c r="O20" s="498"/>
    </row>
    <row r="21" spans="1:15" s="332" customFormat="1" ht="19.5" customHeight="1">
      <c r="A21" s="38" t="s">
        <v>506</v>
      </c>
      <c r="B21" s="39" t="s">
        <v>507</v>
      </c>
      <c r="C21" s="494">
        <v>1706</v>
      </c>
      <c r="D21" s="330" t="s">
        <v>508</v>
      </c>
      <c r="E21" s="488">
        <v>0</v>
      </c>
      <c r="F21" s="340"/>
      <c r="G21" s="495">
        <v>109721</v>
      </c>
      <c r="H21" s="340"/>
      <c r="I21" s="495">
        <v>8673</v>
      </c>
      <c r="J21" s="496">
        <v>0.08</v>
      </c>
      <c r="K21" s="495">
        <v>109721</v>
      </c>
      <c r="L21" s="341"/>
      <c r="M21" s="497">
        <f t="shared" si="0"/>
        <v>109721</v>
      </c>
      <c r="N21" s="340"/>
      <c r="O21" s="498" t="s">
        <v>1471</v>
      </c>
    </row>
    <row r="22" spans="1:15" s="332" customFormat="1" ht="19.5" customHeight="1">
      <c r="A22" s="38" t="s">
        <v>509</v>
      </c>
      <c r="B22" s="39" t="s">
        <v>510</v>
      </c>
      <c r="C22" s="494">
        <v>0</v>
      </c>
      <c r="D22" s="330" t="s">
        <v>511</v>
      </c>
      <c r="E22" s="488">
        <v>0</v>
      </c>
      <c r="F22" s="340"/>
      <c r="G22" s="495">
        <v>0</v>
      </c>
      <c r="H22" s="340"/>
      <c r="I22" s="495">
        <v>0</v>
      </c>
      <c r="J22" s="496">
        <v>0</v>
      </c>
      <c r="K22" s="495">
        <v>0</v>
      </c>
      <c r="L22" s="341"/>
      <c r="M22" s="143">
        <f t="shared" si="0"/>
        <v>0</v>
      </c>
      <c r="N22" s="340"/>
      <c r="O22" s="498"/>
    </row>
    <row r="23" spans="1:15" s="332" customFormat="1" ht="19.5" customHeight="1">
      <c r="A23" s="38" t="s">
        <v>512</v>
      </c>
      <c r="B23" s="39" t="s">
        <v>513</v>
      </c>
      <c r="C23" s="494">
        <v>24357</v>
      </c>
      <c r="D23" s="330" t="s">
        <v>514</v>
      </c>
      <c r="E23" s="488">
        <v>26500</v>
      </c>
      <c r="F23" s="340"/>
      <c r="G23" s="495">
        <v>26500</v>
      </c>
      <c r="H23" s="340"/>
      <c r="I23" s="495">
        <v>4417</v>
      </c>
      <c r="J23" s="499">
        <v>0.16</v>
      </c>
      <c r="K23" s="495">
        <v>26500</v>
      </c>
      <c r="L23" s="341"/>
      <c r="M23" s="143">
        <f t="shared" si="0"/>
        <v>0</v>
      </c>
      <c r="N23" s="340"/>
      <c r="O23" s="498" t="s">
        <v>1472</v>
      </c>
    </row>
    <row r="24" spans="1:15" s="332" customFormat="1" ht="19.5" customHeight="1">
      <c r="A24" s="38" t="s">
        <v>515</v>
      </c>
      <c r="B24" s="39" t="s">
        <v>516</v>
      </c>
      <c r="C24" s="494">
        <v>8652</v>
      </c>
      <c r="D24" s="330" t="s">
        <v>517</v>
      </c>
      <c r="E24" s="488">
        <v>2000</v>
      </c>
      <c r="F24" s="340"/>
      <c r="G24" s="495">
        <v>2000</v>
      </c>
      <c r="H24" s="340"/>
      <c r="I24" s="495">
        <v>3525</v>
      </c>
      <c r="J24" s="499">
        <v>1</v>
      </c>
      <c r="K24" s="495">
        <v>3525</v>
      </c>
      <c r="L24" s="341"/>
      <c r="M24" s="497">
        <f t="shared" si="0"/>
        <v>1525</v>
      </c>
      <c r="N24" s="340"/>
      <c r="O24" s="498" t="s">
        <v>1473</v>
      </c>
    </row>
    <row r="25" spans="1:15" s="332" customFormat="1" ht="19.5" customHeight="1">
      <c r="A25" s="38" t="s">
        <v>518</v>
      </c>
      <c r="B25" s="39" t="s">
        <v>519</v>
      </c>
      <c r="C25" s="494">
        <v>38695</v>
      </c>
      <c r="D25" s="330" t="s">
        <v>520</v>
      </c>
      <c r="E25" s="488">
        <v>40000</v>
      </c>
      <c r="F25" s="340"/>
      <c r="G25" s="495">
        <v>40000</v>
      </c>
      <c r="H25" s="340"/>
      <c r="I25" s="495">
        <v>9273</v>
      </c>
      <c r="J25" s="496">
        <v>0.23</v>
      </c>
      <c r="K25" s="495">
        <v>40000</v>
      </c>
      <c r="L25" s="341"/>
      <c r="M25" s="143">
        <f t="shared" si="0"/>
        <v>0</v>
      </c>
      <c r="N25" s="340"/>
      <c r="O25" s="498"/>
    </row>
    <row r="26" spans="1:15" s="332" customFormat="1" ht="19.5" customHeight="1">
      <c r="A26" s="38" t="s">
        <v>521</v>
      </c>
      <c r="B26" s="39" t="s">
        <v>522</v>
      </c>
      <c r="C26" s="494">
        <v>5750</v>
      </c>
      <c r="D26" s="330" t="s">
        <v>523</v>
      </c>
      <c r="E26" s="488">
        <v>0</v>
      </c>
      <c r="F26" s="340"/>
      <c r="G26" s="495">
        <v>0</v>
      </c>
      <c r="H26" s="340"/>
      <c r="I26" s="495">
        <v>1150</v>
      </c>
      <c r="J26" s="499">
        <v>1</v>
      </c>
      <c r="K26" s="495">
        <v>1150</v>
      </c>
      <c r="L26" s="341"/>
      <c r="M26" s="497">
        <f t="shared" si="0"/>
        <v>1150</v>
      </c>
      <c r="N26" s="340"/>
      <c r="O26" s="498" t="s">
        <v>1474</v>
      </c>
    </row>
    <row r="27" spans="1:15" s="332" customFormat="1" ht="19.5" customHeight="1">
      <c r="A27" s="38" t="s">
        <v>524</v>
      </c>
      <c r="B27" s="39" t="s">
        <v>525</v>
      </c>
      <c r="C27" s="494">
        <v>0</v>
      </c>
      <c r="D27" s="330" t="s">
        <v>526</v>
      </c>
      <c r="E27" s="488">
        <v>0</v>
      </c>
      <c r="F27" s="340"/>
      <c r="G27" s="495">
        <v>0</v>
      </c>
      <c r="H27" s="340"/>
      <c r="I27" s="495">
        <v>0</v>
      </c>
      <c r="J27" s="496">
        <v>0</v>
      </c>
      <c r="K27" s="495">
        <v>0</v>
      </c>
      <c r="L27" s="341"/>
      <c r="M27" s="143">
        <f t="shared" si="0"/>
        <v>0</v>
      </c>
      <c r="N27" s="340"/>
      <c r="O27" s="498"/>
    </row>
    <row r="28" spans="1:15" s="332" customFormat="1" ht="19.5" customHeight="1">
      <c r="A28" s="38" t="s">
        <v>527</v>
      </c>
      <c r="B28" s="39" t="s">
        <v>528</v>
      </c>
      <c r="C28" s="494">
        <v>62456</v>
      </c>
      <c r="D28" s="330" t="s">
        <v>529</v>
      </c>
      <c r="E28" s="488">
        <v>63000</v>
      </c>
      <c r="F28" s="340"/>
      <c r="G28" s="495">
        <v>63000</v>
      </c>
      <c r="H28" s="340"/>
      <c r="I28" s="495">
        <v>34760</v>
      </c>
      <c r="J28" s="499">
        <v>0.55000000000000004</v>
      </c>
      <c r="K28" s="495">
        <v>63000</v>
      </c>
      <c r="L28" s="341"/>
      <c r="M28" s="143">
        <f t="shared" si="0"/>
        <v>0</v>
      </c>
      <c r="N28" s="340"/>
      <c r="O28" s="498" t="s">
        <v>1475</v>
      </c>
    </row>
    <row r="29" spans="1:15" s="332" customFormat="1" ht="19.5" customHeight="1">
      <c r="A29" s="38" t="s">
        <v>530</v>
      </c>
      <c r="B29" s="39" t="s">
        <v>531</v>
      </c>
      <c r="C29" s="494">
        <v>25000</v>
      </c>
      <c r="D29" s="330" t="s">
        <v>532</v>
      </c>
      <c r="E29" s="488">
        <v>0</v>
      </c>
      <c r="F29" s="340"/>
      <c r="G29" s="495">
        <v>0</v>
      </c>
      <c r="H29" s="340"/>
      <c r="I29" s="495">
        <v>5000</v>
      </c>
      <c r="J29" s="499">
        <v>1</v>
      </c>
      <c r="K29" s="495">
        <v>5000</v>
      </c>
      <c r="L29" s="341"/>
      <c r="M29" s="497">
        <f t="shared" si="0"/>
        <v>5000</v>
      </c>
      <c r="N29" s="340"/>
      <c r="O29" s="498" t="s">
        <v>1476</v>
      </c>
    </row>
    <row r="30" spans="1:15" s="332" customFormat="1" ht="19.5" customHeight="1">
      <c r="A30" s="38" t="s">
        <v>533</v>
      </c>
      <c r="B30" s="39" t="s">
        <v>534</v>
      </c>
      <c r="C30" s="494">
        <v>0</v>
      </c>
      <c r="D30" s="330"/>
      <c r="E30" s="488">
        <v>0</v>
      </c>
      <c r="F30" s="340"/>
      <c r="G30" s="495">
        <v>0</v>
      </c>
      <c r="H30" s="340"/>
      <c r="I30" s="495">
        <v>0</v>
      </c>
      <c r="J30" s="496">
        <v>0</v>
      </c>
      <c r="K30" s="495">
        <v>0</v>
      </c>
      <c r="L30" s="341"/>
      <c r="M30" s="143">
        <f t="shared" si="0"/>
        <v>0</v>
      </c>
      <c r="N30" s="340"/>
      <c r="O30" s="498"/>
    </row>
    <row r="31" spans="1:15" s="332" customFormat="1" ht="19.5" customHeight="1">
      <c r="A31" s="38" t="s">
        <v>535</v>
      </c>
      <c r="B31" s="39" t="s">
        <v>536</v>
      </c>
      <c r="C31" s="494">
        <v>0</v>
      </c>
      <c r="D31" s="330" t="s">
        <v>537</v>
      </c>
      <c r="E31" s="488">
        <v>0</v>
      </c>
      <c r="F31" s="340"/>
      <c r="G31" s="495">
        <v>0</v>
      </c>
      <c r="H31" s="340"/>
      <c r="I31" s="495">
        <v>0</v>
      </c>
      <c r="J31" s="496">
        <v>0</v>
      </c>
      <c r="K31" s="495">
        <v>0</v>
      </c>
      <c r="L31" s="341"/>
      <c r="M31" s="143">
        <f t="shared" si="0"/>
        <v>0</v>
      </c>
      <c r="N31" s="340"/>
      <c r="O31" s="498"/>
    </row>
    <row r="32" spans="1:15" s="332" customFormat="1" ht="19.5" customHeight="1">
      <c r="A32" s="38" t="s">
        <v>538</v>
      </c>
      <c r="B32" s="39" t="s">
        <v>536</v>
      </c>
      <c r="C32" s="494">
        <v>0</v>
      </c>
      <c r="D32" s="330" t="s">
        <v>539</v>
      </c>
      <c r="E32" s="488">
        <v>0</v>
      </c>
      <c r="F32" s="340"/>
      <c r="G32" s="495">
        <v>0</v>
      </c>
      <c r="H32" s="340"/>
      <c r="I32" s="495">
        <v>0</v>
      </c>
      <c r="J32" s="496">
        <v>0</v>
      </c>
      <c r="K32" s="495">
        <v>0</v>
      </c>
      <c r="L32" s="341"/>
      <c r="M32" s="143">
        <f t="shared" si="0"/>
        <v>0</v>
      </c>
      <c r="N32" s="340"/>
      <c r="O32" s="498"/>
    </row>
    <row r="33" spans="1:15" s="332" customFormat="1" ht="19.5" customHeight="1">
      <c r="A33" s="38" t="s">
        <v>540</v>
      </c>
      <c r="B33" s="39" t="s">
        <v>536</v>
      </c>
      <c r="C33" s="494">
        <v>369</v>
      </c>
      <c r="D33" s="330" t="s">
        <v>541</v>
      </c>
      <c r="E33" s="488">
        <v>0</v>
      </c>
      <c r="F33" s="340"/>
      <c r="G33" s="495">
        <v>0</v>
      </c>
      <c r="H33" s="340"/>
      <c r="I33" s="495">
        <v>0</v>
      </c>
      <c r="J33" s="496">
        <v>0</v>
      </c>
      <c r="K33" s="495">
        <v>0</v>
      </c>
      <c r="L33" s="341"/>
      <c r="M33" s="143">
        <f t="shared" si="0"/>
        <v>0</v>
      </c>
      <c r="N33" s="340"/>
      <c r="O33" s="498"/>
    </row>
    <row r="34" spans="1:15" s="332" customFormat="1" ht="19.5" customHeight="1" thickBot="1">
      <c r="A34" s="40" t="s">
        <v>542</v>
      </c>
      <c r="B34" s="39" t="s">
        <v>543</v>
      </c>
      <c r="C34" s="494">
        <v>113458</v>
      </c>
      <c r="D34" s="330" t="s">
        <v>544</v>
      </c>
      <c r="E34" s="488">
        <v>109721</v>
      </c>
      <c r="F34" s="340"/>
      <c r="G34" s="495">
        <v>0</v>
      </c>
      <c r="H34" s="340"/>
      <c r="I34" s="495">
        <v>0</v>
      </c>
      <c r="J34" s="496">
        <v>0</v>
      </c>
      <c r="K34" s="495">
        <v>0</v>
      </c>
      <c r="L34" s="341"/>
      <c r="M34" s="497">
        <f t="shared" si="0"/>
        <v>-109721</v>
      </c>
      <c r="N34" s="340"/>
      <c r="O34" s="498" t="s">
        <v>1477</v>
      </c>
    </row>
    <row r="35" spans="1:15" s="332" customFormat="1" ht="19.5" customHeight="1" thickBot="1">
      <c r="A35" s="38"/>
      <c r="B35" s="41" t="s">
        <v>545</v>
      </c>
      <c r="C35" s="1">
        <v>3145201</v>
      </c>
      <c r="D35" s="331"/>
      <c r="E35" s="1">
        <v>3132021</v>
      </c>
      <c r="F35" s="340"/>
      <c r="G35" s="1">
        <v>3258715</v>
      </c>
      <c r="H35" s="340"/>
      <c r="I35" s="1">
        <v>888836</v>
      </c>
      <c r="J35" s="500">
        <v>0.27</v>
      </c>
      <c r="K35" s="1">
        <v>3266470</v>
      </c>
      <c r="L35" s="64"/>
      <c r="M35" s="144">
        <f>SUM(M16:M34)</f>
        <v>134449</v>
      </c>
      <c r="O35" s="501">
        <f>K35-E35-M35</f>
        <v>0</v>
      </c>
    </row>
    <row r="36" spans="1:15" s="332" customFormat="1" ht="12" customHeight="1">
      <c r="A36" s="38"/>
      <c r="B36" s="41"/>
      <c r="C36" s="6"/>
      <c r="D36" s="331"/>
      <c r="E36" s="6"/>
      <c r="G36" s="6"/>
      <c r="I36" s="6"/>
      <c r="J36" s="317"/>
      <c r="K36" s="6"/>
      <c r="L36" s="51"/>
      <c r="M36" s="6"/>
      <c r="O36" s="493"/>
    </row>
    <row r="37" spans="1:15" s="332" customFormat="1" ht="96.6">
      <c r="A37" s="47" t="str">
        <f>B3</f>
        <v>River Cam Primary School</v>
      </c>
      <c r="B37" s="41"/>
      <c r="C37" s="134" t="s">
        <v>480</v>
      </c>
      <c r="D37" s="135"/>
      <c r="E37" s="134" t="s">
        <v>481</v>
      </c>
      <c r="F37" s="136"/>
      <c r="G37" s="134" t="s">
        <v>482</v>
      </c>
      <c r="H37" s="136"/>
      <c r="I37" s="134" t="s">
        <v>483</v>
      </c>
      <c r="J37" s="315" t="s">
        <v>484</v>
      </c>
      <c r="K37" s="134" t="s">
        <v>485</v>
      </c>
      <c r="L37" s="134"/>
      <c r="M37" s="134" t="s">
        <v>1434</v>
      </c>
      <c r="N37" s="131"/>
      <c r="O37" s="491" t="s">
        <v>546</v>
      </c>
    </row>
    <row r="38" spans="1:15" s="62" customFormat="1" ht="23.25" customHeight="1">
      <c r="A38" s="33"/>
      <c r="B38" s="137"/>
      <c r="C38" s="559" t="s">
        <v>486</v>
      </c>
      <c r="D38" s="559"/>
      <c r="E38" s="559"/>
      <c r="F38" s="559"/>
      <c r="G38" s="559"/>
      <c r="H38" s="559"/>
      <c r="I38" s="559"/>
      <c r="J38" s="559"/>
      <c r="K38" s="559"/>
      <c r="L38" s="559"/>
      <c r="M38" s="559"/>
      <c r="N38" s="339"/>
      <c r="O38" s="492"/>
    </row>
    <row r="39" spans="1:15" s="332" customFormat="1" ht="19.5" customHeight="1">
      <c r="A39" s="44" t="s">
        <v>487</v>
      </c>
      <c r="B39" s="35" t="s">
        <v>547</v>
      </c>
      <c r="C39" s="42" t="s">
        <v>489</v>
      </c>
      <c r="D39" s="37"/>
      <c r="E39" s="42" t="s">
        <v>489</v>
      </c>
      <c r="G39" s="42" t="s">
        <v>489</v>
      </c>
      <c r="I39" s="42" t="s">
        <v>489</v>
      </c>
      <c r="J39" s="316"/>
      <c r="K39" s="42" t="s">
        <v>489</v>
      </c>
      <c r="L39" s="128"/>
      <c r="M39" s="42" t="s">
        <v>489</v>
      </c>
      <c r="O39" s="493"/>
    </row>
    <row r="40" spans="1:15" s="332" customFormat="1" ht="38.1" customHeight="1">
      <c r="A40" s="38" t="s">
        <v>548</v>
      </c>
      <c r="B40" s="39" t="s">
        <v>549</v>
      </c>
      <c r="C40" s="142">
        <v>1652391</v>
      </c>
      <c r="D40" s="330" t="s">
        <v>550</v>
      </c>
      <c r="E40" s="489">
        <v>1573482</v>
      </c>
      <c r="F40" s="340"/>
      <c r="G40" s="502">
        <v>1546457</v>
      </c>
      <c r="H40" s="340"/>
      <c r="I40" s="502">
        <v>371156</v>
      </c>
      <c r="J40" s="496">
        <v>0.24</v>
      </c>
      <c r="K40" s="502">
        <v>1546457</v>
      </c>
      <c r="L40" s="341"/>
      <c r="M40" s="497">
        <f>K40-E40</f>
        <v>-27025</v>
      </c>
      <c r="N40" s="340"/>
      <c r="O40" s="503" t="s">
        <v>1478</v>
      </c>
    </row>
    <row r="41" spans="1:15" s="332" customFormat="1" ht="19.5" customHeight="1">
      <c r="A41" s="38" t="s">
        <v>551</v>
      </c>
      <c r="B41" s="39" t="s">
        <v>552</v>
      </c>
      <c r="C41" s="142">
        <v>0</v>
      </c>
      <c r="D41" s="330" t="s">
        <v>553</v>
      </c>
      <c r="E41" s="489">
        <v>0</v>
      </c>
      <c r="F41" s="340"/>
      <c r="G41" s="495">
        <v>0</v>
      </c>
      <c r="H41" s="340"/>
      <c r="I41" s="495">
        <v>0</v>
      </c>
      <c r="J41" s="504">
        <v>0</v>
      </c>
      <c r="K41" s="495">
        <v>0</v>
      </c>
      <c r="L41" s="341"/>
      <c r="M41" s="143">
        <f t="shared" ref="M41:M70" si="1">K41-E41</f>
        <v>0</v>
      </c>
      <c r="N41" s="340"/>
      <c r="O41" s="503"/>
    </row>
    <row r="42" spans="1:15" s="332" customFormat="1" ht="19.5" customHeight="1">
      <c r="A42" s="38" t="s">
        <v>554</v>
      </c>
      <c r="B42" s="39" t="s">
        <v>555</v>
      </c>
      <c r="C42" s="142">
        <v>492384</v>
      </c>
      <c r="D42" s="330" t="s">
        <v>556</v>
      </c>
      <c r="E42" s="489">
        <v>541471</v>
      </c>
      <c r="F42" s="340"/>
      <c r="G42" s="495">
        <v>543856</v>
      </c>
      <c r="H42" s="340"/>
      <c r="I42" s="495">
        <v>130526</v>
      </c>
      <c r="J42" s="496">
        <v>0.23783428875113033</v>
      </c>
      <c r="K42" s="495">
        <v>543856</v>
      </c>
      <c r="L42" s="341"/>
      <c r="M42" s="497">
        <f t="shared" si="1"/>
        <v>2385</v>
      </c>
      <c r="N42" s="340"/>
      <c r="O42" s="498" t="s">
        <v>1479</v>
      </c>
    </row>
    <row r="43" spans="1:15" s="332" customFormat="1" ht="19.5" customHeight="1">
      <c r="A43" s="38" t="s">
        <v>557</v>
      </c>
      <c r="B43" s="39" t="s">
        <v>558</v>
      </c>
      <c r="C43" s="142">
        <v>60586</v>
      </c>
      <c r="D43" s="330" t="s">
        <v>559</v>
      </c>
      <c r="E43" s="489">
        <v>61172</v>
      </c>
      <c r="F43" s="340"/>
      <c r="G43" s="495">
        <v>61172</v>
      </c>
      <c r="H43" s="340"/>
      <c r="I43" s="495">
        <v>12696</v>
      </c>
      <c r="J43" s="496">
        <v>0.21</v>
      </c>
      <c r="K43" s="495">
        <v>61564</v>
      </c>
      <c r="L43" s="341"/>
      <c r="M43" s="497">
        <f t="shared" si="1"/>
        <v>392</v>
      </c>
      <c r="N43" s="340"/>
      <c r="O43" s="498" t="s">
        <v>1480</v>
      </c>
    </row>
    <row r="44" spans="1:15" s="332" customFormat="1" ht="19.5" customHeight="1">
      <c r="A44" s="38" t="s">
        <v>560</v>
      </c>
      <c r="B44" s="39" t="s">
        <v>561</v>
      </c>
      <c r="C44" s="142">
        <v>125203</v>
      </c>
      <c r="D44" s="330" t="s">
        <v>562</v>
      </c>
      <c r="E44" s="489">
        <v>138445</v>
      </c>
      <c r="F44" s="340"/>
      <c r="G44" s="495">
        <v>138445</v>
      </c>
      <c r="H44" s="340"/>
      <c r="I44" s="495">
        <v>33837.5</v>
      </c>
      <c r="J44" s="496">
        <v>0.24</v>
      </c>
      <c r="K44" s="495">
        <v>135355</v>
      </c>
      <c r="L44" s="341"/>
      <c r="M44" s="497">
        <f t="shared" si="1"/>
        <v>-3090</v>
      </c>
      <c r="N44" s="340"/>
      <c r="O44" s="498" t="s">
        <v>1481</v>
      </c>
    </row>
    <row r="45" spans="1:15" s="332" customFormat="1" ht="19.5" customHeight="1">
      <c r="A45" s="38" t="s">
        <v>563</v>
      </c>
      <c r="B45" s="39" t="s">
        <v>564</v>
      </c>
      <c r="C45" s="142">
        <v>48363</v>
      </c>
      <c r="D45" s="330" t="s">
        <v>565</v>
      </c>
      <c r="E45" s="489">
        <v>52212</v>
      </c>
      <c r="F45" s="340"/>
      <c r="G45" s="495">
        <v>52212</v>
      </c>
      <c r="H45" s="340"/>
      <c r="I45" s="495">
        <v>12714</v>
      </c>
      <c r="J45" s="496">
        <v>0.25</v>
      </c>
      <c r="K45" s="495">
        <v>51873</v>
      </c>
      <c r="L45" s="341"/>
      <c r="M45" s="497">
        <f t="shared" si="1"/>
        <v>-339</v>
      </c>
      <c r="N45" s="340"/>
      <c r="O45" s="498" t="s">
        <v>1482</v>
      </c>
    </row>
    <row r="46" spans="1:15" s="332" customFormat="1" ht="19.5" customHeight="1">
      <c r="A46" s="38" t="s">
        <v>566</v>
      </c>
      <c r="B46" s="39" t="s">
        <v>567</v>
      </c>
      <c r="C46" s="142">
        <v>11935</v>
      </c>
      <c r="D46" s="330" t="s">
        <v>568</v>
      </c>
      <c r="E46" s="489">
        <v>12772</v>
      </c>
      <c r="F46" s="340"/>
      <c r="G46" s="495">
        <v>12772</v>
      </c>
      <c r="H46" s="340"/>
      <c r="I46" s="495">
        <v>3089</v>
      </c>
      <c r="J46" s="496">
        <v>0.24</v>
      </c>
      <c r="K46" s="495">
        <v>12667</v>
      </c>
      <c r="L46" s="341"/>
      <c r="M46" s="497">
        <f t="shared" si="1"/>
        <v>-105</v>
      </c>
      <c r="N46" s="340"/>
      <c r="O46" s="498" t="s">
        <v>1482</v>
      </c>
    </row>
    <row r="47" spans="1:15" s="332" customFormat="1" ht="19.5" customHeight="1">
      <c r="A47" s="38" t="s">
        <v>569</v>
      </c>
      <c r="B47" s="39" t="s">
        <v>570</v>
      </c>
      <c r="C47" s="142">
        <v>11583</v>
      </c>
      <c r="D47" s="330" t="s">
        <v>571</v>
      </c>
      <c r="E47" s="489">
        <v>13966</v>
      </c>
      <c r="F47" s="340"/>
      <c r="G47" s="495">
        <v>13966</v>
      </c>
      <c r="H47" s="340"/>
      <c r="I47" s="495">
        <v>2654</v>
      </c>
      <c r="J47" s="499">
        <v>0.19</v>
      </c>
      <c r="K47" s="495">
        <v>13966</v>
      </c>
      <c r="L47" s="341"/>
      <c r="M47" s="143">
        <f t="shared" si="1"/>
        <v>0</v>
      </c>
      <c r="N47" s="340"/>
      <c r="O47" s="498" t="s">
        <v>1483</v>
      </c>
    </row>
    <row r="48" spans="1:15" s="332" customFormat="1" ht="19.5" customHeight="1">
      <c r="A48" s="38" t="s">
        <v>572</v>
      </c>
      <c r="B48" s="39" t="s">
        <v>573</v>
      </c>
      <c r="C48" s="142">
        <v>9196</v>
      </c>
      <c r="D48" s="330" t="s">
        <v>574</v>
      </c>
      <c r="E48" s="489">
        <v>8000</v>
      </c>
      <c r="F48" s="340"/>
      <c r="G48" s="495">
        <v>8000</v>
      </c>
      <c r="H48" s="340"/>
      <c r="I48" s="495">
        <v>5750</v>
      </c>
      <c r="J48" s="499">
        <v>0.72</v>
      </c>
      <c r="K48" s="495">
        <v>8000</v>
      </c>
      <c r="L48" s="341"/>
      <c r="M48" s="143">
        <f t="shared" si="1"/>
        <v>0</v>
      </c>
      <c r="N48" s="340"/>
      <c r="O48" s="498" t="s">
        <v>1484</v>
      </c>
    </row>
    <row r="49" spans="1:15" s="332" customFormat="1" ht="19.5" customHeight="1">
      <c r="A49" s="38" t="s">
        <v>575</v>
      </c>
      <c r="B49" s="39" t="s">
        <v>576</v>
      </c>
      <c r="C49" s="142">
        <v>14096</v>
      </c>
      <c r="D49" s="330" t="s">
        <v>577</v>
      </c>
      <c r="E49" s="489">
        <v>14500</v>
      </c>
      <c r="F49" s="340"/>
      <c r="G49" s="495">
        <v>14500</v>
      </c>
      <c r="H49" s="340"/>
      <c r="I49" s="495">
        <v>0</v>
      </c>
      <c r="J49" s="496">
        <v>0</v>
      </c>
      <c r="K49" s="495">
        <v>14500</v>
      </c>
      <c r="L49" s="341"/>
      <c r="M49" s="143">
        <f t="shared" si="1"/>
        <v>0</v>
      </c>
      <c r="N49" s="340"/>
      <c r="O49" s="498"/>
    </row>
    <row r="50" spans="1:15" s="332" customFormat="1" ht="19.5" customHeight="1">
      <c r="A50" s="38" t="s">
        <v>578</v>
      </c>
      <c r="B50" s="39" t="s">
        <v>579</v>
      </c>
      <c r="C50" s="142">
        <v>1352</v>
      </c>
      <c r="D50" s="330" t="s">
        <v>580</v>
      </c>
      <c r="E50" s="489">
        <v>1800</v>
      </c>
      <c r="F50" s="340"/>
      <c r="G50" s="495">
        <v>1800</v>
      </c>
      <c r="H50" s="340"/>
      <c r="I50" s="495">
        <v>0</v>
      </c>
      <c r="J50" s="496">
        <v>0</v>
      </c>
      <c r="K50" s="495">
        <v>1800</v>
      </c>
      <c r="L50" s="341"/>
      <c r="M50" s="143">
        <f t="shared" si="1"/>
        <v>0</v>
      </c>
      <c r="N50" s="340"/>
      <c r="O50" s="498"/>
    </row>
    <row r="51" spans="1:15" s="332" customFormat="1" ht="19.5" customHeight="1">
      <c r="A51" s="38" t="s">
        <v>581</v>
      </c>
      <c r="B51" s="39" t="s">
        <v>582</v>
      </c>
      <c r="C51" s="142">
        <v>33954</v>
      </c>
      <c r="D51" s="330" t="s">
        <v>583</v>
      </c>
      <c r="E51" s="489">
        <v>20000</v>
      </c>
      <c r="F51" s="340"/>
      <c r="G51" s="495">
        <v>24000</v>
      </c>
      <c r="H51" s="340"/>
      <c r="I51" s="495">
        <v>7451</v>
      </c>
      <c r="J51" s="499">
        <v>0.31</v>
      </c>
      <c r="K51" s="495">
        <v>24000</v>
      </c>
      <c r="L51" s="341"/>
      <c r="M51" s="497">
        <f t="shared" si="1"/>
        <v>4000</v>
      </c>
      <c r="N51" s="340"/>
      <c r="O51" s="498" t="s">
        <v>1485</v>
      </c>
    </row>
    <row r="52" spans="1:15" s="332" customFormat="1" ht="39.9" customHeight="1">
      <c r="A52" s="38" t="s">
        <v>584</v>
      </c>
      <c r="B52" s="39" t="s">
        <v>585</v>
      </c>
      <c r="C52" s="142">
        <v>14000</v>
      </c>
      <c r="D52" s="330" t="s">
        <v>586</v>
      </c>
      <c r="E52" s="489">
        <v>14400</v>
      </c>
      <c r="F52" s="340"/>
      <c r="G52" s="495">
        <v>12300</v>
      </c>
      <c r="H52" s="340"/>
      <c r="I52" s="495">
        <v>4613</v>
      </c>
      <c r="J52" s="499">
        <v>0.38</v>
      </c>
      <c r="K52" s="495">
        <v>12300</v>
      </c>
      <c r="L52" s="341"/>
      <c r="M52" s="497">
        <f t="shared" si="1"/>
        <v>-2100</v>
      </c>
      <c r="N52" s="340"/>
      <c r="O52" s="503" t="s">
        <v>1486</v>
      </c>
    </row>
    <row r="53" spans="1:15" s="332" customFormat="1" ht="19.5" customHeight="1">
      <c r="A53" s="38" t="s">
        <v>587</v>
      </c>
      <c r="B53" s="39" t="s">
        <v>588</v>
      </c>
      <c r="C53" s="142">
        <v>57234</v>
      </c>
      <c r="D53" s="330" t="s">
        <v>589</v>
      </c>
      <c r="E53" s="489">
        <v>60000</v>
      </c>
      <c r="F53" s="340"/>
      <c r="G53" s="495">
        <v>60000</v>
      </c>
      <c r="H53" s="340"/>
      <c r="I53" s="495">
        <v>18500</v>
      </c>
      <c r="J53" s="499">
        <v>0.31</v>
      </c>
      <c r="K53" s="495">
        <v>65000</v>
      </c>
      <c r="L53" s="341"/>
      <c r="M53" s="143">
        <f t="shared" si="1"/>
        <v>5000</v>
      </c>
      <c r="N53" s="340"/>
      <c r="O53" s="498" t="s">
        <v>1487</v>
      </c>
    </row>
    <row r="54" spans="1:15" s="332" customFormat="1" ht="19.5" customHeight="1">
      <c r="A54" s="38" t="s">
        <v>590</v>
      </c>
      <c r="B54" s="39" t="s">
        <v>591</v>
      </c>
      <c r="C54" s="142">
        <v>9527</v>
      </c>
      <c r="D54" s="330" t="s">
        <v>592</v>
      </c>
      <c r="E54" s="489">
        <v>10000</v>
      </c>
      <c r="F54" s="340"/>
      <c r="G54" s="495">
        <v>10000</v>
      </c>
      <c r="H54" s="340"/>
      <c r="I54" s="495">
        <v>0</v>
      </c>
      <c r="J54" s="499">
        <v>0</v>
      </c>
      <c r="K54" s="495">
        <v>10000</v>
      </c>
      <c r="L54" s="341"/>
      <c r="M54" s="143">
        <f t="shared" si="1"/>
        <v>0</v>
      </c>
      <c r="N54" s="340"/>
      <c r="O54" s="498" t="s">
        <v>1488</v>
      </c>
    </row>
    <row r="55" spans="1:15" s="332" customFormat="1" ht="19.5" customHeight="1">
      <c r="A55" s="38" t="s">
        <v>593</v>
      </c>
      <c r="B55" s="39" t="s">
        <v>594</v>
      </c>
      <c r="C55" s="142">
        <v>67673</v>
      </c>
      <c r="D55" s="330" t="s">
        <v>595</v>
      </c>
      <c r="E55" s="489">
        <v>74441</v>
      </c>
      <c r="F55" s="340"/>
      <c r="G55" s="495">
        <v>74441</v>
      </c>
      <c r="H55" s="340"/>
      <c r="I55" s="495">
        <v>11166</v>
      </c>
      <c r="J55" s="499">
        <v>0.15</v>
      </c>
      <c r="K55" s="495">
        <v>74441</v>
      </c>
      <c r="L55" s="341"/>
      <c r="M55" s="143">
        <f t="shared" si="1"/>
        <v>0</v>
      </c>
      <c r="N55" s="340"/>
      <c r="O55" s="498" t="s">
        <v>1489</v>
      </c>
    </row>
    <row r="56" spans="1:15" s="332" customFormat="1" ht="19.5" customHeight="1">
      <c r="A56" s="38" t="s">
        <v>596</v>
      </c>
      <c r="B56" s="39" t="s">
        <v>597</v>
      </c>
      <c r="C56" s="142">
        <v>94310</v>
      </c>
      <c r="D56" s="330" t="s">
        <v>598</v>
      </c>
      <c r="E56" s="489">
        <v>0</v>
      </c>
      <c r="F56" s="340"/>
      <c r="G56" s="495">
        <v>0</v>
      </c>
      <c r="H56" s="340"/>
      <c r="I56" s="495">
        <v>97256</v>
      </c>
      <c r="J56" s="499">
        <v>1</v>
      </c>
      <c r="K56" s="495">
        <v>97256</v>
      </c>
      <c r="L56" s="341"/>
      <c r="M56" s="497">
        <f t="shared" si="1"/>
        <v>97256</v>
      </c>
      <c r="N56" s="340"/>
      <c r="O56" s="498" t="s">
        <v>1490</v>
      </c>
    </row>
    <row r="57" spans="1:15" s="332" customFormat="1" ht="19.5" customHeight="1">
      <c r="A57" s="38" t="s">
        <v>599</v>
      </c>
      <c r="B57" s="39" t="s">
        <v>600</v>
      </c>
      <c r="C57" s="142">
        <v>14951</v>
      </c>
      <c r="D57" s="330" t="s">
        <v>601</v>
      </c>
      <c r="E57" s="489">
        <v>8447</v>
      </c>
      <c r="F57" s="340"/>
      <c r="G57" s="495">
        <v>16447</v>
      </c>
      <c r="H57" s="340"/>
      <c r="I57" s="495">
        <v>4112</v>
      </c>
      <c r="J57" s="496">
        <v>0.25</v>
      </c>
      <c r="K57" s="495">
        <v>16447</v>
      </c>
      <c r="L57" s="341"/>
      <c r="M57" s="497">
        <f t="shared" si="1"/>
        <v>8000</v>
      </c>
      <c r="N57" s="340"/>
      <c r="O57" s="498" t="s">
        <v>1491</v>
      </c>
    </row>
    <row r="58" spans="1:15" s="332" customFormat="1" ht="19.5" customHeight="1">
      <c r="A58" s="38" t="s">
        <v>602</v>
      </c>
      <c r="B58" s="39" t="s">
        <v>603</v>
      </c>
      <c r="C58" s="142">
        <v>106502</v>
      </c>
      <c r="D58" s="330" t="s">
        <v>604</v>
      </c>
      <c r="E58" s="489">
        <v>105000</v>
      </c>
      <c r="F58" s="340"/>
      <c r="G58" s="495">
        <v>105000</v>
      </c>
      <c r="H58" s="340"/>
      <c r="I58" s="495">
        <v>49168</v>
      </c>
      <c r="J58" s="499">
        <v>0.47</v>
      </c>
      <c r="K58" s="495">
        <v>105000</v>
      </c>
      <c r="L58" s="341"/>
      <c r="M58" s="143">
        <f t="shared" si="1"/>
        <v>0</v>
      </c>
      <c r="N58" s="340"/>
      <c r="O58" s="498" t="s">
        <v>1492</v>
      </c>
    </row>
    <row r="59" spans="1:15" s="332" customFormat="1" ht="19.5" customHeight="1">
      <c r="A59" s="38" t="s">
        <v>605</v>
      </c>
      <c r="B59" s="39" t="s">
        <v>606</v>
      </c>
      <c r="C59" s="142">
        <v>59242</v>
      </c>
      <c r="D59" s="330"/>
      <c r="E59" s="489">
        <v>60000</v>
      </c>
      <c r="F59" s="340"/>
      <c r="G59" s="495">
        <v>60000</v>
      </c>
      <c r="H59" s="340"/>
      <c r="I59" s="495">
        <v>21949</v>
      </c>
      <c r="J59" s="499">
        <v>0.37</v>
      </c>
      <c r="K59" s="495">
        <v>60000</v>
      </c>
      <c r="L59" s="341"/>
      <c r="M59" s="143">
        <f t="shared" si="1"/>
        <v>0</v>
      </c>
      <c r="N59" s="340"/>
      <c r="O59" s="498" t="s">
        <v>1493</v>
      </c>
    </row>
    <row r="60" spans="1:15" s="332" customFormat="1" ht="19.5" customHeight="1">
      <c r="A60" s="38" t="s">
        <v>607</v>
      </c>
      <c r="B60" s="39" t="s">
        <v>608</v>
      </c>
      <c r="C60" s="142">
        <v>0</v>
      </c>
      <c r="D60" s="330" t="s">
        <v>609</v>
      </c>
      <c r="E60" s="489">
        <v>0</v>
      </c>
      <c r="F60" s="340"/>
      <c r="G60" s="495">
        <v>0</v>
      </c>
      <c r="H60" s="340"/>
      <c r="I60" s="495">
        <v>0</v>
      </c>
      <c r="J60" s="496">
        <v>0</v>
      </c>
      <c r="K60" s="495">
        <v>0</v>
      </c>
      <c r="L60" s="341"/>
      <c r="M60" s="143">
        <f t="shared" si="1"/>
        <v>0</v>
      </c>
      <c r="N60" s="340"/>
      <c r="O60" s="498"/>
    </row>
    <row r="61" spans="1:15" s="332" customFormat="1" ht="19.5" customHeight="1">
      <c r="A61" s="38" t="s">
        <v>610</v>
      </c>
      <c r="B61" s="39" t="s">
        <v>611</v>
      </c>
      <c r="C61" s="142">
        <v>16598</v>
      </c>
      <c r="D61" s="330" t="s">
        <v>612</v>
      </c>
      <c r="E61" s="489">
        <v>15000</v>
      </c>
      <c r="F61" s="340"/>
      <c r="G61" s="495">
        <v>17200</v>
      </c>
      <c r="H61" s="340"/>
      <c r="I61" s="495">
        <v>3443</v>
      </c>
      <c r="J61" s="496">
        <v>0.2</v>
      </c>
      <c r="K61" s="495">
        <v>17200</v>
      </c>
      <c r="L61" s="341"/>
      <c r="M61" s="497">
        <f t="shared" si="1"/>
        <v>2200</v>
      </c>
      <c r="N61" s="340"/>
      <c r="O61" s="498" t="s">
        <v>1494</v>
      </c>
    </row>
    <row r="62" spans="1:15" s="332" customFormat="1" ht="19.5" customHeight="1">
      <c r="A62" s="38" t="s">
        <v>613</v>
      </c>
      <c r="B62" s="39" t="s">
        <v>614</v>
      </c>
      <c r="C62" s="142">
        <v>7012.5</v>
      </c>
      <c r="D62" s="330" t="s">
        <v>615</v>
      </c>
      <c r="E62" s="489">
        <v>7500</v>
      </c>
      <c r="F62" s="340"/>
      <c r="G62" s="495">
        <v>7500</v>
      </c>
      <c r="H62" s="340"/>
      <c r="I62" s="495">
        <v>0</v>
      </c>
      <c r="J62" s="496">
        <v>0</v>
      </c>
      <c r="K62" s="495">
        <v>7500</v>
      </c>
      <c r="L62" s="341"/>
      <c r="M62" s="143">
        <f t="shared" si="1"/>
        <v>0</v>
      </c>
      <c r="N62" s="340"/>
      <c r="O62" s="498"/>
    </row>
    <row r="63" spans="1:15" s="332" customFormat="1" ht="19.5" customHeight="1">
      <c r="A63" s="38" t="s">
        <v>616</v>
      </c>
      <c r="B63" s="39" t="s">
        <v>617</v>
      </c>
      <c r="C63" s="142">
        <v>0</v>
      </c>
      <c r="D63" s="330" t="s">
        <v>618</v>
      </c>
      <c r="E63" s="489">
        <v>0</v>
      </c>
      <c r="F63" s="340"/>
      <c r="G63" s="495">
        <v>0</v>
      </c>
      <c r="H63" s="340"/>
      <c r="I63" s="495">
        <v>0</v>
      </c>
      <c r="J63" s="496">
        <v>0</v>
      </c>
      <c r="K63" s="495">
        <v>0</v>
      </c>
      <c r="L63" s="341"/>
      <c r="M63" s="143">
        <f t="shared" si="1"/>
        <v>0</v>
      </c>
      <c r="N63" s="340"/>
      <c r="O63" s="498"/>
    </row>
    <row r="64" spans="1:15" s="332" customFormat="1" ht="19.5" customHeight="1">
      <c r="A64" s="38" t="s">
        <v>619</v>
      </c>
      <c r="B64" s="39" t="s">
        <v>620</v>
      </c>
      <c r="C64" s="142">
        <v>162724</v>
      </c>
      <c r="D64" s="330" t="s">
        <v>621</v>
      </c>
      <c r="E64" s="489">
        <v>164390</v>
      </c>
      <c r="F64" s="340"/>
      <c r="G64" s="495">
        <v>164390</v>
      </c>
      <c r="H64" s="340"/>
      <c r="I64" s="495">
        <v>22610.62</v>
      </c>
      <c r="J64" s="496">
        <v>0.2</v>
      </c>
      <c r="K64" s="495">
        <v>164390</v>
      </c>
      <c r="L64" s="341"/>
      <c r="M64" s="143">
        <f t="shared" si="1"/>
        <v>0</v>
      </c>
      <c r="N64" s="340"/>
      <c r="O64" s="498"/>
    </row>
    <row r="65" spans="1:15" s="332" customFormat="1" ht="32.4" customHeight="1">
      <c r="A65" s="38" t="s">
        <v>622</v>
      </c>
      <c r="B65" s="39" t="s">
        <v>623</v>
      </c>
      <c r="C65" s="142">
        <v>36548</v>
      </c>
      <c r="D65" s="330" t="s">
        <v>624</v>
      </c>
      <c r="E65" s="489">
        <v>10000</v>
      </c>
      <c r="F65" s="340"/>
      <c r="G65" s="495">
        <v>10000</v>
      </c>
      <c r="H65" s="340"/>
      <c r="I65" s="495">
        <v>11248</v>
      </c>
      <c r="J65" s="499">
        <v>1</v>
      </c>
      <c r="K65" s="495">
        <v>11748</v>
      </c>
      <c r="L65" s="341"/>
      <c r="M65" s="497">
        <f t="shared" si="1"/>
        <v>1748</v>
      </c>
      <c r="N65" s="340"/>
      <c r="O65" s="503" t="s">
        <v>1495</v>
      </c>
    </row>
    <row r="66" spans="1:15" s="332" customFormat="1" ht="19.5" customHeight="1">
      <c r="A66" s="38" t="s">
        <v>625</v>
      </c>
      <c r="B66" s="39" t="s">
        <v>626</v>
      </c>
      <c r="C66" s="142">
        <v>21595</v>
      </c>
      <c r="D66" s="330" t="s">
        <v>627</v>
      </c>
      <c r="E66" s="489">
        <v>23000</v>
      </c>
      <c r="F66" s="340"/>
      <c r="G66" s="495">
        <v>23000</v>
      </c>
      <c r="H66" s="340"/>
      <c r="I66" s="495">
        <v>3684</v>
      </c>
      <c r="J66" s="499">
        <v>0.16</v>
      </c>
      <c r="K66" s="495">
        <v>23000</v>
      </c>
      <c r="L66" s="341"/>
      <c r="M66" s="143">
        <f t="shared" si="1"/>
        <v>0</v>
      </c>
      <c r="N66" s="340"/>
      <c r="O66" s="498" t="s">
        <v>1496</v>
      </c>
    </row>
    <row r="67" spans="1:15" s="332" customFormat="1" ht="19.5" customHeight="1">
      <c r="A67" s="38" t="s">
        <v>628</v>
      </c>
      <c r="B67" s="39" t="s">
        <v>629</v>
      </c>
      <c r="C67" s="142">
        <v>16824</v>
      </c>
      <c r="D67" s="330" t="s">
        <v>630</v>
      </c>
      <c r="E67" s="489">
        <v>17504</v>
      </c>
      <c r="F67" s="340"/>
      <c r="G67" s="495">
        <v>16504</v>
      </c>
      <c r="H67" s="340"/>
      <c r="I67" s="495">
        <v>4786</v>
      </c>
      <c r="J67" s="496">
        <v>0.28999999999999998</v>
      </c>
      <c r="K67" s="495">
        <v>16504</v>
      </c>
      <c r="L67" s="341"/>
      <c r="M67" s="497">
        <f t="shared" si="1"/>
        <v>-1000</v>
      </c>
      <c r="N67" s="340"/>
      <c r="O67" s="498" t="s">
        <v>1497</v>
      </c>
    </row>
    <row r="68" spans="1:15" s="332" customFormat="1" ht="19.5" customHeight="1">
      <c r="A68" s="38" t="s">
        <v>631</v>
      </c>
      <c r="B68" s="39" t="s">
        <v>632</v>
      </c>
      <c r="C68" s="142">
        <v>0</v>
      </c>
      <c r="D68" s="330" t="s">
        <v>633</v>
      </c>
      <c r="E68" s="489">
        <v>0</v>
      </c>
      <c r="F68" s="340"/>
      <c r="G68" s="495">
        <v>0</v>
      </c>
      <c r="H68" s="340"/>
      <c r="I68" s="495">
        <v>0</v>
      </c>
      <c r="J68" s="496">
        <v>0</v>
      </c>
      <c r="K68" s="495">
        <v>0</v>
      </c>
      <c r="L68" s="341"/>
      <c r="M68" s="143">
        <f t="shared" si="1"/>
        <v>0</v>
      </c>
      <c r="N68" s="340"/>
      <c r="O68" s="498"/>
    </row>
    <row r="69" spans="1:15" s="332" customFormat="1" ht="19.5" customHeight="1">
      <c r="A69" s="38" t="s">
        <v>634</v>
      </c>
      <c r="B69" s="39" t="s">
        <v>635</v>
      </c>
      <c r="C69" s="142">
        <v>189</v>
      </c>
      <c r="D69" s="330" t="s">
        <v>636</v>
      </c>
      <c r="E69" s="489">
        <v>0</v>
      </c>
      <c r="F69" s="340"/>
      <c r="G69" s="495">
        <v>0</v>
      </c>
      <c r="H69" s="340"/>
      <c r="I69" s="495">
        <v>125</v>
      </c>
      <c r="J69" s="499">
        <v>1</v>
      </c>
      <c r="K69" s="495">
        <v>125</v>
      </c>
      <c r="L69" s="341"/>
      <c r="M69" s="497">
        <f t="shared" si="1"/>
        <v>125</v>
      </c>
      <c r="N69" s="340"/>
      <c r="O69" s="498" t="s">
        <v>1498</v>
      </c>
    </row>
    <row r="70" spans="1:15" s="332" customFormat="1" ht="19.5" customHeight="1" thickBot="1">
      <c r="A70" s="38" t="s">
        <v>637</v>
      </c>
      <c r="B70" s="39" t="s">
        <v>638</v>
      </c>
      <c r="C70" s="142">
        <v>1054</v>
      </c>
      <c r="D70" s="330" t="s">
        <v>639</v>
      </c>
      <c r="E70" s="489">
        <v>0</v>
      </c>
      <c r="F70" s="340"/>
      <c r="G70" s="495">
        <v>0</v>
      </c>
      <c r="H70" s="340"/>
      <c r="I70" s="495">
        <v>423</v>
      </c>
      <c r="J70" s="499">
        <v>1</v>
      </c>
      <c r="K70" s="495">
        <v>423</v>
      </c>
      <c r="L70" s="341"/>
      <c r="M70" s="497">
        <f t="shared" si="1"/>
        <v>423</v>
      </c>
      <c r="N70" s="340"/>
      <c r="O70" s="498" t="s">
        <v>1498</v>
      </c>
    </row>
    <row r="71" spans="1:15" s="332" customFormat="1" ht="19.5" customHeight="1" thickBot="1">
      <c r="A71" s="45"/>
      <c r="B71" s="41" t="s">
        <v>640</v>
      </c>
      <c r="C71" s="1">
        <f>SUM(C40:C70)</f>
        <v>3147026.5</v>
      </c>
      <c r="D71" s="330">
        <f>IFERROR((E71/C71)-1,"")</f>
        <v>-4.4335343220020529E-2</v>
      </c>
      <c r="E71" s="1">
        <f>SUM(E40:E70)</f>
        <v>3007502</v>
      </c>
      <c r="F71" s="46"/>
      <c r="G71" s="1">
        <f>SUM(G40:G70)</f>
        <v>2993962</v>
      </c>
      <c r="H71" s="46"/>
      <c r="I71" s="1">
        <f>SUM(I40:I70)</f>
        <v>832957.12</v>
      </c>
      <c r="J71" s="500">
        <f>IF(OR(I71="",I71=0),0%,I71/K71)</f>
        <v>0.26909758180923005</v>
      </c>
      <c r="K71" s="1">
        <f>SUM(K40:K70)</f>
        <v>3095372</v>
      </c>
      <c r="L71" s="129"/>
      <c r="M71" s="144">
        <f>SUM(M40:M70)</f>
        <v>87870</v>
      </c>
      <c r="N71" s="132"/>
      <c r="O71" s="501">
        <f>K71-E71-M71</f>
        <v>0</v>
      </c>
    </row>
    <row r="72" spans="1:15" s="332" customFormat="1" ht="19.5" customHeight="1">
      <c r="A72" s="47"/>
      <c r="B72" s="41"/>
      <c r="C72" s="48"/>
      <c r="D72" s="37"/>
      <c r="E72" s="48"/>
      <c r="G72" s="48"/>
      <c r="I72" s="48"/>
      <c r="J72" s="318"/>
      <c r="K72" s="48"/>
      <c r="L72" s="130"/>
      <c r="M72" s="48"/>
      <c r="O72" s="493"/>
    </row>
    <row r="73" spans="1:15" ht="88.2">
      <c r="A73" s="49"/>
      <c r="B73" s="39"/>
      <c r="C73" s="134" t="s">
        <v>480</v>
      </c>
      <c r="D73" s="135"/>
      <c r="E73" s="134" t="s">
        <v>481</v>
      </c>
      <c r="F73" s="136"/>
      <c r="G73" s="134" t="s">
        <v>482</v>
      </c>
      <c r="H73" s="136"/>
      <c r="I73" s="134" t="s">
        <v>483</v>
      </c>
      <c r="J73" s="315" t="s">
        <v>484</v>
      </c>
      <c r="K73" s="134" t="s">
        <v>485</v>
      </c>
      <c r="L73" s="134"/>
      <c r="M73" s="134"/>
      <c r="N73" s="131"/>
      <c r="O73" s="491"/>
    </row>
    <row r="74" spans="1:15" s="332" customFormat="1" ht="19.5" customHeight="1">
      <c r="A74" s="49" t="s">
        <v>641</v>
      </c>
      <c r="B74" s="39"/>
      <c r="C74" s="42" t="s">
        <v>489</v>
      </c>
      <c r="D74" s="37"/>
      <c r="E74" s="42" t="s">
        <v>489</v>
      </c>
      <c r="G74" s="42" t="s">
        <v>489</v>
      </c>
      <c r="I74" s="42"/>
      <c r="J74" s="316"/>
      <c r="K74" s="42"/>
      <c r="L74" s="128"/>
      <c r="M74" s="42"/>
      <c r="O74" s="493"/>
    </row>
    <row r="75" spans="1:15" s="332" customFormat="1" ht="19.5" customHeight="1">
      <c r="A75" s="47"/>
      <c r="B75" s="39"/>
      <c r="C75" s="42"/>
      <c r="D75" s="37"/>
      <c r="E75" s="42"/>
      <c r="G75" s="42"/>
      <c r="I75" s="42"/>
      <c r="J75" s="316"/>
      <c r="K75" s="42"/>
      <c r="L75" s="128"/>
      <c r="M75" s="42"/>
      <c r="O75" s="493"/>
    </row>
    <row r="76" spans="1:15" s="332" customFormat="1" ht="19.5" customHeight="1">
      <c r="A76" s="47"/>
      <c r="B76" s="39" t="s">
        <v>642</v>
      </c>
      <c r="C76" s="142">
        <f>C35</f>
        <v>3145201</v>
      </c>
      <c r="D76" s="37"/>
      <c r="E76" s="142">
        <f>E35</f>
        <v>3132021</v>
      </c>
      <c r="G76" s="142">
        <f>G35</f>
        <v>3258715</v>
      </c>
      <c r="I76" s="42"/>
      <c r="J76" s="316"/>
      <c r="K76" s="142">
        <f>K35</f>
        <v>3266470</v>
      </c>
      <c r="L76" s="128"/>
      <c r="M76" s="42"/>
      <c r="O76" s="493"/>
    </row>
    <row r="77" spans="1:15" s="332" customFormat="1" ht="19.5" customHeight="1" thickBot="1">
      <c r="A77" s="47"/>
      <c r="B77" s="39" t="s">
        <v>640</v>
      </c>
      <c r="C77" s="148">
        <f>C71</f>
        <v>3147026.5</v>
      </c>
      <c r="D77" s="37"/>
      <c r="E77" s="148">
        <f>E71</f>
        <v>3007502</v>
      </c>
      <c r="G77" s="148">
        <f>G71</f>
        <v>2993962</v>
      </c>
      <c r="I77" s="42"/>
      <c r="J77" s="316"/>
      <c r="K77" s="148">
        <f>K71</f>
        <v>3095372</v>
      </c>
      <c r="L77" s="128"/>
      <c r="M77" s="42"/>
      <c r="O77" s="493"/>
    </row>
    <row r="78" spans="1:15" ht="19.5" customHeight="1" thickBot="1">
      <c r="A78" s="47"/>
      <c r="B78" s="41" t="s">
        <v>643</v>
      </c>
      <c r="C78" s="144">
        <f>C76-C77</f>
        <v>-1825.5</v>
      </c>
      <c r="D78" s="37"/>
      <c r="E78" s="144">
        <f>E76-E77</f>
        <v>124519</v>
      </c>
      <c r="F78" s="340"/>
      <c r="G78" s="144">
        <f>G76-G77</f>
        <v>264753</v>
      </c>
      <c r="H78" s="342"/>
      <c r="I78" s="42"/>
      <c r="J78" s="42"/>
      <c r="K78" s="144">
        <f>K76-K77</f>
        <v>171098</v>
      </c>
      <c r="L78" s="64"/>
      <c r="M78" s="42"/>
      <c r="N78" s="332"/>
      <c r="O78" s="493" t="s">
        <v>644</v>
      </c>
    </row>
    <row r="79" spans="1:15" ht="19.5" customHeight="1" thickBot="1">
      <c r="A79" s="47"/>
      <c r="B79" s="41" t="s">
        <v>645</v>
      </c>
      <c r="C79" s="168">
        <v>-66108</v>
      </c>
      <c r="D79" s="37"/>
      <c r="E79" s="245">
        <v>-67934</v>
      </c>
      <c r="F79" s="340"/>
      <c r="G79" s="168">
        <v>-67934</v>
      </c>
      <c r="H79" s="342"/>
      <c r="I79" s="42"/>
      <c r="J79" s="42"/>
      <c r="K79" s="168">
        <f>G79</f>
        <v>-67934</v>
      </c>
      <c r="L79" s="64"/>
      <c r="M79" s="42"/>
      <c r="N79" s="332"/>
      <c r="O79" s="493"/>
    </row>
    <row r="80" spans="1:15" s="332" customFormat="1" ht="19.5" customHeight="1" thickBot="1">
      <c r="A80" s="47"/>
      <c r="B80" s="41" t="s">
        <v>646</v>
      </c>
      <c r="C80" s="144">
        <f>C78+C79</f>
        <v>-67933.5</v>
      </c>
      <c r="D80" s="37"/>
      <c r="E80" s="144">
        <f>E78+E79</f>
        <v>56585</v>
      </c>
      <c r="F80" s="340"/>
      <c r="G80" s="144">
        <f>G78+G79</f>
        <v>196819</v>
      </c>
      <c r="H80" s="342"/>
      <c r="I80" s="42"/>
      <c r="J80" s="42"/>
      <c r="K80" s="354">
        <f>K78+K79</f>
        <v>103164</v>
      </c>
      <c r="L80" s="64"/>
      <c r="M80" s="42"/>
      <c r="O80" s="493"/>
    </row>
    <row r="81" spans="1:15" s="332" customFormat="1" ht="7.5" customHeight="1" thickBot="1">
      <c r="A81" s="47"/>
      <c r="B81" s="39"/>
      <c r="C81" s="145"/>
      <c r="D81" s="37"/>
      <c r="E81" s="145"/>
      <c r="G81" s="145"/>
      <c r="I81" s="42"/>
      <c r="J81" s="42"/>
      <c r="K81" s="146"/>
      <c r="L81" s="64"/>
      <c r="M81" s="42"/>
      <c r="O81" s="493"/>
    </row>
    <row r="82" spans="1:15" s="332" customFormat="1" ht="19.5" customHeight="1" thickBot="1">
      <c r="A82" s="47"/>
      <c r="B82" s="39" t="s">
        <v>647</v>
      </c>
      <c r="C82" s="170">
        <f>C80/SUM(C16:C20)</f>
        <v>-2.3713521351541735E-2</v>
      </c>
      <c r="D82" s="37"/>
      <c r="E82" s="170">
        <f>E80/SUM(E16:E20)</f>
        <v>1.9574166320741663E-2</v>
      </c>
      <c r="F82" s="343"/>
      <c r="G82" s="170">
        <f>G80/SUM(G16:G20)</f>
        <v>6.5225978908325918E-2</v>
      </c>
      <c r="I82" s="42"/>
      <c r="J82" s="42"/>
      <c r="K82" s="353">
        <f>K80/SUM(K16:K20)</f>
        <v>3.4187728287690705E-2</v>
      </c>
      <c r="L82" s="64"/>
      <c r="M82" s="42"/>
      <c r="O82" s="505"/>
    </row>
    <row r="83" spans="1:15" s="332" customFormat="1" ht="19.5" customHeight="1">
      <c r="A83" s="55"/>
      <c r="B83" s="56"/>
      <c r="C83" s="60"/>
      <c r="D83" s="58"/>
      <c r="E83" s="60"/>
      <c r="F83" s="344"/>
      <c r="G83" s="60"/>
      <c r="H83" s="344"/>
      <c r="I83" s="60"/>
      <c r="J83" s="320"/>
      <c r="K83" s="60"/>
      <c r="L83" s="138"/>
      <c r="M83" s="42"/>
      <c r="N83" s="344"/>
      <c r="O83" s="506"/>
    </row>
    <row r="84" spans="1:15" s="332" customFormat="1" ht="31.5" customHeight="1">
      <c r="A84" s="573" t="s">
        <v>433</v>
      </c>
      <c r="B84" s="574"/>
      <c r="C84" s="574"/>
      <c r="D84" s="574"/>
      <c r="E84" s="574"/>
      <c r="F84" s="574"/>
      <c r="G84" s="574"/>
      <c r="H84" s="574"/>
      <c r="I84" s="574"/>
      <c r="J84" s="574"/>
      <c r="K84" s="574"/>
      <c r="L84" s="574"/>
      <c r="M84" s="574"/>
      <c r="N84" s="574"/>
      <c r="O84" s="575"/>
    </row>
    <row r="85" spans="1:15" s="332" customFormat="1" ht="96.6">
      <c r="A85" s="47" t="str">
        <f>B3</f>
        <v>River Cam Primary School</v>
      </c>
      <c r="B85" s="41"/>
      <c r="C85" s="134" t="s">
        <v>480</v>
      </c>
      <c r="D85" s="135"/>
      <c r="E85" s="134" t="s">
        <v>481</v>
      </c>
      <c r="F85" s="136"/>
      <c r="G85" s="134" t="s">
        <v>482</v>
      </c>
      <c r="H85" s="136"/>
      <c r="I85" s="134" t="s">
        <v>483</v>
      </c>
      <c r="J85" s="315" t="s">
        <v>484</v>
      </c>
      <c r="K85" s="134" t="s">
        <v>485</v>
      </c>
      <c r="L85" s="134"/>
      <c r="M85" s="134" t="s">
        <v>1434</v>
      </c>
      <c r="N85" s="131"/>
      <c r="O85" s="491" t="s">
        <v>546</v>
      </c>
    </row>
    <row r="86" spans="1:15" s="62" customFormat="1" ht="23.25" customHeight="1">
      <c r="A86" s="33"/>
      <c r="B86" s="137"/>
      <c r="C86" s="559" t="s">
        <v>486</v>
      </c>
      <c r="D86" s="559"/>
      <c r="E86" s="559"/>
      <c r="F86" s="559"/>
      <c r="G86" s="559"/>
      <c r="H86" s="559"/>
      <c r="I86" s="559"/>
      <c r="J86" s="559"/>
      <c r="K86" s="559"/>
      <c r="L86" s="559"/>
      <c r="M86" s="559"/>
      <c r="N86" s="339"/>
      <c r="O86" s="492"/>
    </row>
    <row r="87" spans="1:15" s="332" customFormat="1" ht="19.5" customHeight="1">
      <c r="A87" s="44" t="s">
        <v>487</v>
      </c>
      <c r="B87" s="41" t="s">
        <v>648</v>
      </c>
      <c r="C87" s="42" t="s">
        <v>489</v>
      </c>
      <c r="D87" s="37"/>
      <c r="E87" s="42" t="s">
        <v>489</v>
      </c>
      <c r="G87" s="42" t="s">
        <v>489</v>
      </c>
      <c r="I87" s="42" t="s">
        <v>489</v>
      </c>
      <c r="J87" s="316"/>
      <c r="K87" s="42" t="s">
        <v>489</v>
      </c>
      <c r="L87" s="128"/>
      <c r="M87" s="42" t="s">
        <v>489</v>
      </c>
      <c r="O87" s="506"/>
    </row>
    <row r="88" spans="1:15" s="332" customFormat="1" ht="39" customHeight="1">
      <c r="A88" s="38" t="s">
        <v>649</v>
      </c>
      <c r="B88" s="39" t="s">
        <v>650</v>
      </c>
      <c r="C88" s="489">
        <v>69776</v>
      </c>
      <c r="D88" s="368" t="s">
        <v>651</v>
      </c>
      <c r="E88" s="489">
        <v>73265</v>
      </c>
      <c r="F88" s="340"/>
      <c r="G88" s="502">
        <v>73265</v>
      </c>
      <c r="H88" s="340"/>
      <c r="I88" s="502">
        <v>31982</v>
      </c>
      <c r="J88" s="499">
        <f>IFERROR(IF(I88="",0%,I88/K88),0)</f>
        <v>0.43652494369753636</v>
      </c>
      <c r="K88" s="502">
        <v>73265</v>
      </c>
      <c r="L88" s="341"/>
      <c r="M88" s="143">
        <f>IF(G88="",(K88-E88),(K88-E88))</f>
        <v>0</v>
      </c>
      <c r="N88" s="340"/>
      <c r="O88" s="503" t="s">
        <v>1499</v>
      </c>
    </row>
    <row r="89" spans="1:15" s="332" customFormat="1" ht="38.1" customHeight="1" thickBot="1">
      <c r="A89" s="38" t="s">
        <v>652</v>
      </c>
      <c r="B89" s="39" t="s">
        <v>653</v>
      </c>
      <c r="C89" s="489">
        <v>10627</v>
      </c>
      <c r="D89" s="368" t="s">
        <v>654</v>
      </c>
      <c r="E89" s="489">
        <v>11158</v>
      </c>
      <c r="F89" s="340"/>
      <c r="G89" s="502">
        <v>11158</v>
      </c>
      <c r="H89" s="340"/>
      <c r="I89" s="502">
        <v>3682</v>
      </c>
      <c r="J89" s="499">
        <f>IFERROR(IF(I89="",0%,I89/K89),0)</f>
        <v>0.32998745294855708</v>
      </c>
      <c r="K89" s="502">
        <v>11158</v>
      </c>
      <c r="L89" s="341"/>
      <c r="M89" s="143">
        <f>IF(G89="",(K89-E89),(K89-E89))</f>
        <v>0</v>
      </c>
      <c r="N89" s="340"/>
      <c r="O89" s="503" t="s">
        <v>1500</v>
      </c>
    </row>
    <row r="90" spans="1:15" s="332" customFormat="1" ht="19.5" customHeight="1" thickBot="1">
      <c r="A90" s="38"/>
      <c r="B90" s="41" t="s">
        <v>655</v>
      </c>
      <c r="C90" s="1">
        <f>C88+C89</f>
        <v>80403</v>
      </c>
      <c r="D90" s="368"/>
      <c r="E90" s="12">
        <f>E88+E89</f>
        <v>84423</v>
      </c>
      <c r="F90" s="340"/>
      <c r="G90" s="12">
        <f>G88+G89</f>
        <v>84423</v>
      </c>
      <c r="H90" s="340"/>
      <c r="I90" s="12">
        <f>I88+I89</f>
        <v>35664</v>
      </c>
      <c r="J90" s="500">
        <f>IF(OR(I90="",I90=0),0%,I90/K90)</f>
        <v>0.42244412067801429</v>
      </c>
      <c r="K90" s="12">
        <f>K88+K89</f>
        <v>84423</v>
      </c>
      <c r="L90" s="64"/>
      <c r="M90" s="144">
        <f>M88+M89</f>
        <v>0</v>
      </c>
      <c r="O90" s="501"/>
    </row>
    <row r="91" spans="1:15" s="332" customFormat="1" ht="19.5" customHeight="1">
      <c r="A91" s="38"/>
      <c r="B91" s="39"/>
      <c r="C91" s="50"/>
      <c r="D91" s="368"/>
      <c r="E91" s="50"/>
      <c r="G91" s="50"/>
      <c r="I91" s="50"/>
      <c r="J91" s="321"/>
      <c r="K91" s="50"/>
      <c r="L91" s="69"/>
      <c r="M91" s="50"/>
      <c r="O91" s="493"/>
    </row>
    <row r="92" spans="1:15" s="332" customFormat="1" ht="19.5" customHeight="1">
      <c r="A92" s="44" t="s">
        <v>487</v>
      </c>
      <c r="B92" s="41" t="s">
        <v>656</v>
      </c>
      <c r="C92" s="42" t="s">
        <v>489</v>
      </c>
      <c r="D92" s="368"/>
      <c r="E92" s="42" t="s">
        <v>489</v>
      </c>
      <c r="G92" s="42" t="s">
        <v>489</v>
      </c>
      <c r="I92" s="42" t="s">
        <v>489</v>
      </c>
      <c r="J92" s="316"/>
      <c r="K92" s="42" t="s">
        <v>489</v>
      </c>
      <c r="L92" s="128"/>
      <c r="M92" s="42" t="s">
        <v>489</v>
      </c>
      <c r="O92" s="506"/>
    </row>
    <row r="93" spans="1:15" s="332" customFormat="1" ht="39" customHeight="1">
      <c r="A93" s="38" t="s">
        <v>657</v>
      </c>
      <c r="B93" s="39" t="s">
        <v>658</v>
      </c>
      <c r="C93" s="489">
        <v>74499</v>
      </c>
      <c r="D93" s="368" t="s">
        <v>659</v>
      </c>
      <c r="E93" s="489">
        <v>77479</v>
      </c>
      <c r="F93" s="340"/>
      <c r="G93" s="502">
        <v>77479</v>
      </c>
      <c r="H93" s="340"/>
      <c r="I93" s="502">
        <v>22469</v>
      </c>
      <c r="J93" s="496">
        <f>IFERROR(IF(I93="",0%,I93/K93),0)</f>
        <v>0.2846266879481138</v>
      </c>
      <c r="K93" s="502">
        <v>78942</v>
      </c>
      <c r="L93" s="341"/>
      <c r="M93" s="497">
        <f>IF(G93="",(K93-E93),(K93-E93))</f>
        <v>1463</v>
      </c>
      <c r="N93" s="340"/>
      <c r="O93" s="503" t="s">
        <v>1501</v>
      </c>
    </row>
    <row r="94" spans="1:15" s="332" customFormat="1" ht="19.5" customHeight="1" thickBot="1">
      <c r="A94" s="38" t="s">
        <v>660</v>
      </c>
      <c r="B94" s="39" t="s">
        <v>661</v>
      </c>
      <c r="C94" s="489">
        <v>16227</v>
      </c>
      <c r="D94" s="368" t="s">
        <v>662</v>
      </c>
      <c r="E94" s="489">
        <v>17038</v>
      </c>
      <c r="F94" s="340"/>
      <c r="G94" s="502">
        <v>17038</v>
      </c>
      <c r="H94" s="340"/>
      <c r="I94" s="502">
        <v>3578</v>
      </c>
      <c r="J94" s="496">
        <f>IFERROR(IF(I94="",0%,I94/K94),0)</f>
        <v>0.21000117384669562</v>
      </c>
      <c r="K94" s="502">
        <v>17038</v>
      </c>
      <c r="L94" s="341"/>
      <c r="M94" s="143">
        <f>IF(G94="",(K94-E94),(K94-E94))</f>
        <v>0</v>
      </c>
      <c r="N94" s="340"/>
      <c r="O94" s="490"/>
    </row>
    <row r="95" spans="1:15" s="332" customFormat="1" ht="19.5" customHeight="1" thickBot="1">
      <c r="A95" s="47"/>
      <c r="B95" s="41" t="s">
        <v>663</v>
      </c>
      <c r="C95" s="1">
        <f>C93+C94</f>
        <v>90726</v>
      </c>
      <c r="D95" s="368"/>
      <c r="E95" s="12">
        <f>E93+E94</f>
        <v>94517</v>
      </c>
      <c r="F95" s="340"/>
      <c r="G95" s="12">
        <f>G93+G94</f>
        <v>94517</v>
      </c>
      <c r="H95" s="340"/>
      <c r="I95" s="12">
        <f>I93+I94</f>
        <v>26047</v>
      </c>
      <c r="J95" s="500">
        <f>IF(OR(I95="",I95=0),0%,I95/K95)</f>
        <v>0.27137945405292768</v>
      </c>
      <c r="K95" s="12">
        <f>K93+K94</f>
        <v>95980</v>
      </c>
      <c r="L95" s="64"/>
      <c r="M95" s="144">
        <f>M93+M94</f>
        <v>1463</v>
      </c>
      <c r="O95" s="501"/>
    </row>
    <row r="96" spans="1:15" s="332" customFormat="1" ht="19.5" customHeight="1">
      <c r="A96" s="47"/>
      <c r="B96" s="39"/>
      <c r="C96" s="50"/>
      <c r="D96" s="37"/>
      <c r="E96" s="50"/>
      <c r="G96" s="50"/>
      <c r="I96" s="50"/>
      <c r="J96" s="321"/>
      <c r="K96" s="50"/>
      <c r="L96" s="69"/>
      <c r="M96" s="50"/>
      <c r="O96" s="493"/>
    </row>
    <row r="97" spans="1:15" ht="19.5" customHeight="1">
      <c r="A97" s="49" t="s">
        <v>664</v>
      </c>
      <c r="B97" s="39"/>
      <c r="C97" s="50"/>
      <c r="D97" s="37"/>
      <c r="E97" s="50"/>
      <c r="F97" s="332"/>
      <c r="G97" s="50"/>
      <c r="H97" s="332"/>
      <c r="I97" s="50"/>
      <c r="J97" s="321"/>
      <c r="K97" s="50"/>
      <c r="L97" s="69"/>
      <c r="M97" s="50"/>
      <c r="N97" s="332"/>
      <c r="O97" s="493"/>
    </row>
    <row r="98" spans="1:15" s="332" customFormat="1" ht="19.5" customHeight="1">
      <c r="A98" s="47"/>
      <c r="B98" s="39"/>
      <c r="C98" s="42" t="s">
        <v>489</v>
      </c>
      <c r="D98" s="37"/>
      <c r="E98" s="42" t="s">
        <v>489</v>
      </c>
      <c r="G98" s="42" t="s">
        <v>489</v>
      </c>
      <c r="I98" s="42"/>
      <c r="J98" s="316"/>
      <c r="K98" s="42" t="s">
        <v>489</v>
      </c>
      <c r="L98" s="128"/>
      <c r="M98" s="42"/>
      <c r="O98" s="493"/>
    </row>
    <row r="99" spans="1:15" s="332" customFormat="1" ht="19.5" customHeight="1">
      <c r="A99" s="47"/>
      <c r="B99" s="39" t="s">
        <v>642</v>
      </c>
      <c r="C99" s="142">
        <f>C90</f>
        <v>80403</v>
      </c>
      <c r="D99" s="37"/>
      <c r="E99" s="142">
        <f>E90</f>
        <v>84423</v>
      </c>
      <c r="G99" s="142">
        <f>G90</f>
        <v>84423</v>
      </c>
      <c r="I99" s="42"/>
      <c r="J99" s="316"/>
      <c r="K99" s="142">
        <f>K90</f>
        <v>84423</v>
      </c>
      <c r="L99" s="128"/>
      <c r="M99" s="42"/>
      <c r="O99" s="493"/>
    </row>
    <row r="100" spans="1:15" s="332" customFormat="1" ht="19.5" customHeight="1" thickBot="1">
      <c r="A100" s="47"/>
      <c r="B100" s="39" t="s">
        <v>640</v>
      </c>
      <c r="C100" s="148">
        <f>C95</f>
        <v>90726</v>
      </c>
      <c r="D100" s="37"/>
      <c r="E100" s="148">
        <f>E95</f>
        <v>94517</v>
      </c>
      <c r="G100" s="148">
        <f>G95</f>
        <v>94517</v>
      </c>
      <c r="I100" s="42"/>
      <c r="J100" s="316"/>
      <c r="K100" s="148">
        <f>K95</f>
        <v>95980</v>
      </c>
      <c r="L100" s="128"/>
      <c r="M100" s="42"/>
      <c r="O100" s="493"/>
    </row>
    <row r="101" spans="1:15" ht="19.5" customHeight="1" thickBot="1">
      <c r="A101" s="47"/>
      <c r="B101" s="39" t="s">
        <v>643</v>
      </c>
      <c r="C101" s="144">
        <f>C99-C100</f>
        <v>-10323</v>
      </c>
      <c r="D101" s="37"/>
      <c r="E101" s="144">
        <f>E99-E100</f>
        <v>-10094</v>
      </c>
      <c r="F101" s="340"/>
      <c r="G101" s="144">
        <f>G99-G100</f>
        <v>-10094</v>
      </c>
      <c r="H101" s="342"/>
      <c r="I101" s="13"/>
      <c r="J101" s="319"/>
      <c r="K101" s="144">
        <f>K99-K100</f>
        <v>-11557</v>
      </c>
      <c r="L101" s="64"/>
      <c r="M101" s="42"/>
      <c r="N101" s="332"/>
      <c r="O101" s="493"/>
    </row>
    <row r="102" spans="1:15" ht="19.5" customHeight="1" thickBot="1">
      <c r="A102" s="47"/>
      <c r="B102" s="39" t="s">
        <v>665</v>
      </c>
      <c r="C102" s="168">
        <v>-15249</v>
      </c>
      <c r="D102" s="37"/>
      <c r="E102" s="245">
        <v>-25572</v>
      </c>
      <c r="F102" s="340"/>
      <c r="G102" s="168">
        <v>-25572</v>
      </c>
      <c r="H102" s="342"/>
      <c r="I102" s="13"/>
      <c r="J102" s="319"/>
      <c r="K102" s="168">
        <f>G102</f>
        <v>-25572</v>
      </c>
      <c r="L102" s="64"/>
      <c r="M102" s="42"/>
      <c r="N102" s="332"/>
      <c r="O102" s="493"/>
    </row>
    <row r="103" spans="1:15" s="332" customFormat="1" ht="19.5" customHeight="1" thickBot="1">
      <c r="A103" s="38"/>
      <c r="B103" s="39" t="s">
        <v>666</v>
      </c>
      <c r="C103" s="144">
        <f>C101+C102</f>
        <v>-25572</v>
      </c>
      <c r="D103" s="37"/>
      <c r="E103" s="144">
        <f>E101+E102</f>
        <v>-35666</v>
      </c>
      <c r="F103" s="340"/>
      <c r="G103" s="144">
        <f>G101+G102</f>
        <v>-35666</v>
      </c>
      <c r="H103" s="342"/>
      <c r="I103" s="13"/>
      <c r="J103" s="319"/>
      <c r="K103" s="354">
        <f>K101+K102</f>
        <v>-37129</v>
      </c>
      <c r="L103" s="64"/>
      <c r="M103" s="42"/>
      <c r="O103" s="493"/>
    </row>
    <row r="104" spans="1:15" s="332" customFormat="1" ht="19.5" customHeight="1" thickBot="1">
      <c r="A104" s="38"/>
      <c r="B104" s="39"/>
      <c r="C104" s="51"/>
      <c r="D104" s="37"/>
      <c r="E104" s="51"/>
      <c r="G104" s="51"/>
      <c r="I104" s="6"/>
      <c r="J104" s="317"/>
      <c r="K104" s="51"/>
      <c r="L104" s="51"/>
      <c r="M104" s="42"/>
      <c r="O104" s="493"/>
    </row>
    <row r="105" spans="1:15" s="332" customFormat="1" ht="27.75" customHeight="1" thickBot="1">
      <c r="A105" s="149" t="s">
        <v>667</v>
      </c>
      <c r="B105" s="150"/>
      <c r="C105" s="151" t="s">
        <v>489</v>
      </c>
      <c r="D105" s="152"/>
      <c r="E105" s="151" t="s">
        <v>489</v>
      </c>
      <c r="F105" s="345"/>
      <c r="G105" s="151" t="s">
        <v>489</v>
      </c>
      <c r="H105" s="345"/>
      <c r="I105" s="151"/>
      <c r="J105" s="322"/>
      <c r="K105" s="151" t="s">
        <v>489</v>
      </c>
      <c r="L105" s="153"/>
      <c r="M105" s="371"/>
      <c r="N105" s="345"/>
      <c r="O105" s="507"/>
    </row>
    <row r="106" spans="1:15" s="332" customFormat="1" ht="19.5" customHeight="1" thickBot="1">
      <c r="A106" s="154" t="s">
        <v>668</v>
      </c>
      <c r="B106" s="39" t="s">
        <v>669</v>
      </c>
      <c r="C106" s="168">
        <v>0</v>
      </c>
      <c r="D106" s="37"/>
      <c r="E106" s="245">
        <v>0</v>
      </c>
      <c r="F106" s="340"/>
      <c r="G106" s="12">
        <v>0</v>
      </c>
      <c r="H106" s="342"/>
      <c r="I106" s="13"/>
      <c r="J106" s="319"/>
      <c r="K106" s="409"/>
      <c r="L106" s="64"/>
      <c r="M106" s="42"/>
      <c r="O106" s="508"/>
    </row>
    <row r="107" spans="1:15" s="332" customFormat="1" ht="19.5" customHeight="1" thickBot="1">
      <c r="A107" s="154" t="s">
        <v>670</v>
      </c>
      <c r="B107" s="39" t="s">
        <v>671</v>
      </c>
      <c r="C107" s="168">
        <f>$C$80</f>
        <v>-67933.5</v>
      </c>
      <c r="D107" s="37"/>
      <c r="E107" s="245">
        <v>56585</v>
      </c>
      <c r="F107" s="340"/>
      <c r="G107" s="12">
        <f>G80</f>
        <v>196819</v>
      </c>
      <c r="H107" s="342"/>
      <c r="I107" s="13"/>
      <c r="J107" s="319"/>
      <c r="K107" s="12">
        <f>K80-K106</f>
        <v>103164</v>
      </c>
      <c r="L107" s="64"/>
      <c r="M107" s="42"/>
      <c r="O107" s="508"/>
    </row>
    <row r="108" spans="1:15" s="332" customFormat="1" ht="19.5" customHeight="1" thickBot="1">
      <c r="A108" s="154" t="s">
        <v>672</v>
      </c>
      <c r="B108" s="39" t="s">
        <v>673</v>
      </c>
      <c r="C108" s="168">
        <f>C103</f>
        <v>-25572</v>
      </c>
      <c r="D108" s="37"/>
      <c r="E108" s="245">
        <v>-35666</v>
      </c>
      <c r="F108" s="340"/>
      <c r="G108" s="168">
        <f>G103</f>
        <v>-35666</v>
      </c>
      <c r="H108" s="342"/>
      <c r="I108" s="13"/>
      <c r="J108" s="319"/>
      <c r="K108" s="168">
        <f>K103</f>
        <v>-37129</v>
      </c>
      <c r="L108" s="64"/>
      <c r="M108" s="42"/>
      <c r="O108" s="508"/>
    </row>
    <row r="109" spans="1:15" s="332" customFormat="1" ht="18" thickBot="1">
      <c r="A109" s="155" t="s">
        <v>674</v>
      </c>
      <c r="B109" s="52"/>
      <c r="C109" s="141">
        <f>SUM(C106:C108)</f>
        <v>-93505.5</v>
      </c>
      <c r="D109" s="52"/>
      <c r="E109" s="141">
        <f>SUM(E106:E108)</f>
        <v>20919</v>
      </c>
      <c r="F109" s="53"/>
      <c r="G109" s="141">
        <f>SUM(G106:G108)</f>
        <v>161153</v>
      </c>
      <c r="H109" s="147"/>
      <c r="I109" s="63"/>
      <c r="J109" s="319"/>
      <c r="K109" s="168">
        <f>SUM(K106:K108)</f>
        <v>66035</v>
      </c>
      <c r="L109" s="54"/>
      <c r="M109" s="42"/>
      <c r="O109" s="508"/>
    </row>
    <row r="110" spans="1:15" s="332" customFormat="1" ht="7.5" customHeight="1" thickBot="1">
      <c r="A110" s="155"/>
      <c r="B110" s="52"/>
      <c r="C110" s="63"/>
      <c r="D110" s="52"/>
      <c r="E110" s="54"/>
      <c r="F110" s="52"/>
      <c r="G110" s="54"/>
      <c r="H110" s="52"/>
      <c r="I110" s="63"/>
      <c r="J110" s="319"/>
      <c r="K110" s="54"/>
      <c r="L110" s="54"/>
      <c r="M110" s="42"/>
      <c r="O110" s="508"/>
    </row>
    <row r="111" spans="1:15" s="332" customFormat="1" ht="19.5" customHeight="1" thickBot="1">
      <c r="A111" s="156"/>
      <c r="B111" s="39" t="s">
        <v>675</v>
      </c>
      <c r="C111" s="170">
        <f>C109/SUM(C16:C20)</f>
        <v>-3.2639929795117074E-2</v>
      </c>
      <c r="D111" s="37"/>
      <c r="E111" s="170">
        <f>E109/SUM(E16:E20)</f>
        <v>7.2364051473640511E-3</v>
      </c>
      <c r="G111" s="170">
        <f>G109/SUM(G16:G20)</f>
        <v>5.3406237096080389E-2</v>
      </c>
      <c r="I111" s="13"/>
      <c r="J111" s="319"/>
      <c r="K111" s="353">
        <f>K109/SUM(K16:K20)</f>
        <v>2.1883473280191305E-2</v>
      </c>
      <c r="L111" s="64"/>
      <c r="M111" s="399"/>
      <c r="O111" s="509"/>
    </row>
    <row r="112" spans="1:15" s="332" customFormat="1" ht="19.5" customHeight="1">
      <c r="A112" s="156"/>
      <c r="B112" s="39"/>
      <c r="C112" s="162"/>
      <c r="D112" s="37"/>
      <c r="E112" s="162"/>
      <c r="G112" s="162"/>
      <c r="I112" s="13"/>
      <c r="J112" s="319"/>
      <c r="K112" s="163"/>
      <c r="L112" s="64"/>
      <c r="M112" s="42"/>
      <c r="O112" s="509"/>
    </row>
    <row r="113" spans="1:15" s="332" customFormat="1" ht="19.5" customHeight="1">
      <c r="A113" s="156"/>
      <c r="B113" s="39" t="s">
        <v>1439</v>
      </c>
      <c r="C113" s="162"/>
      <c r="D113" s="37"/>
      <c r="E113" s="162"/>
      <c r="G113" s="162"/>
      <c r="I113" s="13"/>
      <c r="J113" s="319"/>
      <c r="K113" s="164">
        <f>K109-E109</f>
        <v>45116</v>
      </c>
      <c r="L113" s="64"/>
      <c r="M113" s="42"/>
      <c r="O113" s="509"/>
    </row>
    <row r="114" spans="1:15" s="332" customFormat="1" ht="19.5" customHeight="1">
      <c r="A114" s="156"/>
      <c r="B114" s="39" t="s">
        <v>676</v>
      </c>
      <c r="C114" s="162"/>
      <c r="D114" s="37"/>
      <c r="E114" s="162"/>
      <c r="G114" s="162"/>
      <c r="I114" s="13"/>
      <c r="J114" s="319"/>
      <c r="K114" s="180">
        <f>K113/SUM(E16:E20)</f>
        <v>1.5606752456067524E-2</v>
      </c>
      <c r="L114" s="64"/>
      <c r="M114" s="42"/>
      <c r="O114" s="509"/>
    </row>
    <row r="115" spans="1:15" s="332" customFormat="1" ht="19.5" customHeight="1">
      <c r="A115" s="156"/>
      <c r="B115" s="39"/>
      <c r="C115" s="162"/>
      <c r="D115" s="37"/>
      <c r="E115" s="162"/>
      <c r="G115" s="162"/>
      <c r="I115" s="13"/>
      <c r="J115" s="319"/>
      <c r="K115" s="42"/>
      <c r="L115" s="64"/>
      <c r="M115" s="42"/>
      <c r="O115" s="509"/>
    </row>
    <row r="116" spans="1:15" s="332" customFormat="1" ht="19.5" customHeight="1">
      <c r="A116" s="156"/>
      <c r="B116" s="39">
        <f>_xlfn.IFNA(IF(K116&lt;&gt;0,"Difference to SBS BvA Report Totals",),)</f>
        <v>0</v>
      </c>
      <c r="C116" s="162"/>
      <c r="D116" s="37"/>
      <c r="E116" s="162"/>
      <c r="G116" s="162"/>
      <c r="I116" s="321"/>
      <c r="J116" s="319"/>
      <c r="K116" s="42">
        <v>0</v>
      </c>
      <c r="L116" s="64"/>
      <c r="M116" s="42"/>
      <c r="O116" s="509"/>
    </row>
    <row r="117" spans="1:15" s="332" customFormat="1" ht="19.5" customHeight="1">
      <c r="A117" s="156"/>
      <c r="B117" s="39">
        <f>IF(K117&lt;&gt;0,"ZZZ Amount",)</f>
        <v>0</v>
      </c>
      <c r="C117" s="162"/>
      <c r="D117" s="37"/>
      <c r="E117" s="162"/>
      <c r="G117" s="162"/>
      <c r="I117" s="321"/>
      <c r="J117" s="319"/>
      <c r="K117" s="42">
        <v>0</v>
      </c>
      <c r="L117" s="64"/>
      <c r="M117" s="42"/>
      <c r="O117" s="509"/>
    </row>
    <row r="118" spans="1:15" s="332" customFormat="1" ht="19.5" customHeight="1">
      <c r="A118" s="156"/>
      <c r="B118" s="39"/>
      <c r="C118" s="162"/>
      <c r="D118" s="37"/>
      <c r="E118" s="162"/>
      <c r="G118" s="162"/>
      <c r="I118" s="13"/>
      <c r="J118" s="319"/>
      <c r="K118" s="42"/>
      <c r="L118" s="64"/>
      <c r="M118" s="42"/>
      <c r="O118" s="509"/>
    </row>
    <row r="119" spans="1:15" s="332" customFormat="1" ht="7.5" customHeight="1" thickBot="1">
      <c r="A119" s="157"/>
      <c r="B119" s="158"/>
      <c r="C119" s="159"/>
      <c r="D119" s="160"/>
      <c r="E119" s="159"/>
      <c r="F119" s="346"/>
      <c r="G119" s="161"/>
      <c r="H119" s="346"/>
      <c r="I119" s="161"/>
      <c r="J119" s="323"/>
      <c r="K119" s="159"/>
      <c r="L119" s="159"/>
      <c r="M119" s="161"/>
      <c r="N119" s="346"/>
      <c r="O119" s="510"/>
    </row>
    <row r="120" spans="1:15" s="332" customFormat="1" ht="30.75" customHeight="1">
      <c r="A120" s="570" t="s">
        <v>435</v>
      </c>
      <c r="B120" s="571"/>
      <c r="C120" s="571"/>
      <c r="D120" s="571"/>
      <c r="E120" s="571"/>
      <c r="F120" s="571"/>
      <c r="G120" s="571"/>
      <c r="H120" s="571"/>
      <c r="I120" s="571"/>
      <c r="J120" s="571"/>
      <c r="K120" s="571"/>
      <c r="L120" s="571"/>
      <c r="M120" s="571"/>
      <c r="N120" s="571"/>
      <c r="O120" s="572"/>
    </row>
    <row r="121" spans="1:15" s="332" customFormat="1" ht="96.6">
      <c r="A121" s="47" t="str">
        <f>B3</f>
        <v>River Cam Primary School</v>
      </c>
      <c r="B121" s="41"/>
      <c r="C121" s="134" t="s">
        <v>480</v>
      </c>
      <c r="D121" s="135"/>
      <c r="E121" s="134" t="s">
        <v>481</v>
      </c>
      <c r="F121" s="136"/>
      <c r="G121" s="134" t="s">
        <v>482</v>
      </c>
      <c r="H121" s="136"/>
      <c r="I121" s="134" t="s">
        <v>483</v>
      </c>
      <c r="J121" s="315" t="s">
        <v>484</v>
      </c>
      <c r="K121" s="134" t="s">
        <v>485</v>
      </c>
      <c r="L121" s="134"/>
      <c r="M121" s="134" t="s">
        <v>1434</v>
      </c>
      <c r="N121" s="131"/>
      <c r="O121" s="491" t="s">
        <v>546</v>
      </c>
    </row>
    <row r="122" spans="1:15" s="62" customFormat="1" ht="23.25" customHeight="1">
      <c r="A122" s="33"/>
      <c r="B122" s="137"/>
      <c r="C122" s="559" t="s">
        <v>486</v>
      </c>
      <c r="D122" s="559"/>
      <c r="E122" s="559"/>
      <c r="F122" s="559"/>
      <c r="G122" s="559"/>
      <c r="H122" s="559"/>
      <c r="I122" s="559"/>
      <c r="J122" s="559"/>
      <c r="K122" s="559"/>
      <c r="L122" s="559"/>
      <c r="M122" s="559"/>
      <c r="N122" s="339"/>
      <c r="O122" s="492"/>
    </row>
    <row r="123" spans="1:15" s="332" customFormat="1" ht="19.5" customHeight="1">
      <c r="A123" s="49" t="s">
        <v>677</v>
      </c>
      <c r="B123" s="39"/>
      <c r="C123" s="42" t="s">
        <v>489</v>
      </c>
      <c r="E123" s="42" t="s">
        <v>489</v>
      </c>
      <c r="G123" s="42" t="s">
        <v>489</v>
      </c>
      <c r="I123" s="42" t="s">
        <v>489</v>
      </c>
      <c r="J123" s="316"/>
      <c r="K123" s="42" t="s">
        <v>489</v>
      </c>
      <c r="L123" s="128"/>
      <c r="M123" s="42" t="s">
        <v>489</v>
      </c>
      <c r="O123" s="506"/>
    </row>
    <row r="124" spans="1:15" s="332" customFormat="1" ht="19.5" customHeight="1">
      <c r="A124" s="47" t="s">
        <v>678</v>
      </c>
      <c r="B124" s="39" t="s">
        <v>679</v>
      </c>
      <c r="C124" s="489">
        <v>9452</v>
      </c>
      <c r="D124" s="331" t="s">
        <v>680</v>
      </c>
      <c r="E124" s="489">
        <v>9529</v>
      </c>
      <c r="F124" s="340"/>
      <c r="G124" s="502">
        <v>19529</v>
      </c>
      <c r="H124" s="340"/>
      <c r="I124" s="502">
        <v>10000</v>
      </c>
      <c r="J124" s="499">
        <f>IFERROR(IF(I124="",0%,I124/K124),0)</f>
        <v>0.51205898919555537</v>
      </c>
      <c r="K124" s="502">
        <v>19529</v>
      </c>
      <c r="L124" s="341"/>
      <c r="M124" s="497">
        <f>IF(G124="",(K124-E124),(K124-E124))</f>
        <v>10000</v>
      </c>
      <c r="N124" s="340"/>
      <c r="O124" s="498" t="s">
        <v>1502</v>
      </c>
    </row>
    <row r="125" spans="1:15" s="332" customFormat="1" ht="19.5" customHeight="1">
      <c r="A125" s="47" t="s">
        <v>681</v>
      </c>
      <c r="B125" s="39" t="s">
        <v>682</v>
      </c>
      <c r="C125" s="489">
        <v>0</v>
      </c>
      <c r="D125" s="331" t="s">
        <v>683</v>
      </c>
      <c r="E125" s="489">
        <v>0</v>
      </c>
      <c r="F125" s="340"/>
      <c r="G125" s="502">
        <v>0</v>
      </c>
      <c r="H125" s="340"/>
      <c r="I125" s="502">
        <v>0</v>
      </c>
      <c r="J125" s="496">
        <f>IFERROR(IF(I125="",0%,I125/K125),0)</f>
        <v>0</v>
      </c>
      <c r="K125" s="502">
        <v>0</v>
      </c>
      <c r="L125" s="341"/>
      <c r="M125" s="143">
        <f>IF(G125="",(K125-E125),(K125-E125))</f>
        <v>0</v>
      </c>
      <c r="N125" s="340"/>
      <c r="O125" s="490"/>
    </row>
    <row r="126" spans="1:15" s="332" customFormat="1" ht="19.5" customHeight="1" thickBot="1">
      <c r="A126" s="47" t="s">
        <v>684</v>
      </c>
      <c r="B126" s="39" t="s">
        <v>685</v>
      </c>
      <c r="C126" s="489">
        <v>0</v>
      </c>
      <c r="D126" s="331" t="s">
        <v>686</v>
      </c>
      <c r="E126" s="489">
        <v>0</v>
      </c>
      <c r="F126" s="340"/>
      <c r="G126" s="502">
        <v>0</v>
      </c>
      <c r="H126" s="340"/>
      <c r="I126" s="502">
        <v>0</v>
      </c>
      <c r="J126" s="496">
        <f>IFERROR(IF(I126="",0%,I126/K126),0)</f>
        <v>0</v>
      </c>
      <c r="K126" s="502">
        <v>0</v>
      </c>
      <c r="L126" s="341"/>
      <c r="M126" s="143">
        <f>IF(G126="",(K126-E126),(K126-E126))</f>
        <v>0</v>
      </c>
      <c r="N126" s="340"/>
      <c r="O126" s="490"/>
    </row>
    <row r="127" spans="1:15" s="43" customFormat="1" ht="19.5" customHeight="1" thickBot="1">
      <c r="A127" s="45"/>
      <c r="B127" s="41" t="s">
        <v>436</v>
      </c>
      <c r="C127" s="1">
        <f>SUM(C124:C126)</f>
        <v>9452</v>
      </c>
      <c r="D127" s="369"/>
      <c r="E127" s="1">
        <f>SUM(E124:E126)</f>
        <v>9529</v>
      </c>
      <c r="F127" s="59"/>
      <c r="G127" s="1">
        <f>SUM(G124:G126)</f>
        <v>19529</v>
      </c>
      <c r="H127" s="59"/>
      <c r="I127" s="1">
        <f>SUM(I124:I126)</f>
        <v>10000</v>
      </c>
      <c r="J127" s="500">
        <f>IF(OR(I127="",I127=0),0%,I127/K127)</f>
        <v>0.51205898919555537</v>
      </c>
      <c r="K127" s="1">
        <f>SUM(K124:K126)</f>
        <v>19529</v>
      </c>
      <c r="L127" s="64"/>
      <c r="M127" s="144">
        <f>SUM(M124:M126)</f>
        <v>10000</v>
      </c>
      <c r="O127" s="511"/>
    </row>
    <row r="128" spans="1:15" s="332" customFormat="1" ht="19.5" customHeight="1">
      <c r="A128" s="47"/>
      <c r="B128" s="39"/>
      <c r="C128" s="50"/>
      <c r="D128" s="331"/>
      <c r="E128" s="50"/>
      <c r="G128" s="50"/>
      <c r="I128" s="50"/>
      <c r="J128" s="321"/>
      <c r="K128" s="50"/>
      <c r="L128" s="69"/>
      <c r="M128" s="50"/>
      <c r="O128" s="493"/>
    </row>
    <row r="129" spans="1:15" s="332" customFormat="1" ht="19.5" customHeight="1">
      <c r="A129" s="49" t="s">
        <v>687</v>
      </c>
      <c r="B129" s="39"/>
      <c r="C129" s="42" t="s">
        <v>489</v>
      </c>
      <c r="D129" s="370"/>
      <c r="E129" s="42" t="s">
        <v>489</v>
      </c>
      <c r="G129" s="42" t="s">
        <v>489</v>
      </c>
      <c r="I129" s="42" t="s">
        <v>489</v>
      </c>
      <c r="J129" s="316"/>
      <c r="K129" s="42" t="s">
        <v>489</v>
      </c>
      <c r="L129" s="128"/>
      <c r="M129" s="42" t="s">
        <v>489</v>
      </c>
      <c r="O129" s="506"/>
    </row>
    <row r="130" spans="1:15" s="332" customFormat="1" ht="19.5" customHeight="1">
      <c r="A130" s="47" t="s">
        <v>688</v>
      </c>
      <c r="B130" s="39" t="s">
        <v>689</v>
      </c>
      <c r="C130" s="489">
        <v>0</v>
      </c>
      <c r="D130" s="331" t="s">
        <v>690</v>
      </c>
      <c r="E130" s="489">
        <v>0</v>
      </c>
      <c r="F130" s="340"/>
      <c r="G130" s="502">
        <v>0</v>
      </c>
      <c r="H130" s="340"/>
      <c r="I130" s="502">
        <v>0</v>
      </c>
      <c r="J130" s="496">
        <f>IFERROR(IF(I130="",0%,I130/K130),0)</f>
        <v>0</v>
      </c>
      <c r="K130" s="502">
        <v>0</v>
      </c>
      <c r="L130" s="341"/>
      <c r="M130" s="143">
        <f>IF(G130="",(K130-E130),(K130-E130))</f>
        <v>0</v>
      </c>
      <c r="N130" s="340"/>
      <c r="O130" s="490"/>
    </row>
    <row r="131" spans="1:15" s="332" customFormat="1" ht="19.5" customHeight="1">
      <c r="A131" s="47" t="s">
        <v>691</v>
      </c>
      <c r="B131" s="39" t="s">
        <v>692</v>
      </c>
      <c r="C131" s="489">
        <v>0</v>
      </c>
      <c r="D131" s="331" t="s">
        <v>693</v>
      </c>
      <c r="E131" s="489">
        <v>0</v>
      </c>
      <c r="F131" s="340"/>
      <c r="G131" s="502">
        <v>10000</v>
      </c>
      <c r="H131" s="340"/>
      <c r="I131" s="502">
        <v>0</v>
      </c>
      <c r="J131" s="496">
        <f>IFERROR(IF(I131="",0%,I131/K131),0)</f>
        <v>0</v>
      </c>
      <c r="K131" s="502">
        <v>10000</v>
      </c>
      <c r="L131" s="341"/>
      <c r="M131" s="143">
        <v>10000</v>
      </c>
      <c r="N131" s="340"/>
      <c r="O131" s="498" t="s">
        <v>1503</v>
      </c>
    </row>
    <row r="132" spans="1:15" s="332" customFormat="1" ht="19.5" customHeight="1">
      <c r="A132" s="47" t="s">
        <v>694</v>
      </c>
      <c r="B132" s="39" t="s">
        <v>695</v>
      </c>
      <c r="C132" s="489">
        <v>0</v>
      </c>
      <c r="D132" s="331" t="s">
        <v>696</v>
      </c>
      <c r="E132" s="489">
        <v>0</v>
      </c>
      <c r="F132" s="340"/>
      <c r="G132" s="502">
        <v>0</v>
      </c>
      <c r="H132" s="340"/>
      <c r="I132" s="502">
        <v>0</v>
      </c>
      <c r="J132" s="496">
        <f>IFERROR(IF(I132="",0%,I132/K132),0)</f>
        <v>0</v>
      </c>
      <c r="K132" s="502">
        <v>0</v>
      </c>
      <c r="L132" s="341"/>
      <c r="M132" s="143">
        <f>IF(G132="",(K132-E132),(K132-G132))</f>
        <v>0</v>
      </c>
      <c r="N132" s="340"/>
      <c r="O132" s="490"/>
    </row>
    <row r="133" spans="1:15" s="332" customFormat="1" ht="19.5" customHeight="1" thickBot="1">
      <c r="A133" s="47" t="s">
        <v>697</v>
      </c>
      <c r="B133" s="39" t="s">
        <v>698</v>
      </c>
      <c r="C133" s="489">
        <v>11579</v>
      </c>
      <c r="D133" s="331"/>
      <c r="E133" s="489">
        <v>9529</v>
      </c>
      <c r="F133" s="340"/>
      <c r="G133" s="495">
        <v>9600</v>
      </c>
      <c r="H133" s="340"/>
      <c r="I133" s="495">
        <v>0</v>
      </c>
      <c r="J133" s="496">
        <f>IFERROR(IF(I133="",0%,I133/K133),0)</f>
        <v>0</v>
      </c>
      <c r="K133" s="495">
        <v>9600</v>
      </c>
      <c r="L133" s="341"/>
      <c r="M133" s="497">
        <v>71</v>
      </c>
      <c r="N133" s="340"/>
      <c r="O133" s="498" t="s">
        <v>1504</v>
      </c>
    </row>
    <row r="134" spans="1:15" s="332" customFormat="1" ht="19.5" customHeight="1" thickBot="1">
      <c r="A134" s="47"/>
      <c r="B134" s="41" t="s">
        <v>437</v>
      </c>
      <c r="C134" s="1">
        <f>SUM(C130:C133)</f>
        <v>11579</v>
      </c>
      <c r="D134" s="331"/>
      <c r="E134" s="1">
        <f>SUM(E130:E133)</f>
        <v>9529</v>
      </c>
      <c r="F134" s="340"/>
      <c r="G134" s="1">
        <f>SUM(G130:G133)</f>
        <v>19600</v>
      </c>
      <c r="H134" s="340"/>
      <c r="I134" s="1">
        <f>SUM(I130:I133)</f>
        <v>0</v>
      </c>
      <c r="J134" s="500">
        <f>IF(OR(I134="",I134=0),0%,I134/K134)</f>
        <v>0</v>
      </c>
      <c r="K134" s="1">
        <f>SUM(K130:K133)</f>
        <v>19600</v>
      </c>
      <c r="L134" s="64"/>
      <c r="M134" s="512">
        <f>SUM(M130:M133)</f>
        <v>10071</v>
      </c>
      <c r="N134" s="342"/>
      <c r="O134" s="513" t="s">
        <v>1505</v>
      </c>
    </row>
    <row r="135" spans="1:15" s="332" customFormat="1" ht="19.5" customHeight="1" thickBot="1">
      <c r="A135" s="47"/>
      <c r="B135" s="41"/>
      <c r="C135" s="6"/>
      <c r="D135" s="37"/>
      <c r="E135" s="6"/>
      <c r="G135" s="6"/>
      <c r="I135" s="6"/>
      <c r="J135" s="317"/>
      <c r="K135" s="6"/>
      <c r="L135" s="51"/>
      <c r="M135" s="6"/>
      <c r="O135" s="493"/>
    </row>
    <row r="136" spans="1:15" s="332" customFormat="1" ht="19.5" customHeight="1" thickBot="1">
      <c r="A136" s="47"/>
      <c r="B136" s="39" t="s">
        <v>699</v>
      </c>
      <c r="C136" s="144">
        <f>C127-C134</f>
        <v>-2127</v>
      </c>
      <c r="D136" s="37"/>
      <c r="E136" s="144">
        <f>E127-E134</f>
        <v>0</v>
      </c>
      <c r="F136" s="340"/>
      <c r="G136" s="144">
        <f>G127-G134</f>
        <v>-71</v>
      </c>
      <c r="H136" s="342"/>
      <c r="I136" s="42"/>
      <c r="J136" s="324"/>
      <c r="K136" s="144">
        <f>K127-K134</f>
        <v>-71</v>
      </c>
      <c r="L136" s="347"/>
      <c r="M136" s="348"/>
      <c r="O136" s="493"/>
    </row>
    <row r="137" spans="1:15" s="332" customFormat="1" ht="19.5" customHeight="1" thickBot="1">
      <c r="A137" s="47"/>
      <c r="B137" s="39" t="s">
        <v>700</v>
      </c>
      <c r="C137" s="168">
        <v>2127</v>
      </c>
      <c r="D137" s="37"/>
      <c r="E137" s="245">
        <v>0</v>
      </c>
      <c r="F137" s="340"/>
      <c r="G137" s="168">
        <f>E137</f>
        <v>0</v>
      </c>
      <c r="H137" s="342"/>
      <c r="I137" s="42"/>
      <c r="J137" s="324"/>
      <c r="K137" s="168">
        <f>G137</f>
        <v>0</v>
      </c>
      <c r="L137" s="347"/>
      <c r="M137" s="348"/>
      <c r="O137" s="493"/>
    </row>
    <row r="138" spans="1:15" s="332" customFormat="1" ht="19.5" customHeight="1" thickBot="1">
      <c r="A138" s="47"/>
      <c r="B138" s="41" t="s">
        <v>701</v>
      </c>
      <c r="C138" s="144">
        <f>C136+C137</f>
        <v>0</v>
      </c>
      <c r="D138" s="37"/>
      <c r="E138" s="144">
        <f>E136+E137</f>
        <v>0</v>
      </c>
      <c r="F138" s="340"/>
      <c r="G138" s="144">
        <f>G136+G137</f>
        <v>-71</v>
      </c>
      <c r="H138" s="342"/>
      <c r="I138" s="42"/>
      <c r="J138" s="319"/>
      <c r="K138" s="144">
        <f>K136+K137</f>
        <v>-71</v>
      </c>
      <c r="L138" s="64"/>
      <c r="M138" s="13"/>
      <c r="O138" s="493"/>
    </row>
    <row r="139" spans="1:15" ht="19.5" customHeight="1">
      <c r="A139" s="55"/>
      <c r="B139" s="349"/>
      <c r="C139" s="7"/>
      <c r="D139" s="58"/>
      <c r="E139" s="7"/>
      <c r="F139" s="344"/>
      <c r="G139" s="7"/>
      <c r="H139" s="344"/>
      <c r="I139" s="7"/>
      <c r="J139" s="325"/>
      <c r="K139" s="7"/>
      <c r="L139" s="57"/>
      <c r="M139" s="7"/>
      <c r="N139" s="344"/>
      <c r="O139" s="506"/>
    </row>
    <row r="192" spans="1:5" hidden="1">
      <c r="A192" s="350" t="s">
        <v>702</v>
      </c>
      <c r="B192" s="50"/>
      <c r="C192" s="50"/>
      <c r="D192" s="50"/>
      <c r="E192" s="50"/>
    </row>
    <row r="193" spans="1:5" hidden="1">
      <c r="A193" s="288" t="s">
        <v>703</v>
      </c>
      <c r="B193" s="50" t="s">
        <v>704</v>
      </c>
      <c r="C193" s="288">
        <v>3373</v>
      </c>
      <c r="D193" s="288">
        <v>3373</v>
      </c>
      <c r="E193" s="50" t="s">
        <v>333</v>
      </c>
    </row>
    <row r="194" spans="1:5" hidden="1">
      <c r="A194" s="288" t="s">
        <v>705</v>
      </c>
      <c r="B194" s="50" t="s">
        <v>704</v>
      </c>
      <c r="C194" s="288">
        <v>3061</v>
      </c>
      <c r="D194" s="288">
        <v>3061</v>
      </c>
      <c r="E194" s="50" t="s">
        <v>275</v>
      </c>
    </row>
    <row r="195" spans="1:5" hidden="1">
      <c r="A195" s="288" t="s">
        <v>706</v>
      </c>
      <c r="B195" s="50" t="s">
        <v>704</v>
      </c>
      <c r="C195" s="288">
        <v>2083</v>
      </c>
      <c r="D195" s="288">
        <v>2083</v>
      </c>
      <c r="E195" s="50" t="s">
        <v>97</v>
      </c>
    </row>
    <row r="196" spans="1:5" hidden="1">
      <c r="A196" s="288" t="s">
        <v>707</v>
      </c>
      <c r="B196" s="50" t="s">
        <v>704</v>
      </c>
      <c r="C196" s="288">
        <v>2118</v>
      </c>
      <c r="D196" s="288">
        <v>2118</v>
      </c>
      <c r="E196" s="50" t="s">
        <v>111</v>
      </c>
    </row>
    <row r="197" spans="1:5" hidden="1">
      <c r="A197" s="288" t="s">
        <v>708</v>
      </c>
      <c r="B197" s="50" t="s">
        <v>704</v>
      </c>
      <c r="C197" s="288">
        <v>2217</v>
      </c>
      <c r="D197" s="288">
        <v>2217</v>
      </c>
      <c r="E197" s="50" t="s">
        <v>139</v>
      </c>
    </row>
    <row r="198" spans="1:5" hidden="1">
      <c r="A198" s="288" t="s">
        <v>709</v>
      </c>
      <c r="B198" s="50" t="s">
        <v>704</v>
      </c>
      <c r="C198" s="288">
        <v>3067</v>
      </c>
      <c r="D198" s="288">
        <v>3067</v>
      </c>
      <c r="E198" s="50" t="s">
        <v>283</v>
      </c>
    </row>
    <row r="199" spans="1:5" hidden="1">
      <c r="A199" s="289" t="s">
        <v>710</v>
      </c>
      <c r="B199" s="50" t="s">
        <v>704</v>
      </c>
      <c r="C199" s="289">
        <v>3001</v>
      </c>
      <c r="D199" s="289">
        <v>3001</v>
      </c>
      <c r="E199" s="50" t="s">
        <v>225</v>
      </c>
    </row>
    <row r="200" spans="1:5" hidden="1">
      <c r="A200" s="288" t="s">
        <v>711</v>
      </c>
      <c r="B200" s="50" t="s">
        <v>704</v>
      </c>
      <c r="C200" s="288">
        <v>3301</v>
      </c>
      <c r="D200" s="288">
        <v>3301</v>
      </c>
      <c r="E200" s="50" t="s">
        <v>301</v>
      </c>
    </row>
    <row r="201" spans="1:5" hidden="1">
      <c r="A201" s="288" t="s">
        <v>712</v>
      </c>
      <c r="B201" s="50" t="s">
        <v>704</v>
      </c>
      <c r="C201" s="288">
        <v>2002</v>
      </c>
      <c r="D201" s="288">
        <v>2002</v>
      </c>
      <c r="E201" s="50" t="s">
        <v>21</v>
      </c>
    </row>
    <row r="202" spans="1:5" hidden="1">
      <c r="A202" s="288" t="s">
        <v>713</v>
      </c>
      <c r="B202" s="50" t="s">
        <v>704</v>
      </c>
      <c r="C202" s="288">
        <v>2082</v>
      </c>
      <c r="D202" s="288">
        <v>2082</v>
      </c>
      <c r="E202" s="50" t="s">
        <v>95</v>
      </c>
    </row>
    <row r="203" spans="1:5" hidden="1">
      <c r="A203" s="288" t="s">
        <v>714</v>
      </c>
      <c r="B203" s="50" t="s">
        <v>704</v>
      </c>
      <c r="C203" s="288">
        <v>3943</v>
      </c>
      <c r="D203" s="288">
        <v>3943</v>
      </c>
      <c r="E203" s="50" t="s">
        <v>351</v>
      </c>
    </row>
    <row r="204" spans="1:5" hidden="1">
      <c r="A204" s="288" t="s">
        <v>715</v>
      </c>
      <c r="B204" s="50" t="s">
        <v>704</v>
      </c>
      <c r="C204" s="288">
        <v>2060</v>
      </c>
      <c r="D204" s="288">
        <v>2060</v>
      </c>
      <c r="E204" s="50" t="s">
        <v>73</v>
      </c>
    </row>
    <row r="205" spans="1:5" hidden="1">
      <c r="A205" s="288" t="s">
        <v>716</v>
      </c>
      <c r="B205" s="50" t="s">
        <v>704</v>
      </c>
      <c r="C205" s="288">
        <v>2312</v>
      </c>
      <c r="D205" s="288">
        <v>2312</v>
      </c>
      <c r="E205" s="50" t="s">
        <v>177</v>
      </c>
    </row>
    <row r="206" spans="1:5" hidden="1">
      <c r="A206" s="288" t="s">
        <v>717</v>
      </c>
      <c r="B206" s="50" t="s">
        <v>704</v>
      </c>
      <c r="C206" s="288">
        <v>3942</v>
      </c>
      <c r="D206" s="288">
        <v>3942</v>
      </c>
      <c r="E206" s="50" t="s">
        <v>349</v>
      </c>
    </row>
    <row r="207" spans="1:5" hidden="1">
      <c r="A207" s="288" t="s">
        <v>718</v>
      </c>
      <c r="B207" s="50" t="s">
        <v>704</v>
      </c>
      <c r="C207" s="288">
        <v>3081</v>
      </c>
      <c r="D207" s="288">
        <v>3081</v>
      </c>
      <c r="E207" s="50" t="s">
        <v>297</v>
      </c>
    </row>
    <row r="208" spans="1:5" hidden="1">
      <c r="A208" s="288" t="s">
        <v>719</v>
      </c>
      <c r="B208" s="50" t="s">
        <v>720</v>
      </c>
      <c r="C208" s="288">
        <v>1005</v>
      </c>
      <c r="D208" s="288">
        <v>1005</v>
      </c>
      <c r="E208" s="50" t="s">
        <v>11</v>
      </c>
    </row>
    <row r="209" spans="1:5" hidden="1">
      <c r="A209" s="288" t="s">
        <v>721</v>
      </c>
      <c r="B209" s="50" t="s">
        <v>704</v>
      </c>
      <c r="C209" s="288">
        <v>2327</v>
      </c>
      <c r="D209" s="288">
        <v>2327</v>
      </c>
      <c r="E209" s="50" t="s">
        <v>185</v>
      </c>
    </row>
    <row r="210" spans="1:5" hidden="1">
      <c r="A210" s="288" t="s">
        <v>722</v>
      </c>
      <c r="B210" s="50" t="s">
        <v>704</v>
      </c>
      <c r="C210" s="288">
        <v>2452</v>
      </c>
      <c r="D210" s="288">
        <v>2452</v>
      </c>
      <c r="E210" s="50" t="s">
        <v>217</v>
      </c>
    </row>
    <row r="211" spans="1:5" hidden="1">
      <c r="A211" s="288" t="s">
        <v>723</v>
      </c>
      <c r="B211" s="50" t="s">
        <v>704</v>
      </c>
      <c r="C211" s="288">
        <v>2004</v>
      </c>
      <c r="D211" s="288">
        <v>2004</v>
      </c>
      <c r="E211" s="50" t="s">
        <v>23</v>
      </c>
    </row>
    <row r="212" spans="1:5" hidden="1">
      <c r="A212" s="288" t="s">
        <v>724</v>
      </c>
      <c r="B212" s="50" t="s">
        <v>704</v>
      </c>
      <c r="C212" s="288">
        <v>3008</v>
      </c>
      <c r="D212" s="288">
        <v>3008</v>
      </c>
      <c r="E212" s="50" t="s">
        <v>229</v>
      </c>
    </row>
    <row r="213" spans="1:5" hidden="1">
      <c r="A213" s="288" t="s">
        <v>725</v>
      </c>
      <c r="B213" s="50" t="s">
        <v>726</v>
      </c>
      <c r="C213" s="288">
        <v>7026</v>
      </c>
      <c r="D213" s="288">
        <v>7026</v>
      </c>
      <c r="E213" s="50" t="s">
        <v>381</v>
      </c>
    </row>
    <row r="214" spans="1:5" hidden="1">
      <c r="A214" s="288" t="s">
        <v>727</v>
      </c>
      <c r="B214" s="50" t="s">
        <v>704</v>
      </c>
      <c r="C214" s="288">
        <v>3050</v>
      </c>
      <c r="D214" s="288">
        <v>3050</v>
      </c>
      <c r="E214" s="50" t="s">
        <v>263</v>
      </c>
    </row>
    <row r="215" spans="1:5" hidden="1">
      <c r="A215" s="288" t="s">
        <v>728</v>
      </c>
      <c r="B215" s="50" t="s">
        <v>704</v>
      </c>
      <c r="C215" s="288">
        <v>3009</v>
      </c>
      <c r="D215" s="288">
        <v>3009</v>
      </c>
      <c r="E215" s="50" t="s">
        <v>231</v>
      </c>
    </row>
    <row r="216" spans="1:5" hidden="1">
      <c r="A216" s="288" t="s">
        <v>729</v>
      </c>
      <c r="B216" s="50" t="s">
        <v>704</v>
      </c>
      <c r="C216" s="288">
        <v>2091</v>
      </c>
      <c r="D216" s="288">
        <v>2091</v>
      </c>
      <c r="E216" s="50" t="s">
        <v>103</v>
      </c>
    </row>
    <row r="217" spans="1:5" hidden="1">
      <c r="A217" s="288" t="s">
        <v>730</v>
      </c>
      <c r="B217" s="50" t="s">
        <v>704</v>
      </c>
      <c r="C217" s="288">
        <v>2065</v>
      </c>
      <c r="D217" s="288">
        <v>2065</v>
      </c>
      <c r="E217" s="50" t="s">
        <v>77</v>
      </c>
    </row>
    <row r="218" spans="1:5" hidden="1">
      <c r="A218" s="288" t="s">
        <v>731</v>
      </c>
      <c r="B218" s="50" t="s">
        <v>720</v>
      </c>
      <c r="C218" s="288">
        <v>1006</v>
      </c>
      <c r="D218" s="288">
        <v>1006</v>
      </c>
      <c r="E218" s="50" t="s">
        <v>13</v>
      </c>
    </row>
    <row r="219" spans="1:5" hidden="1">
      <c r="A219" s="288" t="s">
        <v>732</v>
      </c>
      <c r="B219" s="50" t="s">
        <v>704</v>
      </c>
      <c r="C219" s="288">
        <v>2119</v>
      </c>
      <c r="D219" s="288">
        <v>2119</v>
      </c>
      <c r="E219" s="50" t="s">
        <v>113</v>
      </c>
    </row>
    <row r="220" spans="1:5" hidden="1">
      <c r="A220" s="288" t="s">
        <v>733</v>
      </c>
      <c r="B220" s="50" t="s">
        <v>704</v>
      </c>
      <c r="C220" s="288">
        <v>3011</v>
      </c>
      <c r="D220" s="288">
        <v>3011</v>
      </c>
      <c r="E220" s="50" t="s">
        <v>233</v>
      </c>
    </row>
    <row r="221" spans="1:5" hidden="1">
      <c r="A221" s="288" t="s">
        <v>734</v>
      </c>
      <c r="B221" s="50" t="s">
        <v>704</v>
      </c>
      <c r="C221" s="288">
        <v>2006</v>
      </c>
      <c r="D221" s="288">
        <v>2006</v>
      </c>
      <c r="E221" s="50" t="s">
        <v>25</v>
      </c>
    </row>
    <row r="222" spans="1:5" hidden="1">
      <c r="A222" s="288" t="s">
        <v>735</v>
      </c>
      <c r="B222" s="50" t="s">
        <v>704</v>
      </c>
      <c r="C222" s="288">
        <v>3012</v>
      </c>
      <c r="D222" s="288">
        <v>3012</v>
      </c>
      <c r="E222" s="50" t="s">
        <v>235</v>
      </c>
    </row>
    <row r="223" spans="1:5" hidden="1">
      <c r="A223" s="288" t="s">
        <v>736</v>
      </c>
      <c r="B223" s="50" t="s">
        <v>704</v>
      </c>
      <c r="C223" s="288">
        <v>3041</v>
      </c>
      <c r="D223" s="288">
        <v>3041</v>
      </c>
      <c r="E223" s="50" t="s">
        <v>257</v>
      </c>
    </row>
    <row r="224" spans="1:5" hidden="1">
      <c r="A224" s="288" t="s">
        <v>737</v>
      </c>
      <c r="B224" s="50" t="s">
        <v>704</v>
      </c>
      <c r="C224" s="288">
        <v>2246</v>
      </c>
      <c r="D224" s="288">
        <v>2246</v>
      </c>
      <c r="E224" s="50" t="s">
        <v>161</v>
      </c>
    </row>
    <row r="225" spans="1:5" hidden="1">
      <c r="A225" s="288" t="s">
        <v>738</v>
      </c>
      <c r="B225" s="50" t="s">
        <v>704</v>
      </c>
      <c r="C225" s="288">
        <v>3308</v>
      </c>
      <c r="D225" s="288">
        <v>3308</v>
      </c>
      <c r="E225" s="50" t="s">
        <v>305</v>
      </c>
    </row>
    <row r="226" spans="1:5" hidden="1">
      <c r="A226" s="288" t="s">
        <v>739</v>
      </c>
      <c r="B226" s="50" t="s">
        <v>704</v>
      </c>
      <c r="C226" s="288">
        <v>3368</v>
      </c>
      <c r="D226" s="288">
        <v>3368</v>
      </c>
      <c r="E226" s="50" t="s">
        <v>331</v>
      </c>
    </row>
    <row r="227" spans="1:5" hidden="1">
      <c r="A227" s="288" t="s">
        <v>740</v>
      </c>
      <c r="B227" s="50" t="s">
        <v>704</v>
      </c>
      <c r="C227" s="288">
        <v>2444</v>
      </c>
      <c r="D227" s="288">
        <v>2444</v>
      </c>
      <c r="E227" s="50" t="s">
        <v>205</v>
      </c>
    </row>
    <row r="228" spans="1:5" hidden="1">
      <c r="A228" s="288" t="s">
        <v>741</v>
      </c>
      <c r="B228" s="50" t="s">
        <v>704</v>
      </c>
      <c r="C228" s="288">
        <v>3074</v>
      </c>
      <c r="D228" s="288">
        <v>3074</v>
      </c>
      <c r="E228" s="50" t="s">
        <v>293</v>
      </c>
    </row>
    <row r="229" spans="1:5" hidden="1">
      <c r="A229" s="288"/>
      <c r="B229" s="50" t="s">
        <v>704</v>
      </c>
      <c r="C229" s="288">
        <v>2336</v>
      </c>
      <c r="D229" s="288">
        <v>2336</v>
      </c>
      <c r="E229" s="50" t="s">
        <v>197</v>
      </c>
    </row>
    <row r="230" spans="1:5" hidden="1">
      <c r="A230" s="288" t="s">
        <v>742</v>
      </c>
      <c r="B230" s="50" t="s">
        <v>704</v>
      </c>
      <c r="C230" s="288">
        <v>2010</v>
      </c>
      <c r="D230" s="288">
        <v>2010</v>
      </c>
      <c r="E230" s="50" t="s">
        <v>29</v>
      </c>
    </row>
    <row r="231" spans="1:5" hidden="1">
      <c r="A231" s="288" t="s">
        <v>743</v>
      </c>
      <c r="B231" s="50" t="s">
        <v>704</v>
      </c>
      <c r="C231" s="288">
        <v>2208</v>
      </c>
      <c r="D231" s="288">
        <v>2208</v>
      </c>
      <c r="E231" s="50" t="s">
        <v>129</v>
      </c>
    </row>
    <row r="232" spans="1:5" hidden="1">
      <c r="A232" s="288" t="s">
        <v>744</v>
      </c>
      <c r="B232" s="50" t="s">
        <v>704</v>
      </c>
      <c r="C232" s="288">
        <v>3065</v>
      </c>
      <c r="D232" s="288">
        <v>3065</v>
      </c>
      <c r="E232" s="50" t="s">
        <v>279</v>
      </c>
    </row>
    <row r="233" spans="1:5" hidden="1">
      <c r="A233" s="288" t="s">
        <v>745</v>
      </c>
      <c r="B233" s="50" t="s">
        <v>704</v>
      </c>
      <c r="C233" s="288">
        <v>3014</v>
      </c>
      <c r="D233" s="288">
        <v>3014</v>
      </c>
      <c r="E233" s="50" t="s">
        <v>237</v>
      </c>
    </row>
    <row r="234" spans="1:5" hidden="1">
      <c r="A234" s="288" t="s">
        <v>746</v>
      </c>
      <c r="B234" s="50" t="s">
        <v>704</v>
      </c>
      <c r="C234" s="288">
        <v>2321</v>
      </c>
      <c r="D234" s="288">
        <v>2321</v>
      </c>
      <c r="E234" s="50" t="s">
        <v>183</v>
      </c>
    </row>
    <row r="235" spans="1:5" hidden="1">
      <c r="A235" s="288" t="s">
        <v>747</v>
      </c>
      <c r="B235" s="50" t="s">
        <v>704</v>
      </c>
      <c r="C235" s="288">
        <v>2011</v>
      </c>
      <c r="D235" s="288">
        <v>2011</v>
      </c>
      <c r="E235" s="50" t="s">
        <v>31</v>
      </c>
    </row>
    <row r="236" spans="1:5" hidden="1">
      <c r="A236" s="288" t="s">
        <v>748</v>
      </c>
      <c r="B236" s="50" t="s">
        <v>704</v>
      </c>
      <c r="C236" s="288">
        <v>2012</v>
      </c>
      <c r="D236" s="288">
        <v>2012</v>
      </c>
      <c r="E236" s="50" t="s">
        <v>33</v>
      </c>
    </row>
    <row r="237" spans="1:5" hidden="1">
      <c r="A237" s="288" t="s">
        <v>749</v>
      </c>
      <c r="B237" s="50" t="s">
        <v>704</v>
      </c>
      <c r="C237" s="288">
        <v>2068</v>
      </c>
      <c r="D237" s="288">
        <v>2068</v>
      </c>
      <c r="E237" s="50" t="s">
        <v>81</v>
      </c>
    </row>
    <row r="238" spans="1:5" hidden="1">
      <c r="A238" s="288" t="s">
        <v>750</v>
      </c>
      <c r="B238" s="50" t="s">
        <v>704</v>
      </c>
      <c r="C238" s="288">
        <v>2328</v>
      </c>
      <c r="D238" s="288">
        <v>2328</v>
      </c>
      <c r="E238" s="50" t="s">
        <v>187</v>
      </c>
    </row>
    <row r="239" spans="1:5" hidden="1">
      <c r="A239" s="288" t="s">
        <v>751</v>
      </c>
      <c r="B239" s="50" t="s">
        <v>726</v>
      </c>
      <c r="C239" s="288">
        <v>7025</v>
      </c>
      <c r="D239" s="288">
        <v>7025</v>
      </c>
      <c r="E239" s="50" t="s">
        <v>379</v>
      </c>
    </row>
    <row r="240" spans="1:5" hidden="1">
      <c r="A240" s="288" t="s">
        <v>752</v>
      </c>
      <c r="B240" s="50" t="s">
        <v>704</v>
      </c>
      <c r="C240" s="288">
        <v>2016</v>
      </c>
      <c r="D240" s="288">
        <v>2016</v>
      </c>
      <c r="E240" s="50" t="s">
        <v>39</v>
      </c>
    </row>
    <row r="241" spans="1:5" hidden="1">
      <c r="A241" s="288" t="s">
        <v>753</v>
      </c>
      <c r="B241" s="50" t="s">
        <v>704</v>
      </c>
      <c r="C241" s="288">
        <v>3310</v>
      </c>
      <c r="D241" s="288">
        <v>3310</v>
      </c>
      <c r="E241" s="50" t="s">
        <v>307</v>
      </c>
    </row>
    <row r="242" spans="1:5" hidden="1">
      <c r="A242" s="288" t="s">
        <v>754</v>
      </c>
      <c r="B242" s="50" t="s">
        <v>704</v>
      </c>
      <c r="C242" s="288">
        <v>3068</v>
      </c>
      <c r="D242" s="288">
        <v>3068</v>
      </c>
      <c r="E242" s="50" t="s">
        <v>285</v>
      </c>
    </row>
    <row r="243" spans="1:5" hidden="1">
      <c r="A243" s="288" t="s">
        <v>755</v>
      </c>
      <c r="B243" s="50" t="s">
        <v>704</v>
      </c>
      <c r="C243" s="288">
        <v>2315</v>
      </c>
      <c r="D243" s="288">
        <v>2315</v>
      </c>
      <c r="E243" s="50" t="s">
        <v>179</v>
      </c>
    </row>
    <row r="244" spans="1:5" hidden="1">
      <c r="A244" s="288" t="s">
        <v>756</v>
      </c>
      <c r="B244" s="50" t="s">
        <v>704</v>
      </c>
      <c r="C244" s="288">
        <v>2018</v>
      </c>
      <c r="D244" s="288">
        <v>2018</v>
      </c>
      <c r="E244" s="50" t="s">
        <v>41</v>
      </c>
    </row>
    <row r="245" spans="1:5" hidden="1">
      <c r="A245" s="288" t="s">
        <v>757</v>
      </c>
      <c r="B245" s="50" t="s">
        <v>704</v>
      </c>
      <c r="C245" s="288">
        <v>3035</v>
      </c>
      <c r="D245" s="288">
        <v>3035</v>
      </c>
      <c r="E245" s="50" t="s">
        <v>253</v>
      </c>
    </row>
    <row r="246" spans="1:5" hidden="1">
      <c r="A246" s="288" t="s">
        <v>758</v>
      </c>
      <c r="B246" s="50" t="s">
        <v>704</v>
      </c>
      <c r="C246" s="288">
        <v>2205</v>
      </c>
      <c r="D246" s="288">
        <v>2205</v>
      </c>
      <c r="E246" s="50" t="s">
        <v>125</v>
      </c>
    </row>
    <row r="247" spans="1:5" hidden="1">
      <c r="A247" s="288" t="s">
        <v>759</v>
      </c>
      <c r="B247" s="50" t="s">
        <v>704</v>
      </c>
      <c r="C247" s="288">
        <v>2211</v>
      </c>
      <c r="D247" s="288">
        <v>2211</v>
      </c>
      <c r="E247" s="50" t="s">
        <v>131</v>
      </c>
    </row>
    <row r="248" spans="1:5" hidden="1">
      <c r="A248" s="288" t="s">
        <v>760</v>
      </c>
      <c r="B248" s="50" t="s">
        <v>720</v>
      </c>
      <c r="C248" s="288">
        <v>1003</v>
      </c>
      <c r="D248" s="288">
        <v>1003</v>
      </c>
      <c r="E248" s="50" t="s">
        <v>9</v>
      </c>
    </row>
    <row r="249" spans="1:5" hidden="1">
      <c r="A249" s="288" t="s">
        <v>761</v>
      </c>
      <c r="B249" s="50" t="s">
        <v>704</v>
      </c>
      <c r="C249" s="288">
        <v>3071</v>
      </c>
      <c r="D249" s="288">
        <v>3071</v>
      </c>
      <c r="E249" s="50" t="s">
        <v>289</v>
      </c>
    </row>
    <row r="250" spans="1:5" hidden="1">
      <c r="A250" s="288" t="s">
        <v>762</v>
      </c>
      <c r="B250" s="50" t="s">
        <v>720</v>
      </c>
      <c r="C250" s="288">
        <v>1002</v>
      </c>
      <c r="D250" s="288">
        <v>1002</v>
      </c>
      <c r="E250" s="50" t="s">
        <v>7</v>
      </c>
    </row>
    <row r="251" spans="1:5" hidden="1">
      <c r="A251" s="288" t="s">
        <v>763</v>
      </c>
      <c r="B251" s="50" t="s">
        <v>704</v>
      </c>
      <c r="C251" s="288">
        <v>2212</v>
      </c>
      <c r="D251" s="288">
        <v>2212</v>
      </c>
      <c r="E251" s="50" t="s">
        <v>133</v>
      </c>
    </row>
    <row r="252" spans="1:5" hidden="1">
      <c r="A252" s="288" t="s">
        <v>764</v>
      </c>
      <c r="B252" s="50" t="s">
        <v>720</v>
      </c>
      <c r="C252" s="288">
        <v>1007</v>
      </c>
      <c r="D252" s="288">
        <v>1007</v>
      </c>
      <c r="E252" s="50" t="s">
        <v>15</v>
      </c>
    </row>
    <row r="253" spans="1:5" hidden="1">
      <c r="A253" s="288" t="s">
        <v>765</v>
      </c>
      <c r="B253" s="327" t="s">
        <v>704</v>
      </c>
      <c r="C253" s="288">
        <v>3945</v>
      </c>
      <c r="D253" s="288">
        <v>3945</v>
      </c>
      <c r="E253" s="50" t="s">
        <v>353</v>
      </c>
    </row>
    <row r="254" spans="1:5" hidden="1">
      <c r="A254" s="288" t="s">
        <v>766</v>
      </c>
      <c r="B254" s="327" t="s">
        <v>704</v>
      </c>
      <c r="C254" s="288">
        <v>3022</v>
      </c>
      <c r="D254" s="288">
        <v>3022</v>
      </c>
      <c r="E254" s="50" t="s">
        <v>243</v>
      </c>
    </row>
    <row r="255" spans="1:5" hidden="1">
      <c r="A255" s="288" t="s">
        <v>767</v>
      </c>
      <c r="B255" s="327" t="s">
        <v>704</v>
      </c>
      <c r="C255" s="288">
        <v>2442</v>
      </c>
      <c r="D255" s="288">
        <v>2442</v>
      </c>
      <c r="E255" s="50" t="s">
        <v>201</v>
      </c>
    </row>
    <row r="256" spans="1:5" hidden="1">
      <c r="A256" s="288" t="s">
        <v>768</v>
      </c>
      <c r="B256" s="327" t="s">
        <v>704</v>
      </c>
      <c r="C256" s="288">
        <v>2331</v>
      </c>
      <c r="D256" s="288">
        <v>2331</v>
      </c>
      <c r="E256" s="50" t="s">
        <v>191</v>
      </c>
    </row>
    <row r="257" spans="1:5" hidden="1">
      <c r="A257" s="288"/>
      <c r="B257" s="327" t="s">
        <v>720</v>
      </c>
      <c r="C257" s="288">
        <v>1000</v>
      </c>
      <c r="D257" s="288">
        <v>1000</v>
      </c>
      <c r="E257" s="50" t="s">
        <v>3</v>
      </c>
    </row>
    <row r="258" spans="1:5" hidden="1">
      <c r="A258" s="288" t="s">
        <v>470</v>
      </c>
      <c r="B258" s="327" t="s">
        <v>704</v>
      </c>
      <c r="C258" s="288">
        <v>2446</v>
      </c>
      <c r="D258" s="288">
        <v>2446</v>
      </c>
      <c r="E258" s="50" t="s">
        <v>207</v>
      </c>
    </row>
    <row r="259" spans="1:5" hidden="1">
      <c r="A259" s="288" t="s">
        <v>769</v>
      </c>
      <c r="B259" s="327" t="s">
        <v>704</v>
      </c>
      <c r="C259" s="288">
        <v>3317</v>
      </c>
      <c r="D259" s="288">
        <v>3317</v>
      </c>
      <c r="E259" s="50" t="s">
        <v>309</v>
      </c>
    </row>
    <row r="260" spans="1:5" hidden="1">
      <c r="A260" s="290" t="s">
        <v>770</v>
      </c>
      <c r="B260" s="327" t="s">
        <v>704</v>
      </c>
      <c r="C260" s="290">
        <v>2066</v>
      </c>
      <c r="D260" s="290">
        <v>2066</v>
      </c>
      <c r="E260" s="50" t="s">
        <v>79</v>
      </c>
    </row>
    <row r="261" spans="1:5" hidden="1">
      <c r="A261" s="288" t="s">
        <v>771</v>
      </c>
      <c r="B261" s="327" t="s">
        <v>704</v>
      </c>
      <c r="C261" s="288">
        <v>2293</v>
      </c>
      <c r="D261" s="288">
        <v>2293</v>
      </c>
      <c r="E261" s="50" t="s">
        <v>173</v>
      </c>
    </row>
    <row r="262" spans="1:5" hidden="1">
      <c r="A262" s="288" t="s">
        <v>772</v>
      </c>
      <c r="B262" s="327" t="s">
        <v>704</v>
      </c>
      <c r="C262" s="288">
        <v>2074</v>
      </c>
      <c r="D262" s="288">
        <v>2074</v>
      </c>
      <c r="E262" s="50" t="s">
        <v>87</v>
      </c>
    </row>
    <row r="263" spans="1:5" hidden="1">
      <c r="A263" s="288" t="s">
        <v>773</v>
      </c>
      <c r="B263" s="327" t="s">
        <v>704</v>
      </c>
      <c r="C263" s="288">
        <v>2075</v>
      </c>
      <c r="D263" s="288">
        <v>2075</v>
      </c>
      <c r="E263" s="50" t="s">
        <v>89</v>
      </c>
    </row>
    <row r="264" spans="1:5" hidden="1">
      <c r="A264" s="288" t="s">
        <v>774</v>
      </c>
      <c r="B264" s="327" t="s">
        <v>704</v>
      </c>
      <c r="C264" s="288">
        <v>2121</v>
      </c>
      <c r="D264" s="288">
        <v>2121</v>
      </c>
      <c r="E264" s="50" t="s">
        <v>115</v>
      </c>
    </row>
    <row r="265" spans="1:5" hidden="1">
      <c r="A265" s="288" t="s">
        <v>775</v>
      </c>
      <c r="B265" s="327" t="s">
        <v>704</v>
      </c>
      <c r="C265" s="288">
        <v>2028</v>
      </c>
      <c r="D265" s="288">
        <v>2028</v>
      </c>
      <c r="E265" s="50" t="s">
        <v>47</v>
      </c>
    </row>
    <row r="266" spans="1:5" hidden="1">
      <c r="A266" s="288" t="s">
        <v>776</v>
      </c>
      <c r="B266" s="327" t="s">
        <v>704</v>
      </c>
      <c r="C266" s="288">
        <v>2029</v>
      </c>
      <c r="D266" s="288">
        <v>2029</v>
      </c>
      <c r="E266" s="50" t="s">
        <v>49</v>
      </c>
    </row>
    <row r="267" spans="1:5" hidden="1">
      <c r="A267" s="288" t="s">
        <v>777</v>
      </c>
      <c r="B267" s="327" t="s">
        <v>704</v>
      </c>
      <c r="C267" s="288">
        <v>2059</v>
      </c>
      <c r="D267" s="288">
        <v>2059</v>
      </c>
      <c r="E267" s="50" t="s">
        <v>71</v>
      </c>
    </row>
    <row r="268" spans="1:5" hidden="1">
      <c r="A268" s="288" t="s">
        <v>778</v>
      </c>
      <c r="B268" s="327" t="s">
        <v>704</v>
      </c>
      <c r="C268" s="288">
        <v>3386</v>
      </c>
      <c r="D268" s="288">
        <v>3386</v>
      </c>
      <c r="E268" s="50" t="s">
        <v>337</v>
      </c>
    </row>
    <row r="269" spans="1:5" hidden="1">
      <c r="A269" s="288" t="s">
        <v>779</v>
      </c>
      <c r="B269" s="327" t="s">
        <v>704</v>
      </c>
      <c r="C269" s="288">
        <v>2449</v>
      </c>
      <c r="D269" s="288">
        <v>2449</v>
      </c>
      <c r="E269" s="50" t="s">
        <v>213</v>
      </c>
    </row>
    <row r="270" spans="1:5" hidden="1">
      <c r="A270" s="288" t="s">
        <v>780</v>
      </c>
      <c r="B270" s="327" t="s">
        <v>704</v>
      </c>
      <c r="C270" s="288">
        <v>2107</v>
      </c>
      <c r="D270" s="288">
        <v>2107</v>
      </c>
      <c r="E270" s="50" t="s">
        <v>105</v>
      </c>
    </row>
    <row r="271" spans="1:5" hidden="1">
      <c r="A271" s="288" t="s">
        <v>781</v>
      </c>
      <c r="B271" s="327" t="s">
        <v>704</v>
      </c>
      <c r="C271" s="288">
        <v>2109</v>
      </c>
      <c r="D271" s="288">
        <v>2109</v>
      </c>
      <c r="E271" s="50" t="s">
        <v>107</v>
      </c>
    </row>
    <row r="272" spans="1:5" hidden="1">
      <c r="A272" s="288" t="s">
        <v>782</v>
      </c>
      <c r="B272" s="327" t="s">
        <v>704</v>
      </c>
      <c r="C272" s="288">
        <v>3390</v>
      </c>
      <c r="D272" s="288">
        <v>3390</v>
      </c>
      <c r="E272" s="50" t="s">
        <v>343</v>
      </c>
    </row>
    <row r="273" spans="1:5" hidden="1">
      <c r="A273" s="290" t="s">
        <v>783</v>
      </c>
      <c r="B273" s="327" t="s">
        <v>704</v>
      </c>
      <c r="C273" s="290">
        <v>2031</v>
      </c>
      <c r="D273" s="290">
        <v>2031</v>
      </c>
      <c r="E273" s="50" t="s">
        <v>51</v>
      </c>
    </row>
    <row r="274" spans="1:5" hidden="1">
      <c r="A274" s="288" t="s">
        <v>784</v>
      </c>
      <c r="B274" s="327" t="s">
        <v>704</v>
      </c>
      <c r="C274" s="288">
        <v>3350</v>
      </c>
      <c r="D274" s="288">
        <v>3350</v>
      </c>
      <c r="E274" s="50" t="s">
        <v>319</v>
      </c>
    </row>
    <row r="275" spans="1:5" hidden="1">
      <c r="A275" s="288" t="s">
        <v>785</v>
      </c>
      <c r="B275" s="327" t="s">
        <v>704</v>
      </c>
      <c r="C275" s="288">
        <v>2033</v>
      </c>
      <c r="D275" s="288">
        <v>2033</v>
      </c>
      <c r="E275" s="50" t="s">
        <v>55</v>
      </c>
    </row>
    <row r="276" spans="1:5" hidden="1">
      <c r="A276" s="288" t="s">
        <v>786</v>
      </c>
      <c r="B276" s="327" t="s">
        <v>704</v>
      </c>
      <c r="C276" s="288">
        <v>3331</v>
      </c>
      <c r="D276" s="288">
        <v>3331</v>
      </c>
      <c r="E276" s="50" t="s">
        <v>317</v>
      </c>
    </row>
    <row r="277" spans="1:5" hidden="1">
      <c r="A277" s="288" t="s">
        <v>787</v>
      </c>
      <c r="B277" s="327" t="s">
        <v>704</v>
      </c>
      <c r="C277" s="288">
        <v>2239</v>
      </c>
      <c r="D277" s="288">
        <v>2239</v>
      </c>
      <c r="E277" s="50" t="s">
        <v>157</v>
      </c>
    </row>
    <row r="278" spans="1:5" hidden="1">
      <c r="A278" s="288" t="s">
        <v>788</v>
      </c>
      <c r="B278" s="327" t="s">
        <v>704</v>
      </c>
      <c r="C278" s="288">
        <v>2219</v>
      </c>
      <c r="D278" s="288">
        <v>2219</v>
      </c>
      <c r="E278" s="50" t="s">
        <v>143</v>
      </c>
    </row>
    <row r="279" spans="1:5" hidden="1">
      <c r="A279" s="288" t="s">
        <v>789</v>
      </c>
      <c r="B279" s="327" t="s">
        <v>704</v>
      </c>
      <c r="C279" s="288">
        <v>2333</v>
      </c>
      <c r="D279" s="288">
        <v>2333</v>
      </c>
      <c r="E279" s="50" t="s">
        <v>193</v>
      </c>
    </row>
    <row r="280" spans="1:5" hidden="1">
      <c r="A280" s="288" t="s">
        <v>790</v>
      </c>
      <c r="B280" s="327" t="s">
        <v>704</v>
      </c>
      <c r="C280" s="288">
        <v>3946</v>
      </c>
      <c r="D280" s="288">
        <v>3946</v>
      </c>
      <c r="E280" s="50" t="s">
        <v>355</v>
      </c>
    </row>
    <row r="281" spans="1:5" hidden="1">
      <c r="A281" s="288" t="s">
        <v>791</v>
      </c>
      <c r="B281" s="327" t="s">
        <v>704</v>
      </c>
      <c r="C281" s="288">
        <v>2453</v>
      </c>
      <c r="D281" s="288">
        <v>2453</v>
      </c>
      <c r="E281" s="50" t="s">
        <v>219</v>
      </c>
    </row>
    <row r="282" spans="1:5" hidden="1">
      <c r="A282" s="288" t="s">
        <v>792</v>
      </c>
      <c r="B282" s="327" t="s">
        <v>704</v>
      </c>
      <c r="C282" s="288">
        <v>2070</v>
      </c>
      <c r="D282" s="288">
        <v>2070</v>
      </c>
      <c r="E282" s="50" t="s">
        <v>85</v>
      </c>
    </row>
    <row r="283" spans="1:5" hidden="1">
      <c r="A283" s="288" t="s">
        <v>793</v>
      </c>
      <c r="B283" s="327" t="s">
        <v>726</v>
      </c>
      <c r="C283" s="288">
        <v>7023</v>
      </c>
      <c r="D283" s="288">
        <v>7023</v>
      </c>
      <c r="E283" s="50" t="s">
        <v>377</v>
      </c>
    </row>
    <row r="284" spans="1:5" hidden="1">
      <c r="A284" s="288" t="s">
        <v>794</v>
      </c>
      <c r="B284" s="327" t="s">
        <v>704</v>
      </c>
      <c r="C284" s="288">
        <v>2255</v>
      </c>
      <c r="D284" s="288">
        <v>2255</v>
      </c>
      <c r="E284" s="50" t="s">
        <v>167</v>
      </c>
    </row>
    <row r="285" spans="1:5" hidden="1">
      <c r="A285" s="288" t="s">
        <v>795</v>
      </c>
      <c r="B285" s="327" t="s">
        <v>704</v>
      </c>
      <c r="C285" s="288">
        <v>2115</v>
      </c>
      <c r="D285" s="288">
        <v>2115</v>
      </c>
      <c r="E285" s="50" t="s">
        <v>109</v>
      </c>
    </row>
    <row r="286" spans="1:5" hidden="1">
      <c r="A286" s="288" t="s">
        <v>796</v>
      </c>
      <c r="B286" s="327" t="s">
        <v>704</v>
      </c>
      <c r="C286" s="288">
        <v>2329</v>
      </c>
      <c r="D286" s="288">
        <v>2329</v>
      </c>
      <c r="E286" s="50" t="s">
        <v>189</v>
      </c>
    </row>
    <row r="287" spans="1:5" hidden="1">
      <c r="A287" s="288" t="s">
        <v>797</v>
      </c>
      <c r="B287" s="327" t="s">
        <v>704</v>
      </c>
      <c r="C287" s="288">
        <v>3384</v>
      </c>
      <c r="D287" s="288">
        <v>3384</v>
      </c>
      <c r="E287" s="50" t="s">
        <v>335</v>
      </c>
    </row>
    <row r="288" spans="1:5" hidden="1">
      <c r="A288" s="288" t="s">
        <v>798</v>
      </c>
      <c r="B288" s="327" t="s">
        <v>799</v>
      </c>
      <c r="C288" s="288">
        <v>5200</v>
      </c>
      <c r="D288" s="288">
        <v>5200</v>
      </c>
      <c r="E288" s="50" t="s">
        <v>1604</v>
      </c>
    </row>
    <row r="289" spans="1:5" hidden="1">
      <c r="A289" s="288" t="s">
        <v>800</v>
      </c>
      <c r="B289" s="327" t="s">
        <v>704</v>
      </c>
      <c r="C289" s="288">
        <v>2317</v>
      </c>
      <c r="D289" s="288">
        <v>2317</v>
      </c>
      <c r="E289" s="50" t="s">
        <v>181</v>
      </c>
    </row>
    <row r="290" spans="1:5" hidden="1">
      <c r="A290" s="288" t="s">
        <v>801</v>
      </c>
      <c r="B290" s="327" t="s">
        <v>704</v>
      </c>
      <c r="C290" s="288">
        <v>3356</v>
      </c>
      <c r="D290" s="288">
        <v>3356</v>
      </c>
      <c r="E290" s="50" t="s">
        <v>323</v>
      </c>
    </row>
    <row r="291" spans="1:5" hidden="1">
      <c r="A291" s="288" t="s">
        <v>802</v>
      </c>
      <c r="B291" s="327" t="s">
        <v>704</v>
      </c>
      <c r="C291" s="288">
        <v>3358</v>
      </c>
      <c r="D291" s="288">
        <v>3358</v>
      </c>
      <c r="E291" s="50" t="s">
        <v>325</v>
      </c>
    </row>
    <row r="292" spans="1:5" hidden="1">
      <c r="A292" s="288" t="s">
        <v>803</v>
      </c>
      <c r="B292" s="327" t="s">
        <v>704</v>
      </c>
      <c r="C292" s="288">
        <v>3029</v>
      </c>
      <c r="D292" s="288">
        <v>3029</v>
      </c>
      <c r="E292" s="50" t="s">
        <v>247</v>
      </c>
    </row>
    <row r="293" spans="1:5" hidden="1">
      <c r="A293" s="288" t="s">
        <v>804</v>
      </c>
      <c r="B293" s="327" t="s">
        <v>704</v>
      </c>
      <c r="C293" s="288">
        <v>2084</v>
      </c>
      <c r="D293" s="288">
        <v>2084</v>
      </c>
      <c r="E293" s="50" t="s">
        <v>99</v>
      </c>
    </row>
    <row r="294" spans="1:5" hidden="1">
      <c r="A294" s="288" t="s">
        <v>805</v>
      </c>
      <c r="B294" s="327" t="s">
        <v>704</v>
      </c>
      <c r="C294" s="288">
        <v>2443</v>
      </c>
      <c r="D294" s="288">
        <v>2443</v>
      </c>
      <c r="E294" s="50" t="s">
        <v>203</v>
      </c>
    </row>
    <row r="295" spans="1:5" hidden="1">
      <c r="A295" s="288" t="s">
        <v>806</v>
      </c>
      <c r="B295" s="327" t="s">
        <v>704</v>
      </c>
      <c r="C295" s="288">
        <v>3052</v>
      </c>
      <c r="D295" s="288">
        <v>3052</v>
      </c>
      <c r="E295" s="50" t="s">
        <v>265</v>
      </c>
    </row>
    <row r="296" spans="1:5" hidden="1">
      <c r="A296" s="288" t="s">
        <v>807</v>
      </c>
      <c r="B296" s="327" t="s">
        <v>704</v>
      </c>
      <c r="C296" s="288">
        <v>2046</v>
      </c>
      <c r="D296" s="288">
        <v>2046</v>
      </c>
      <c r="E296" s="50" t="s">
        <v>61</v>
      </c>
    </row>
    <row r="297" spans="1:5" hidden="1">
      <c r="A297" s="288" t="s">
        <v>808</v>
      </c>
      <c r="B297" s="327" t="s">
        <v>704</v>
      </c>
      <c r="C297" s="288">
        <v>3325</v>
      </c>
      <c r="D297" s="288">
        <v>3325</v>
      </c>
      <c r="E297" s="50" t="s">
        <v>313</v>
      </c>
    </row>
    <row r="298" spans="1:5" hidden="1">
      <c r="A298" s="288" t="s">
        <v>809</v>
      </c>
      <c r="B298" s="327" t="s">
        <v>720</v>
      </c>
      <c r="C298" s="288">
        <v>1001</v>
      </c>
      <c r="D298" s="288">
        <v>1001</v>
      </c>
      <c r="E298" s="50" t="s">
        <v>5</v>
      </c>
    </row>
    <row r="299" spans="1:5" hidden="1">
      <c r="A299" s="288" t="s">
        <v>810</v>
      </c>
      <c r="B299" s="327" t="s">
        <v>704</v>
      </c>
      <c r="C299" s="288">
        <v>2123</v>
      </c>
      <c r="D299" s="288">
        <v>2123</v>
      </c>
      <c r="E299" s="50" t="s">
        <v>117</v>
      </c>
    </row>
    <row r="300" spans="1:5" hidden="1">
      <c r="A300" s="288" t="s">
        <v>811</v>
      </c>
      <c r="B300" s="327" t="s">
        <v>704</v>
      </c>
      <c r="C300" s="288">
        <v>2260</v>
      </c>
      <c r="D300" s="288">
        <v>2260</v>
      </c>
      <c r="E300" s="50" t="s">
        <v>171</v>
      </c>
    </row>
    <row r="301" spans="1:5" hidden="1">
      <c r="A301" s="288" t="s">
        <v>812</v>
      </c>
      <c r="B301" s="327" t="s">
        <v>704</v>
      </c>
      <c r="C301" s="288">
        <v>3058</v>
      </c>
      <c r="D301" s="288">
        <v>3058</v>
      </c>
      <c r="E301" s="50" t="s">
        <v>273</v>
      </c>
    </row>
    <row r="302" spans="1:5" hidden="1">
      <c r="A302" s="288" t="s">
        <v>813</v>
      </c>
      <c r="B302" s="327" t="s">
        <v>704</v>
      </c>
      <c r="C302" s="288">
        <v>2335</v>
      </c>
      <c r="D302" s="288">
        <v>2335</v>
      </c>
      <c r="E302" s="50" t="s">
        <v>195</v>
      </c>
    </row>
    <row r="303" spans="1:5" hidden="1">
      <c r="A303" s="288" t="s">
        <v>814</v>
      </c>
      <c r="B303" s="327" t="s">
        <v>704</v>
      </c>
      <c r="C303" s="288">
        <v>3389</v>
      </c>
      <c r="D303" s="288">
        <v>3389</v>
      </c>
      <c r="E303" s="50" t="s">
        <v>341</v>
      </c>
    </row>
    <row r="304" spans="1:5" hidden="1">
      <c r="A304" s="290" t="s">
        <v>815</v>
      </c>
      <c r="B304" s="327" t="s">
        <v>704</v>
      </c>
      <c r="C304" s="290">
        <v>2001</v>
      </c>
      <c r="D304" s="290">
        <v>2001</v>
      </c>
      <c r="E304" s="50" t="s">
        <v>19</v>
      </c>
    </row>
    <row r="305" spans="1:5" hidden="1">
      <c r="A305" s="288" t="s">
        <v>816</v>
      </c>
      <c r="B305" s="327" t="s">
        <v>704</v>
      </c>
      <c r="C305" s="288">
        <v>2064</v>
      </c>
      <c r="D305" s="288">
        <v>2064</v>
      </c>
      <c r="E305" s="50" t="s">
        <v>75</v>
      </c>
    </row>
    <row r="306" spans="1:5" hidden="1">
      <c r="A306" s="290" t="s">
        <v>817</v>
      </c>
      <c r="B306" s="327" t="s">
        <v>704</v>
      </c>
      <c r="C306" s="290">
        <v>2000</v>
      </c>
      <c r="D306" s="290">
        <v>2000</v>
      </c>
      <c r="E306" s="50">
        <v>0</v>
      </c>
    </row>
    <row r="307" spans="1:5" hidden="1">
      <c r="A307" s="288" t="s">
        <v>818</v>
      </c>
      <c r="B307" s="327" t="s">
        <v>704</v>
      </c>
      <c r="C307" s="288">
        <v>2048</v>
      </c>
      <c r="D307" s="288">
        <v>2048</v>
      </c>
      <c r="E307" s="50" t="s">
        <v>63</v>
      </c>
    </row>
    <row r="308" spans="1:5" hidden="1">
      <c r="A308" s="288" t="s">
        <v>819</v>
      </c>
      <c r="B308" s="327" t="s">
        <v>704</v>
      </c>
      <c r="C308" s="288">
        <v>2232</v>
      </c>
      <c r="D308" s="288">
        <v>2232</v>
      </c>
      <c r="E308" s="50" t="s">
        <v>155</v>
      </c>
    </row>
    <row r="309" spans="1:5" hidden="1">
      <c r="A309" s="290" t="s">
        <v>820</v>
      </c>
      <c r="B309" s="327" t="s">
        <v>704</v>
      </c>
      <c r="C309" s="290">
        <v>3392</v>
      </c>
      <c r="D309" s="290">
        <v>3392</v>
      </c>
      <c r="E309" s="50" t="s">
        <v>345</v>
      </c>
    </row>
    <row r="310" spans="1:5" hidden="1">
      <c r="A310" s="288" t="s">
        <v>821</v>
      </c>
      <c r="B310" s="327" t="s">
        <v>704</v>
      </c>
      <c r="C310" s="288">
        <v>3054</v>
      </c>
      <c r="D310" s="288">
        <v>3054</v>
      </c>
      <c r="E310" s="50" t="s">
        <v>269</v>
      </c>
    </row>
    <row r="311" spans="1:5" hidden="1">
      <c r="A311" s="288" t="s">
        <v>822</v>
      </c>
      <c r="B311" s="327" t="s">
        <v>704</v>
      </c>
      <c r="C311" s="288">
        <v>3032</v>
      </c>
      <c r="D311" s="288">
        <v>3032</v>
      </c>
      <c r="E311" s="50" t="s">
        <v>251</v>
      </c>
    </row>
    <row r="312" spans="1:5" hidden="1">
      <c r="A312" s="288" t="s">
        <v>823</v>
      </c>
      <c r="B312" s="327" t="s">
        <v>704</v>
      </c>
      <c r="C312" s="288">
        <v>2054</v>
      </c>
      <c r="D312" s="288">
        <v>2054</v>
      </c>
      <c r="E312" s="50" t="s">
        <v>65</v>
      </c>
    </row>
    <row r="313" spans="1:5" hidden="1">
      <c r="A313" s="288" t="s">
        <v>824</v>
      </c>
      <c r="B313" s="327" t="s">
        <v>704</v>
      </c>
      <c r="C313" s="288">
        <v>2240</v>
      </c>
      <c r="D313" s="288">
        <v>2240</v>
      </c>
      <c r="E313" s="50" t="s">
        <v>159</v>
      </c>
    </row>
    <row r="314" spans="1:5" hidden="1">
      <c r="A314" s="288" t="s">
        <v>825</v>
      </c>
      <c r="B314" s="327" t="s">
        <v>704</v>
      </c>
      <c r="C314" s="288">
        <v>2254</v>
      </c>
      <c r="D314" s="288">
        <v>2254</v>
      </c>
      <c r="E314" s="50" t="s">
        <v>165</v>
      </c>
    </row>
    <row r="315" spans="1:5" hidden="1">
      <c r="B315" s="327"/>
      <c r="C315" s="351"/>
      <c r="D315" s="352"/>
      <c r="E315" s="352"/>
    </row>
    <row r="316" spans="1:5" hidden="1">
      <c r="B316" s="327"/>
      <c r="C316" s="351"/>
      <c r="D316" s="352"/>
      <c r="E316" s="352"/>
    </row>
    <row r="317" spans="1:5" hidden="1">
      <c r="B317" s="327"/>
      <c r="C317" s="351"/>
      <c r="D317" s="352"/>
      <c r="E317" s="352"/>
    </row>
    <row r="318" spans="1:5" hidden="1">
      <c r="B318" s="327"/>
      <c r="C318" s="351"/>
      <c r="D318" s="352"/>
      <c r="E318" s="352"/>
    </row>
    <row r="319" spans="1:5" hidden="1">
      <c r="B319" s="327"/>
      <c r="C319" s="351"/>
      <c r="D319" s="352"/>
      <c r="E319" s="352"/>
    </row>
    <row r="320" spans="1:5" hidden="1">
      <c r="A320" s="350" t="s">
        <v>1363</v>
      </c>
      <c r="B320" s="327"/>
      <c r="C320" s="351"/>
      <c r="D320" s="352"/>
      <c r="E320" s="352"/>
    </row>
    <row r="321" spans="1:1" hidden="1">
      <c r="A321" s="350" t="s">
        <v>1364</v>
      </c>
    </row>
  </sheetData>
  <mergeCells count="12">
    <mergeCell ref="C122:M122"/>
    <mergeCell ref="A1:O1"/>
    <mergeCell ref="D3:H3"/>
    <mergeCell ref="K3:N3"/>
    <mergeCell ref="D4:H4"/>
    <mergeCell ref="D5:H5"/>
    <mergeCell ref="A12:O12"/>
    <mergeCell ref="C14:M14"/>
    <mergeCell ref="C38:M38"/>
    <mergeCell ref="A84:O84"/>
    <mergeCell ref="C86:M86"/>
    <mergeCell ref="A120:O120"/>
  </mergeCells>
  <conditionalFormatting sqref="C8:C10">
    <cfRule type="cellIs" dxfId="63" priority="1" stopIfTrue="1" operator="equal">
      <formula>0</formula>
    </cfRule>
  </conditionalFormatting>
  <conditionalFormatting sqref="K80 K103 K109">
    <cfRule type="cellIs" dxfId="62" priority="2" stopIfTrue="1" operator="lessThan">
      <formula>0</formula>
    </cfRule>
  </conditionalFormatting>
  <dataValidations count="1">
    <dataValidation type="list" allowBlank="1" showInputMessage="1" showErrorMessage="1" sqref="O3" xr:uid="{AFC4AD4B-ABCC-40DB-9BAF-3353E570A8FB}">
      <formula1>A320:A321</formula1>
    </dataValidation>
  </dataValidations>
  <printOptions horizontalCentered="1"/>
  <pageMargins left="0.35433070866141736" right="0.35433070866141736" top="0.39370078740157483" bottom="0.39370078740157483" header="0.51181102362204722" footer="0.23622047244094491"/>
  <pageSetup paperSize="9" scale="52" fitToHeight="6" orientation="landscape" r:id="rId1"/>
  <headerFooter alignWithMargins="0">
    <oddFooter>&amp;L&amp;8&amp;P of &amp;N&amp;R&amp;D</oddFooter>
  </headerFooter>
  <rowBreaks count="3" manualBreakCount="3">
    <brk id="36" max="14" man="1"/>
    <brk id="82" max="14" man="1"/>
    <brk id="119" max="14"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8DBB0-6E23-4096-A76A-24AA8F814426}">
  <sheetPr codeName="Sheet16">
    <pageSetUpPr fitToPage="1"/>
  </sheetPr>
  <dimension ref="A1:A28"/>
  <sheetViews>
    <sheetView workbookViewId="0">
      <selection activeCell="A17" sqref="A17"/>
    </sheetView>
  </sheetViews>
  <sheetFormatPr defaultColWidth="8.77734375" defaultRowHeight="14.4"/>
  <cols>
    <col min="1" max="1" width="152.44140625" style="401" customWidth="1"/>
    <col min="2" max="9" width="8.77734375" style="401"/>
    <col min="10" max="10" width="26.44140625" style="401" customWidth="1"/>
    <col min="11" max="16384" width="8.77734375" style="401"/>
  </cols>
  <sheetData>
    <row r="1" spans="1:1">
      <c r="A1" s="400" t="s">
        <v>1440</v>
      </c>
    </row>
    <row r="2" spans="1:1" ht="28.8">
      <c r="A2" s="402" t="s">
        <v>1441</v>
      </c>
    </row>
    <row r="3" spans="1:1">
      <c r="A3" s="401" t="s">
        <v>1442</v>
      </c>
    </row>
    <row r="4" spans="1:1">
      <c r="A4" s="401" t="s">
        <v>1443</v>
      </c>
    </row>
    <row r="5" spans="1:1" ht="28.8">
      <c r="A5" s="403" t="s">
        <v>1444</v>
      </c>
    </row>
    <row r="6" spans="1:1" ht="43.2">
      <c r="A6" s="404" t="s">
        <v>1445</v>
      </c>
    </row>
    <row r="7" spans="1:1">
      <c r="A7" s="401" t="s">
        <v>1446</v>
      </c>
    </row>
    <row r="9" spans="1:1">
      <c r="A9" s="405" t="s">
        <v>1447</v>
      </c>
    </row>
    <row r="10" spans="1:1">
      <c r="A10" s="405" t="s">
        <v>1448</v>
      </c>
    </row>
    <row r="11" spans="1:1">
      <c r="A11" s="405" t="s">
        <v>1449</v>
      </c>
    </row>
    <row r="12" spans="1:1">
      <c r="A12" s="405" t="s">
        <v>1450</v>
      </c>
    </row>
    <row r="13" spans="1:1">
      <c r="A13" s="405" t="s">
        <v>1451</v>
      </c>
    </row>
    <row r="14" spans="1:1">
      <c r="A14" s="405" t="s">
        <v>1452</v>
      </c>
    </row>
    <row r="15" spans="1:1">
      <c r="A15" s="405" t="s">
        <v>1453</v>
      </c>
    </row>
    <row r="16" spans="1:1">
      <c r="A16" s="405" t="s">
        <v>1454</v>
      </c>
    </row>
    <row r="17" spans="1:1" ht="57.6">
      <c r="A17" s="408" t="s">
        <v>1465</v>
      </c>
    </row>
    <row r="18" spans="1:1">
      <c r="A18" s="405" t="s">
        <v>1455</v>
      </c>
    </row>
    <row r="19" spans="1:1">
      <c r="A19" s="405" t="s">
        <v>1456</v>
      </c>
    </row>
    <row r="21" spans="1:1">
      <c r="A21" s="401" t="s">
        <v>1457</v>
      </c>
    </row>
    <row r="22" spans="1:1">
      <c r="A22" s="401" t="s">
        <v>1458</v>
      </c>
    </row>
    <row r="23" spans="1:1">
      <c r="A23" s="406" t="s">
        <v>1459</v>
      </c>
    </row>
    <row r="24" spans="1:1">
      <c r="A24" s="406" t="s">
        <v>1460</v>
      </c>
    </row>
    <row r="25" spans="1:1" ht="28.8">
      <c r="A25" s="407" t="s">
        <v>1461</v>
      </c>
    </row>
    <row r="26" spans="1:1">
      <c r="A26" s="406" t="s">
        <v>1462</v>
      </c>
    </row>
    <row r="28" spans="1:1">
      <c r="A28" s="405" t="s">
        <v>1463</v>
      </c>
    </row>
  </sheetData>
  <pageMargins left="0.7" right="0.7" top="0.75" bottom="0.75" header="0.3" footer="0.3"/>
  <pageSetup paperSize="9" scale="9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9"/>
  </sheetPr>
  <dimension ref="A1:I136"/>
  <sheetViews>
    <sheetView showGridLines="0" topLeftCell="A5" zoomScale="115" zoomScaleNormal="115" workbookViewId="0">
      <selection activeCell="G53" sqref="G53"/>
    </sheetView>
  </sheetViews>
  <sheetFormatPr defaultColWidth="9.21875" defaultRowHeight="13.2"/>
  <cols>
    <col min="1" max="1" width="13.77734375" style="14" customWidth="1"/>
    <col min="2" max="2" width="36.5546875" style="14" customWidth="1"/>
    <col min="3" max="3" width="13.77734375" style="14" customWidth="1"/>
    <col min="4" max="4" width="14.77734375" style="14" customWidth="1"/>
    <col min="5" max="5" width="25.77734375" style="14" customWidth="1"/>
    <col min="6" max="8" width="12.77734375" style="14" customWidth="1"/>
    <col min="9" max="9" width="3.5546875" style="14" customWidth="1"/>
    <col min="10" max="16384" width="9.21875" style="14"/>
  </cols>
  <sheetData>
    <row r="1" spans="1:9" ht="8.25" hidden="1" customHeight="1">
      <c r="A1" s="576"/>
      <c r="B1" s="576"/>
      <c r="C1" s="576"/>
      <c r="D1" s="576"/>
      <c r="E1" s="576"/>
      <c r="F1" s="576"/>
      <c r="G1" s="576"/>
      <c r="H1" s="576"/>
    </row>
    <row r="2" spans="1:9" ht="20.25" hidden="1" customHeight="1">
      <c r="A2" s="577" t="s">
        <v>404</v>
      </c>
      <c r="B2" s="577"/>
      <c r="C2" s="577"/>
      <c r="D2" s="577"/>
      <c r="E2" s="577"/>
      <c r="F2" s="577"/>
      <c r="G2" s="577"/>
      <c r="H2" s="577"/>
    </row>
    <row r="3" spans="1:9" ht="8.25" hidden="1" customHeight="1"/>
    <row r="4" spans="1:9" ht="56.25" hidden="1" customHeight="1">
      <c r="A4" s="582" t="s">
        <v>405</v>
      </c>
      <c r="B4" s="582"/>
      <c r="C4" s="582"/>
      <c r="D4" s="582"/>
      <c r="E4" s="582"/>
      <c r="F4" s="582"/>
      <c r="G4" s="582"/>
      <c r="H4" s="582"/>
      <c r="I4" s="15"/>
    </row>
    <row r="5" spans="1:9" ht="21">
      <c r="A5" s="95"/>
      <c r="B5" s="95"/>
      <c r="C5" s="95"/>
      <c r="D5" s="95"/>
      <c r="E5" s="95"/>
      <c r="F5" s="95"/>
      <c r="G5" s="95"/>
      <c r="H5" s="95"/>
      <c r="I5" s="15"/>
    </row>
    <row r="6" spans="1:9" s="358" customFormat="1" ht="17.399999999999999">
      <c r="A6" s="357" t="s">
        <v>406</v>
      </c>
      <c r="B6" s="410" t="str">
        <f>'b) Template'!B3</f>
        <v>Please Click on Arrow to Choose School</v>
      </c>
      <c r="G6" s="359" t="s">
        <v>407</v>
      </c>
      <c r="H6" s="360">
        <f>'b) Template'!I3</f>
        <v>0</v>
      </c>
    </row>
    <row r="8" spans="1:9" ht="28.5" customHeight="1">
      <c r="A8" s="243" t="s">
        <v>408</v>
      </c>
      <c r="B8" s="244"/>
      <c r="C8" s="244"/>
      <c r="D8" s="363" t="s">
        <v>409</v>
      </c>
      <c r="E8" s="411">
        <f>'b) Template'!O2</f>
        <v>45473</v>
      </c>
      <c r="F8" s="182"/>
      <c r="G8" s="182"/>
      <c r="H8" s="182"/>
      <c r="I8" s="15"/>
    </row>
    <row r="9" spans="1:9" hidden="1"/>
    <row r="10" spans="1:9" s="17" customFormat="1" hidden="1">
      <c r="A10" s="8"/>
      <c r="B10" s="8"/>
      <c r="C10" s="8"/>
      <c r="D10" s="8"/>
    </row>
    <row r="11" spans="1:9" s="17" customFormat="1" ht="13.8" hidden="1">
      <c r="A11" s="107" t="s">
        <v>410</v>
      </c>
      <c r="B11" s="2"/>
      <c r="C11" s="2"/>
      <c r="D11" s="8"/>
      <c r="E11" s="583" t="s">
        <v>411</v>
      </c>
    </row>
    <row r="12" spans="1:9" s="17" customFormat="1" ht="13.8" hidden="1">
      <c r="A12" s="78" t="s">
        <v>412</v>
      </c>
      <c r="B12" s="2"/>
      <c r="C12" s="2"/>
      <c r="D12" s="8"/>
      <c r="E12" s="584"/>
    </row>
    <row r="13" spans="1:9" s="17" customFormat="1" ht="13.8" hidden="1">
      <c r="A13" s="2"/>
      <c r="B13" s="2"/>
      <c r="C13" s="2"/>
      <c r="D13" s="8"/>
    </row>
    <row r="14" spans="1:9" s="17" customFormat="1" ht="15.6" hidden="1">
      <c r="A14" s="107" t="s">
        <v>413</v>
      </c>
      <c r="B14" s="2"/>
      <c r="C14" s="2"/>
      <c r="D14" s="8"/>
      <c r="E14" s="583" t="s">
        <v>411</v>
      </c>
      <c r="F14" s="580" t="str">
        <f>IF(E14="1 YEAR","3 year return required by 30th June 2013","")</f>
        <v/>
      </c>
      <c r="G14" s="581"/>
      <c r="H14" s="581"/>
    </row>
    <row r="15" spans="1:9" s="17" customFormat="1" ht="13.8" hidden="1">
      <c r="A15" s="78" t="s">
        <v>412</v>
      </c>
      <c r="B15" s="2"/>
      <c r="C15" s="2"/>
      <c r="D15" s="8"/>
      <c r="E15" s="584"/>
    </row>
    <row r="16" spans="1:9" s="17" customFormat="1" hidden="1">
      <c r="A16" s="8"/>
      <c r="B16" s="8"/>
      <c r="C16" s="8"/>
      <c r="D16" s="8"/>
    </row>
    <row r="17" spans="1:8" s="17" customFormat="1" hidden="1">
      <c r="A17" s="8"/>
      <c r="B17" s="8"/>
      <c r="C17" s="8"/>
      <c r="D17" s="8"/>
    </row>
    <row r="18" spans="1:8" s="17" customFormat="1" ht="13.8" hidden="1">
      <c r="A18" s="106" t="s">
        <v>414</v>
      </c>
      <c r="B18" s="8"/>
      <c r="C18" s="8"/>
      <c r="D18" s="8"/>
    </row>
    <row r="19" spans="1:8" s="17" customFormat="1" hidden="1">
      <c r="A19" s="8"/>
      <c r="B19" s="8"/>
      <c r="C19" s="8"/>
      <c r="D19" s="8"/>
    </row>
    <row r="20" spans="1:8" s="17" customFormat="1" ht="13.8" hidden="1">
      <c r="A20" s="107" t="s">
        <v>415</v>
      </c>
      <c r="B20" s="8"/>
      <c r="C20" s="8"/>
      <c r="D20" s="8"/>
      <c r="E20" s="583" t="s">
        <v>411</v>
      </c>
    </row>
    <row r="21" spans="1:8" s="17" customFormat="1" ht="12.75" hidden="1" customHeight="1">
      <c r="A21" s="10"/>
      <c r="B21" s="8"/>
      <c r="C21" s="8"/>
      <c r="D21" s="8"/>
      <c r="E21" s="584"/>
    </row>
    <row r="22" spans="1:8" s="17" customFormat="1" hidden="1">
      <c r="A22" s="8"/>
      <c r="B22" s="8"/>
      <c r="C22" s="8"/>
      <c r="D22" s="8"/>
    </row>
    <row r="23" spans="1:8" s="17" customFormat="1" hidden="1">
      <c r="A23" s="374" t="s">
        <v>416</v>
      </c>
      <c r="B23" s="8"/>
      <c r="C23" s="8"/>
      <c r="D23" s="8"/>
    </row>
    <row r="24" spans="1:8" s="17" customFormat="1" hidden="1">
      <c r="A24" s="374" t="s">
        <v>417</v>
      </c>
      <c r="B24" s="8"/>
      <c r="C24" s="8"/>
      <c r="D24" s="8"/>
    </row>
    <row r="25" spans="1:8" s="17" customFormat="1" hidden="1">
      <c r="A25" s="374" t="s">
        <v>418</v>
      </c>
      <c r="B25" s="8"/>
      <c r="C25" s="8"/>
      <c r="D25" s="8"/>
    </row>
    <row r="26" spans="1:8" s="17" customFormat="1" hidden="1">
      <c r="A26" s="9" t="s">
        <v>419</v>
      </c>
      <c r="B26" s="8"/>
      <c r="C26" s="8"/>
      <c r="D26" s="96"/>
      <c r="E26" s="18"/>
      <c r="F26" s="18"/>
      <c r="G26" s="18"/>
      <c r="H26" s="18"/>
    </row>
    <row r="27" spans="1:8" s="17" customFormat="1" hidden="1">
      <c r="A27" s="9"/>
      <c r="B27" s="8"/>
      <c r="C27" s="8"/>
      <c r="D27" s="8"/>
      <c r="E27" s="18"/>
      <c r="F27" s="18"/>
      <c r="G27" s="18"/>
      <c r="H27" s="18"/>
    </row>
    <row r="28" spans="1:8" s="17" customFormat="1" hidden="1">
      <c r="A28" s="9" t="s">
        <v>420</v>
      </c>
      <c r="B28" s="8"/>
      <c r="C28" s="585"/>
      <c r="D28" s="585"/>
      <c r="E28" s="585"/>
      <c r="F28" s="585"/>
      <c r="G28" s="18"/>
      <c r="H28" s="18"/>
    </row>
    <row r="29" spans="1:8" s="17" customFormat="1" hidden="1">
      <c r="A29" s="9"/>
      <c r="B29" s="8"/>
      <c r="C29" s="8"/>
      <c r="D29" s="8"/>
      <c r="E29" s="18"/>
      <c r="F29" s="18"/>
      <c r="G29" s="18"/>
      <c r="H29" s="18"/>
    </row>
    <row r="30" spans="1:8" hidden="1">
      <c r="A30" s="9" t="s">
        <v>421</v>
      </c>
      <c r="B30" s="8"/>
      <c r="C30" s="585"/>
      <c r="D30" s="585"/>
      <c r="E30" s="585"/>
      <c r="F30" s="585"/>
      <c r="G30" s="16"/>
      <c r="H30" s="16"/>
    </row>
    <row r="31" spans="1:8" hidden="1">
      <c r="A31" s="9"/>
      <c r="B31" s="8"/>
      <c r="C31" s="8"/>
      <c r="D31" s="8"/>
    </row>
    <row r="32" spans="1:8" hidden="1">
      <c r="A32" s="9" t="s">
        <v>422</v>
      </c>
      <c r="B32" s="8"/>
      <c r="C32" s="585"/>
      <c r="D32" s="585"/>
      <c r="E32" s="585"/>
      <c r="F32" s="585"/>
    </row>
    <row r="33" spans="1:6" hidden="1"/>
    <row r="34" spans="1:6" hidden="1"/>
    <row r="35" spans="1:6" ht="13.8" hidden="1">
      <c r="A35" s="106" t="s">
        <v>423</v>
      </c>
      <c r="B35" s="8"/>
      <c r="C35" s="8"/>
      <c r="D35" s="8"/>
      <c r="E35" s="17"/>
    </row>
    <row r="36" spans="1:6" hidden="1">
      <c r="A36" s="8"/>
      <c r="B36" s="8"/>
      <c r="C36" s="8"/>
      <c r="D36" s="8"/>
      <c r="E36" s="17"/>
    </row>
    <row r="37" spans="1:6" ht="13.8" hidden="1">
      <c r="A37" s="107" t="s">
        <v>424</v>
      </c>
      <c r="B37" s="8"/>
      <c r="C37" s="8"/>
      <c r="D37" s="8"/>
      <c r="E37" s="583" t="s">
        <v>411</v>
      </c>
    </row>
    <row r="38" spans="1:6" ht="15" hidden="1">
      <c r="A38" s="10"/>
      <c r="B38" s="8"/>
      <c r="C38" s="8"/>
      <c r="D38" s="8"/>
      <c r="E38" s="584"/>
    </row>
    <row r="39" spans="1:6" hidden="1">
      <c r="A39" s="8"/>
      <c r="B39" s="8"/>
      <c r="C39" s="8"/>
      <c r="D39" s="8"/>
      <c r="E39" s="17"/>
    </row>
    <row r="40" spans="1:6" hidden="1">
      <c r="A40" s="374" t="s">
        <v>425</v>
      </c>
      <c r="B40" s="8"/>
      <c r="C40" s="8"/>
      <c r="D40" s="8"/>
      <c r="E40" s="17"/>
    </row>
    <row r="41" spans="1:6" hidden="1">
      <c r="A41" s="9" t="s">
        <v>419</v>
      </c>
      <c r="B41" s="8"/>
      <c r="C41" s="8"/>
      <c r="D41" s="96"/>
      <c r="E41" s="18"/>
    </row>
    <row r="42" spans="1:6" hidden="1">
      <c r="A42" s="9"/>
      <c r="B42" s="8"/>
      <c r="C42" s="8"/>
      <c r="D42" s="8"/>
      <c r="E42" s="18"/>
    </row>
    <row r="43" spans="1:6" hidden="1">
      <c r="A43" s="9" t="s">
        <v>426</v>
      </c>
      <c r="B43" s="8"/>
      <c r="C43" s="585"/>
      <c r="D43" s="585"/>
      <c r="E43" s="585"/>
      <c r="F43" s="585"/>
    </row>
    <row r="44" spans="1:6" hidden="1">
      <c r="A44" s="9"/>
      <c r="B44" s="8"/>
      <c r="C44" s="8"/>
      <c r="D44" s="8"/>
      <c r="E44" s="18"/>
    </row>
    <row r="45" spans="1:6" hidden="1">
      <c r="A45" s="9" t="s">
        <v>427</v>
      </c>
      <c r="B45" s="8"/>
      <c r="C45" s="585"/>
      <c r="D45" s="585"/>
      <c r="E45" s="585"/>
      <c r="F45" s="585"/>
    </row>
    <row r="46" spans="1:6" hidden="1">
      <c r="A46" s="9"/>
      <c r="B46" s="8"/>
      <c r="C46" s="8"/>
      <c r="D46" s="8"/>
    </row>
    <row r="47" spans="1:6" hidden="1">
      <c r="A47" s="9" t="s">
        <v>422</v>
      </c>
      <c r="B47" s="8"/>
      <c r="C47" s="585"/>
      <c r="D47" s="585"/>
      <c r="E47" s="585"/>
      <c r="F47" s="585"/>
    </row>
    <row r="48" spans="1:6" hidden="1">
      <c r="A48" s="9"/>
      <c r="B48" s="8"/>
      <c r="C48" s="108"/>
      <c r="D48" s="108"/>
    </row>
    <row r="49" spans="1:8">
      <c r="A49" s="9"/>
      <c r="B49" s="8"/>
      <c r="C49" s="108"/>
      <c r="D49" s="108"/>
    </row>
    <row r="50" spans="1:8" s="356" customFormat="1" ht="13.8">
      <c r="A50" s="361" t="s">
        <v>1508</v>
      </c>
      <c r="B50" s="2"/>
      <c r="C50" s="412" t="str">
        <f>B6</f>
        <v>Please Click on Arrow to Choose School</v>
      </c>
      <c r="D50" s="362"/>
    </row>
    <row r="51" spans="1:8" s="65" customFormat="1">
      <c r="A51" s="9"/>
      <c r="B51" s="8"/>
      <c r="C51" s="108"/>
      <c r="D51" s="108"/>
    </row>
    <row r="52" spans="1:8">
      <c r="A52" s="300" t="s">
        <v>428</v>
      </c>
      <c r="B52" s="301"/>
      <c r="C52" s="301"/>
      <c r="D52" s="301"/>
      <c r="E52" s="302"/>
      <c r="F52" s="303" t="s">
        <v>1436</v>
      </c>
      <c r="G52" s="303" t="s">
        <v>429</v>
      </c>
      <c r="H52" s="303" t="s">
        <v>1437</v>
      </c>
    </row>
    <row r="53" spans="1:8">
      <c r="A53" s="19" t="s">
        <v>430</v>
      </c>
      <c r="B53" s="20"/>
      <c r="C53" s="20"/>
      <c r="D53" s="20"/>
      <c r="E53" s="21"/>
      <c r="F53" s="375" t="e">
        <f>'b) Template'!E35</f>
        <v>#N/A</v>
      </c>
      <c r="G53" s="375">
        <f>'b) Template'!$K$35</f>
        <v>0</v>
      </c>
      <c r="H53" s="375" t="e">
        <f>G53-F53</f>
        <v>#N/A</v>
      </c>
    </row>
    <row r="54" spans="1:8">
      <c r="A54" s="19" t="s">
        <v>431</v>
      </c>
      <c r="B54" s="20"/>
      <c r="C54" s="20"/>
      <c r="D54" s="20"/>
      <c r="E54" s="21"/>
      <c r="F54" s="375" t="e">
        <f>'b) Template'!E71</f>
        <v>#N/A</v>
      </c>
      <c r="G54" s="375">
        <f>'b) Template'!$K$71</f>
        <v>0</v>
      </c>
      <c r="H54" s="375" t="e">
        <f>G54-F54</f>
        <v>#N/A</v>
      </c>
    </row>
    <row r="55" spans="1:8">
      <c r="A55" s="19" t="s">
        <v>432</v>
      </c>
      <c r="B55" s="20"/>
      <c r="C55" s="20"/>
      <c r="D55" s="20"/>
      <c r="E55" s="20"/>
      <c r="F55" s="375" t="e">
        <f>'b) Template'!E78</f>
        <v>#N/A</v>
      </c>
      <c r="G55" s="375">
        <f>'b) Template'!$K$78</f>
        <v>0</v>
      </c>
      <c r="H55" s="375" t="e">
        <f>G55-F55</f>
        <v>#N/A</v>
      </c>
    </row>
    <row r="56" spans="1:8">
      <c r="A56" s="19" t="s">
        <v>1509</v>
      </c>
      <c r="B56" s="20"/>
      <c r="C56" s="20"/>
      <c r="D56" s="20"/>
      <c r="E56" s="21"/>
      <c r="F56" s="375" t="e">
        <f>'b) Template'!E79</f>
        <v>#N/A</v>
      </c>
      <c r="G56" s="375" t="e">
        <f>'b) Template'!$K$79</f>
        <v>#N/A</v>
      </c>
      <c r="H56" s="398"/>
    </row>
    <row r="57" spans="1:8">
      <c r="A57" s="22" t="s">
        <v>1510</v>
      </c>
      <c r="B57" s="20"/>
      <c r="C57" s="20"/>
      <c r="D57" s="20"/>
      <c r="E57" s="21"/>
      <c r="F57" s="181" t="e">
        <f>'b) Template'!E80</f>
        <v>#N/A</v>
      </c>
      <c r="G57" s="181" t="e">
        <f>'b) Template'!$K$80</f>
        <v>#N/A</v>
      </c>
      <c r="H57" s="181" t="e">
        <f>G57-F57</f>
        <v>#N/A</v>
      </c>
    </row>
    <row r="58" spans="1:8">
      <c r="A58" s="16"/>
      <c r="F58" s="376"/>
      <c r="G58" s="23"/>
      <c r="H58" s="23"/>
    </row>
    <row r="59" spans="1:8">
      <c r="A59" s="300" t="s">
        <v>433</v>
      </c>
      <c r="B59" s="301"/>
      <c r="C59" s="301"/>
      <c r="D59" s="301"/>
      <c r="E59" s="302"/>
      <c r="F59" s="303" t="s">
        <v>1436</v>
      </c>
      <c r="G59" s="303" t="s">
        <v>429</v>
      </c>
      <c r="H59" s="303" t="s">
        <v>1437</v>
      </c>
    </row>
    <row r="60" spans="1:8">
      <c r="A60" s="25" t="s">
        <v>430</v>
      </c>
      <c r="B60" s="24"/>
      <c r="C60" s="24"/>
      <c r="D60" s="24"/>
      <c r="E60" s="26"/>
      <c r="F60" s="375" t="e">
        <f>'b) Template'!E99</f>
        <v>#N/A</v>
      </c>
      <c r="G60" s="375">
        <f>'b) Template'!$K$99</f>
        <v>0</v>
      </c>
      <c r="H60" s="375" t="e">
        <f>G60-F60</f>
        <v>#N/A</v>
      </c>
    </row>
    <row r="61" spans="1:8">
      <c r="A61" s="19" t="s">
        <v>431</v>
      </c>
      <c r="B61" s="20"/>
      <c r="C61" s="20"/>
      <c r="D61" s="20"/>
      <c r="E61" s="21"/>
      <c r="F61" s="375" t="e">
        <f>'b) Template'!E100</f>
        <v>#N/A</v>
      </c>
      <c r="G61" s="375">
        <f>'b) Template'!$K$100</f>
        <v>0</v>
      </c>
      <c r="H61" s="375" t="e">
        <f>G61-F61</f>
        <v>#N/A</v>
      </c>
    </row>
    <row r="62" spans="1:8">
      <c r="A62" s="19" t="s">
        <v>434</v>
      </c>
      <c r="B62" s="20"/>
      <c r="C62" s="20"/>
      <c r="D62" s="20"/>
      <c r="E62" s="21"/>
      <c r="F62" s="375" t="e">
        <f>'b) Template'!E101</f>
        <v>#N/A</v>
      </c>
      <c r="G62" s="375">
        <f>'b) Template'!$K$101</f>
        <v>0</v>
      </c>
      <c r="H62" s="375" t="e">
        <f>G62-F62</f>
        <v>#N/A</v>
      </c>
    </row>
    <row r="63" spans="1:8">
      <c r="A63" s="19" t="s">
        <v>1509</v>
      </c>
      <c r="B63" s="20"/>
      <c r="C63" s="20"/>
      <c r="D63" s="20"/>
      <c r="E63" s="21"/>
      <c r="F63" s="375" t="e">
        <f>'b) Template'!E102</f>
        <v>#N/A</v>
      </c>
      <c r="G63" s="375" t="e">
        <f>'b) Template'!$K$102</f>
        <v>#N/A</v>
      </c>
      <c r="H63" s="398"/>
    </row>
    <row r="64" spans="1:8">
      <c r="A64" s="22" t="s">
        <v>1511</v>
      </c>
      <c r="B64" s="20"/>
      <c r="C64" s="20"/>
      <c r="D64" s="20"/>
      <c r="E64" s="21"/>
      <c r="F64" s="181" t="e">
        <f>'b) Template'!E103</f>
        <v>#N/A</v>
      </c>
      <c r="G64" s="181" t="e">
        <f>'b) Template'!$K$103</f>
        <v>#N/A</v>
      </c>
      <c r="H64" s="181" t="e">
        <f>G64-F64</f>
        <v>#N/A</v>
      </c>
    </row>
    <row r="65" spans="1:8">
      <c r="A65" s="16"/>
      <c r="F65" s="377"/>
      <c r="G65" s="377"/>
      <c r="H65" s="377"/>
    </row>
    <row r="66" spans="1:8">
      <c r="A66" s="586" t="s">
        <v>1512</v>
      </c>
      <c r="B66" s="587"/>
      <c r="C66" s="587"/>
      <c r="D66" s="587"/>
      <c r="E66" s="588"/>
      <c r="F66" s="578" t="e">
        <f>'b) Template'!E109</f>
        <v>#N/A</v>
      </c>
      <c r="G66" s="578" t="e">
        <f>'b) Template'!$K$109</f>
        <v>#N/A</v>
      </c>
      <c r="H66" s="578" t="e">
        <f>G66-F66</f>
        <v>#N/A</v>
      </c>
    </row>
    <row r="67" spans="1:8">
      <c r="A67" s="589"/>
      <c r="B67" s="590"/>
      <c r="C67" s="590"/>
      <c r="D67" s="590"/>
      <c r="E67" s="591"/>
      <c r="F67" s="579"/>
      <c r="G67" s="579"/>
      <c r="H67" s="579"/>
    </row>
    <row r="68" spans="1:8">
      <c r="F68" s="23"/>
      <c r="G68" s="23"/>
      <c r="H68" s="23"/>
    </row>
    <row r="69" spans="1:8">
      <c r="F69" s="23"/>
      <c r="G69" s="23"/>
      <c r="H69" s="23"/>
    </row>
    <row r="70" spans="1:8">
      <c r="A70" s="300" t="s">
        <v>435</v>
      </c>
      <c r="B70" s="301"/>
      <c r="C70" s="301"/>
      <c r="D70" s="301"/>
      <c r="E70" s="302"/>
      <c r="F70" s="303" t="s">
        <v>1436</v>
      </c>
      <c r="G70" s="303" t="s">
        <v>429</v>
      </c>
      <c r="H70" s="303" t="s">
        <v>1437</v>
      </c>
    </row>
    <row r="71" spans="1:8">
      <c r="A71" s="25" t="s">
        <v>436</v>
      </c>
      <c r="B71" s="24"/>
      <c r="C71" s="24"/>
      <c r="D71" s="24"/>
      <c r="E71" s="26"/>
      <c r="F71" s="375" t="e">
        <f>'b) Template'!E127</f>
        <v>#N/A</v>
      </c>
      <c r="G71" s="375">
        <f>'b) Template'!$K$127</f>
        <v>0</v>
      </c>
      <c r="H71" s="375" t="e">
        <f>G71-F71</f>
        <v>#N/A</v>
      </c>
    </row>
    <row r="72" spans="1:8">
      <c r="A72" s="19" t="s">
        <v>437</v>
      </c>
      <c r="B72" s="20"/>
      <c r="C72" s="20"/>
      <c r="D72" s="20"/>
      <c r="E72" s="21"/>
      <c r="F72" s="375" t="e">
        <f>'b) Template'!E134</f>
        <v>#N/A</v>
      </c>
      <c r="G72" s="375">
        <f>'b) Template'!$K$134</f>
        <v>0</v>
      </c>
      <c r="H72" s="375" t="e">
        <f>G72-F72</f>
        <v>#N/A</v>
      </c>
    </row>
    <row r="73" spans="1:8">
      <c r="A73" s="19" t="s">
        <v>438</v>
      </c>
      <c r="B73" s="20"/>
      <c r="C73" s="20"/>
      <c r="D73" s="20"/>
      <c r="E73" s="21"/>
      <c r="F73" s="375" t="e">
        <f>'b) Template'!E136</f>
        <v>#N/A</v>
      </c>
      <c r="G73" s="375">
        <f>'b) Template'!$K$136</f>
        <v>0</v>
      </c>
      <c r="H73" s="375" t="e">
        <f>G73-F73</f>
        <v>#N/A</v>
      </c>
    </row>
    <row r="74" spans="1:8">
      <c r="A74" s="19" t="s">
        <v>1509</v>
      </c>
      <c r="B74" s="20"/>
      <c r="C74" s="20"/>
      <c r="D74" s="20"/>
      <c r="E74" s="21"/>
      <c r="F74" s="375" t="e">
        <f>'b) Template'!E137</f>
        <v>#N/A</v>
      </c>
      <c r="G74" s="375" t="e">
        <f>'b) Template'!$K$137</f>
        <v>#N/A</v>
      </c>
      <c r="H74" s="398"/>
    </row>
    <row r="75" spans="1:8">
      <c r="A75" s="22" t="s">
        <v>1513</v>
      </c>
      <c r="B75" s="20"/>
      <c r="C75" s="20"/>
      <c r="D75" s="20"/>
      <c r="E75" s="21"/>
      <c r="F75" s="181" t="e">
        <f>'b) Template'!E138</f>
        <v>#N/A</v>
      </c>
      <c r="G75" s="181" t="e">
        <f>'b) Template'!$K$138</f>
        <v>#N/A</v>
      </c>
      <c r="H75" s="181" t="e">
        <f>G75-F75</f>
        <v>#N/A</v>
      </c>
    </row>
    <row r="78" spans="1:8" hidden="1"/>
    <row r="79" spans="1:8" hidden="1">
      <c r="A79" s="14" t="s">
        <v>411</v>
      </c>
    </row>
    <row r="80" spans="1:8" hidden="1">
      <c r="A80" s="14" t="s">
        <v>439</v>
      </c>
    </row>
    <row r="81" spans="1:1" hidden="1">
      <c r="A81" s="14" t="s">
        <v>440</v>
      </c>
    </row>
    <row r="82" spans="1:1" hidden="1">
      <c r="A82" s="14" t="s">
        <v>441</v>
      </c>
    </row>
    <row r="83" spans="1:1" hidden="1">
      <c r="A83" s="14" t="s">
        <v>442</v>
      </c>
    </row>
    <row r="84" spans="1:1" hidden="1">
      <c r="A84" s="14" t="s">
        <v>443</v>
      </c>
    </row>
    <row r="85" spans="1:1" hidden="1"/>
    <row r="86" spans="1:1" hidden="1">
      <c r="A86" s="14" t="s">
        <v>411</v>
      </c>
    </row>
    <row r="87" spans="1:1" hidden="1">
      <c r="A87" s="14" t="s">
        <v>444</v>
      </c>
    </row>
    <row r="88" spans="1:1" hidden="1">
      <c r="A88" s="14" t="s">
        <v>445</v>
      </c>
    </row>
    <row r="89" spans="1:1" hidden="1"/>
    <row r="90" spans="1:1" hidden="1">
      <c r="A90" s="14" t="s">
        <v>411</v>
      </c>
    </row>
    <row r="91" spans="1:1" hidden="1">
      <c r="A91" s="14" t="s">
        <v>444</v>
      </c>
    </row>
    <row r="92" spans="1:1" hidden="1">
      <c r="A92" s="14" t="s">
        <v>445</v>
      </c>
    </row>
    <row r="93" spans="1:1" hidden="1">
      <c r="A93" s="14" t="s">
        <v>446</v>
      </c>
    </row>
    <row r="94" spans="1:1" hidden="1"/>
    <row r="95" spans="1:1" hidden="1">
      <c r="A95" s="364">
        <v>45443</v>
      </c>
    </row>
    <row r="96" spans="1:1" hidden="1">
      <c r="A96" s="365">
        <v>45473</v>
      </c>
    </row>
    <row r="97" spans="1:1" hidden="1">
      <c r="A97" s="364">
        <v>45504</v>
      </c>
    </row>
    <row r="98" spans="1:1" hidden="1">
      <c r="A98" s="365">
        <v>45535</v>
      </c>
    </row>
    <row r="99" spans="1:1" hidden="1">
      <c r="A99" s="364">
        <v>45565</v>
      </c>
    </row>
    <row r="100" spans="1:1" hidden="1">
      <c r="A100" s="365">
        <v>45596</v>
      </c>
    </row>
    <row r="101" spans="1:1" hidden="1">
      <c r="A101" s="364">
        <v>45626</v>
      </c>
    </row>
    <row r="102" spans="1:1" hidden="1">
      <c r="A102" s="365">
        <v>45657</v>
      </c>
    </row>
    <row r="103" spans="1:1" hidden="1">
      <c r="A103" s="364">
        <v>45688</v>
      </c>
    </row>
    <row r="104" spans="1:1" hidden="1">
      <c r="A104" s="365">
        <v>45716</v>
      </c>
    </row>
    <row r="105" spans="1:1" hidden="1">
      <c r="A105" s="364">
        <v>45747</v>
      </c>
    </row>
    <row r="119" spans="1:1" hidden="1">
      <c r="A119" s="14" t="s">
        <v>447</v>
      </c>
    </row>
    <row r="120" spans="1:1" hidden="1">
      <c r="A120" s="14" t="s">
        <v>448</v>
      </c>
    </row>
    <row r="121" spans="1:1" hidden="1"/>
    <row r="122" spans="1:1" hidden="1"/>
    <row r="123" spans="1:1" hidden="1"/>
    <row r="124" spans="1:1" hidden="1"/>
    <row r="125" spans="1:1" hidden="1"/>
    <row r="126" spans="1:1" hidden="1"/>
    <row r="127" spans="1:1" hidden="1"/>
    <row r="128" spans="1:1" hidden="1">
      <c r="A128" s="14" t="s">
        <v>449</v>
      </c>
    </row>
    <row r="129" spans="1:1" hidden="1">
      <c r="A129" s="14" t="s">
        <v>444</v>
      </c>
    </row>
    <row r="130" spans="1:1" hidden="1">
      <c r="A130" s="14" t="s">
        <v>445</v>
      </c>
    </row>
    <row r="131" spans="1:1" hidden="1"/>
    <row r="132" spans="1:1" hidden="1"/>
    <row r="133" spans="1:1" hidden="1"/>
    <row r="134" spans="1:1" hidden="1">
      <c r="A134" s="14" t="s">
        <v>449</v>
      </c>
    </row>
    <row r="135" spans="1:1" hidden="1">
      <c r="A135" s="14" t="s">
        <v>450</v>
      </c>
    </row>
    <row r="136" spans="1:1" hidden="1">
      <c r="A136" s="14" t="s">
        <v>451</v>
      </c>
    </row>
  </sheetData>
  <sheetProtection sheet="1" objects="1" scenarios="1"/>
  <mergeCells count="18">
    <mergeCell ref="E37:E38"/>
    <mergeCell ref="A66:E67"/>
    <mergeCell ref="A1:H1"/>
    <mergeCell ref="A2:H2"/>
    <mergeCell ref="F66:F67"/>
    <mergeCell ref="G66:G67"/>
    <mergeCell ref="H66:H67"/>
    <mergeCell ref="F14:H14"/>
    <mergeCell ref="A4:H4"/>
    <mergeCell ref="E11:E12"/>
    <mergeCell ref="E14:E15"/>
    <mergeCell ref="E20:E21"/>
    <mergeCell ref="C28:F28"/>
    <mergeCell ref="C30:F30"/>
    <mergeCell ref="C32:F32"/>
    <mergeCell ref="C43:F43"/>
    <mergeCell ref="C45:F45"/>
    <mergeCell ref="C47:F47"/>
  </mergeCells>
  <phoneticPr fontId="16" type="noConversion"/>
  <conditionalFormatting sqref="C28:F28 C30:F30 C32:F32 C43:F43 C45:F45 C47:F47 C48:D51">
    <cfRule type="cellIs" dxfId="61" priority="1" stopIfTrue="1" operator="equal">
      <formula>"please fill in before submitting"</formula>
    </cfRule>
  </conditionalFormatting>
  <conditionalFormatting sqref="E8">
    <cfRule type="cellIs" dxfId="60" priority="5" stopIfTrue="1" operator="equal">
      <formula>"please choose  a quarter in the authorisation page"</formula>
    </cfRule>
  </conditionalFormatting>
  <conditionalFormatting sqref="E11:E12 E14:E15 E20:E21 E37:E38">
    <cfRule type="cellIs" dxfId="59" priority="3" stopIfTrue="1" operator="equal">
      <formula>"PLEASE CHOOSE"</formula>
    </cfRule>
    <cfRule type="cellIs" dxfId="58" priority="4" stopIfTrue="1" operator="notEqual">
      <formula>"PLEASE CHOOSE"</formula>
    </cfRule>
  </conditionalFormatting>
  <conditionalFormatting sqref="F14:H14">
    <cfRule type="cellIs" dxfId="57" priority="2" stopIfTrue="1" operator="equal">
      <formula>"3 year return required by 30th June 2013"</formula>
    </cfRule>
  </conditionalFormatting>
  <dataValidations disablePrompts="1" count="3">
    <dataValidation type="list" allowBlank="1" showInputMessage="1" showErrorMessage="1" sqref="E11:E12" xr:uid="{00000000-0002-0000-0200-000000000000}">
      <formula1>$A$79:$A$84</formula1>
    </dataValidation>
    <dataValidation type="list" allowBlank="1" showInputMessage="1" showErrorMessage="1" sqref="E14 E20:E21" xr:uid="{00000000-0002-0000-0200-000001000000}">
      <formula1>$A$86:$A$88</formula1>
    </dataValidation>
    <dataValidation type="list" allowBlank="1" showInputMessage="1" showErrorMessage="1" sqref="E37:E38" xr:uid="{00000000-0002-0000-0200-000002000000}">
      <formula1>$A$90:$A$93</formula1>
    </dataValidation>
  </dataValidations>
  <pageMargins left="0.25" right="0.25" top="0.75" bottom="0.75" header="0.3" footer="0.3"/>
  <pageSetup paperSize="9" scale="83" fitToHeight="2" orientation="landscape" r:id="rId1"/>
  <headerFooter alignWithMargins="0"/>
  <rowBreaks count="1" manualBreakCount="1">
    <brk id="47" max="8"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57"/>
  </sheetPr>
  <dimension ref="A1:P321"/>
  <sheetViews>
    <sheetView showGridLines="0" tabSelected="1" zoomScale="85" zoomScaleNormal="85" workbookViewId="0">
      <selection activeCell="B3" sqref="B3"/>
    </sheetView>
  </sheetViews>
  <sheetFormatPr defaultColWidth="9.21875" defaultRowHeight="15"/>
  <cols>
    <col min="1" max="1" width="15.5546875" style="350" customWidth="1"/>
    <col min="2" max="2" width="69" style="62" customWidth="1"/>
    <col min="3" max="3" width="17.21875" style="61" customWidth="1"/>
    <col min="4" max="4" width="7.5546875" style="62" customWidth="1"/>
    <col min="5" max="5" width="18.77734375" style="61" customWidth="1"/>
    <col min="6" max="6" width="1.5546875" style="327" customWidth="1"/>
    <col min="7" max="7" width="16.21875" style="61" customWidth="1"/>
    <col min="8" max="8" width="1.5546875" style="327" customWidth="1"/>
    <col min="9" max="9" width="19.21875" style="61" customWidth="1"/>
    <col min="10" max="10" width="7.77734375" style="326" customWidth="1"/>
    <col min="11" max="11" width="16.21875" style="61" customWidth="1"/>
    <col min="12" max="12" width="1.5546875" style="67" customWidth="1"/>
    <col min="13" max="13" width="16.21875" style="61" customWidth="1"/>
    <col min="14" max="14" width="1.77734375" style="327" customWidth="1"/>
    <col min="15" max="15" width="62.5546875" style="350" customWidth="1"/>
    <col min="16" max="16" width="64" style="327" hidden="1" customWidth="1"/>
    <col min="17" max="16384" width="9.21875" style="327"/>
  </cols>
  <sheetData>
    <row r="1" spans="1:16" s="332" customFormat="1" ht="25.5" customHeight="1">
      <c r="A1" s="560" t="s">
        <v>1526</v>
      </c>
      <c r="B1" s="560"/>
      <c r="C1" s="560"/>
      <c r="D1" s="560"/>
      <c r="E1" s="560"/>
      <c r="F1" s="560"/>
      <c r="G1" s="560"/>
      <c r="H1" s="560"/>
      <c r="I1" s="560"/>
      <c r="J1" s="560"/>
      <c r="K1" s="560"/>
      <c r="L1" s="560"/>
      <c r="M1" s="560"/>
      <c r="N1" s="560"/>
      <c r="O1" s="560"/>
    </row>
    <row r="2" spans="1:16" s="332" customFormat="1" ht="23.4" thickBot="1">
      <c r="A2" s="28"/>
      <c r="B2" s="27"/>
      <c r="C2" s="27"/>
      <c r="D2" s="27"/>
      <c r="E2" s="27"/>
      <c r="F2" s="27"/>
      <c r="G2" s="27"/>
      <c r="H2" s="27"/>
      <c r="I2" s="27"/>
      <c r="J2" s="310"/>
      <c r="K2" s="27"/>
      <c r="L2" s="124"/>
      <c r="M2" s="27"/>
      <c r="N2" s="27"/>
      <c r="O2" s="366">
        <f>I5</f>
        <v>45473</v>
      </c>
    </row>
    <row r="3" spans="1:16" s="332" customFormat="1" ht="25.5" customHeight="1" thickBot="1">
      <c r="A3" s="116" t="s">
        <v>406</v>
      </c>
      <c r="B3" s="514" t="s">
        <v>702</v>
      </c>
      <c r="C3" s="110"/>
      <c r="D3" s="564" t="s">
        <v>471</v>
      </c>
      <c r="E3" s="565"/>
      <c r="F3" s="565"/>
      <c r="G3" s="565"/>
      <c r="H3" s="566"/>
      <c r="I3" s="123">
        <f>VLOOKUP($B$3,$A$192:$D$319,4,FALSE)</f>
        <v>0</v>
      </c>
      <c r="J3" s="311"/>
      <c r="K3" s="564" t="s">
        <v>1433</v>
      </c>
      <c r="L3" s="565"/>
      <c r="M3" s="565"/>
      <c r="N3" s="565"/>
      <c r="O3" s="367" t="s">
        <v>1363</v>
      </c>
    </row>
    <row r="4" spans="1:16" s="332" customFormat="1" ht="22.5" customHeight="1" thickBot="1">
      <c r="A4" s="335" t="s">
        <v>472</v>
      </c>
      <c r="B4" s="117">
        <f>VLOOKUP($B$3,$A$192:$D$319,2,FALSE)</f>
        <v>0</v>
      </c>
      <c r="C4" s="110"/>
      <c r="D4" s="564" t="s">
        <v>473</v>
      </c>
      <c r="E4" s="562"/>
      <c r="F4" s="562"/>
      <c r="G4" s="562"/>
      <c r="H4" s="563"/>
      <c r="I4" s="123">
        <f>VLOOKUP($B$3,$A$192:$F$319,5,FALSE)</f>
        <v>0</v>
      </c>
      <c r="J4" s="311"/>
      <c r="K4" s="121"/>
      <c r="L4" s="125"/>
      <c r="M4" s="121"/>
      <c r="N4" s="333"/>
      <c r="O4" s="334"/>
      <c r="P4" s="29"/>
    </row>
    <row r="5" spans="1:16" s="332" customFormat="1" ht="28.5" customHeight="1" thickBot="1">
      <c r="A5" s="115"/>
      <c r="B5" s="253"/>
      <c r="C5" s="114"/>
      <c r="D5" s="561" t="s">
        <v>474</v>
      </c>
      <c r="E5" s="562"/>
      <c r="F5" s="562"/>
      <c r="G5" s="562"/>
      <c r="H5" s="563"/>
      <c r="I5" s="367">
        <v>45473</v>
      </c>
      <c r="J5" s="515">
        <f>IF(MONTH(I5)&gt;4,MONTH(I5)-3,MONTH(I5)+9)</f>
        <v>3</v>
      </c>
      <c r="K5" s="516">
        <f>(100/12)*J5</f>
        <v>25</v>
      </c>
      <c r="L5" s="126"/>
      <c r="M5" s="122"/>
      <c r="N5" s="333"/>
      <c r="O5" s="334"/>
      <c r="P5" s="29"/>
    </row>
    <row r="6" spans="1:16" s="332" customFormat="1" ht="15.6" hidden="1">
      <c r="A6" s="139" t="s">
        <v>475</v>
      </c>
      <c r="B6" s="111"/>
      <c r="C6" s="112"/>
      <c r="D6" s="29"/>
      <c r="E6" s="113"/>
      <c r="F6" s="113"/>
      <c r="G6" s="113"/>
      <c r="H6" s="113"/>
      <c r="I6" s="110"/>
      <c r="J6" s="313"/>
      <c r="K6" s="110"/>
      <c r="L6" s="127"/>
      <c r="M6" s="110"/>
      <c r="N6" s="333"/>
      <c r="O6" s="334"/>
      <c r="P6" s="29"/>
    </row>
    <row r="7" spans="1:16" s="332" customFormat="1" ht="9" customHeight="1">
      <c r="A7" s="111"/>
      <c r="B7" s="111"/>
      <c r="C7" s="112"/>
      <c r="D7" s="29"/>
      <c r="E7" s="113"/>
      <c r="F7" s="113"/>
      <c r="G7" s="113"/>
      <c r="H7" s="113"/>
      <c r="I7" s="110"/>
      <c r="J7" s="313"/>
      <c r="K7" s="110"/>
      <c r="L7" s="127"/>
      <c r="M7" s="110"/>
      <c r="N7" s="333"/>
      <c r="O7" s="334"/>
      <c r="P7" s="29"/>
    </row>
    <row r="8" spans="1:16" s="332" customFormat="1" ht="16.2" hidden="1" thickBot="1">
      <c r="A8" s="334" t="s">
        <v>476</v>
      </c>
      <c r="B8" s="111"/>
      <c r="C8" s="336">
        <v>6</v>
      </c>
      <c r="D8" s="29"/>
      <c r="E8" s="118" t="str">
        <f>IF(C8="","** please complete **","")</f>
        <v/>
      </c>
      <c r="F8" s="113"/>
      <c r="G8" s="113"/>
      <c r="H8" s="113"/>
      <c r="I8" s="110"/>
      <c r="J8" s="313"/>
      <c r="K8" s="110"/>
      <c r="L8" s="127"/>
      <c r="M8" s="110"/>
      <c r="N8" s="333"/>
      <c r="O8" s="334"/>
      <c r="P8" s="29"/>
    </row>
    <row r="9" spans="1:16" s="332" customFormat="1" ht="16.2" hidden="1" thickBot="1">
      <c r="A9" s="334" t="s">
        <v>477</v>
      </c>
      <c r="B9" s="111"/>
      <c r="C9" s="336"/>
      <c r="D9" s="29"/>
      <c r="E9" s="118" t="str">
        <f>IF(C9="","** please complete **","")</f>
        <v>** please complete **</v>
      </c>
      <c r="F9" s="113"/>
      <c r="G9" s="113"/>
      <c r="H9" s="113"/>
      <c r="I9" s="110"/>
      <c r="J9" s="313"/>
      <c r="K9" s="110"/>
      <c r="L9" s="127"/>
      <c r="M9" s="110"/>
      <c r="N9" s="333"/>
      <c r="O9" s="334"/>
      <c r="P9" s="29"/>
    </row>
    <row r="10" spans="1:16" s="332" customFormat="1" ht="16.2" hidden="1" thickBot="1">
      <c r="A10" s="334" t="s">
        <v>478</v>
      </c>
      <c r="B10" s="111"/>
      <c r="C10" s="336"/>
      <c r="D10" s="29"/>
      <c r="E10" s="118" t="str">
        <f>IF(C10="","** please complete **","")</f>
        <v>** please complete **</v>
      </c>
      <c r="F10" s="113"/>
      <c r="G10" s="113"/>
      <c r="H10" s="113"/>
      <c r="I10" s="110"/>
      <c r="J10" s="313"/>
      <c r="K10" s="110"/>
      <c r="L10" s="127"/>
      <c r="M10" s="110"/>
      <c r="N10" s="333"/>
      <c r="O10" s="334"/>
      <c r="P10" s="29"/>
    </row>
    <row r="11" spans="1:16" s="62" customFormat="1" ht="14.25" customHeight="1">
      <c r="A11" s="140"/>
      <c r="B11" s="30"/>
      <c r="C11" s="31" t="s">
        <v>479</v>
      </c>
      <c r="D11" s="30"/>
      <c r="E11" s="31" t="s">
        <v>1464</v>
      </c>
      <c r="F11" s="32"/>
      <c r="G11" s="31"/>
      <c r="H11" s="32"/>
      <c r="I11" s="31"/>
      <c r="J11" s="314"/>
      <c r="K11" s="31"/>
      <c r="L11" s="31"/>
      <c r="M11" s="31"/>
      <c r="N11" s="337"/>
      <c r="O11" s="338"/>
    </row>
    <row r="12" spans="1:16" s="62" customFormat="1" ht="33" customHeight="1">
      <c r="A12" s="567" t="s">
        <v>428</v>
      </c>
      <c r="B12" s="568"/>
      <c r="C12" s="568"/>
      <c r="D12" s="568"/>
      <c r="E12" s="568"/>
      <c r="F12" s="568"/>
      <c r="G12" s="568"/>
      <c r="H12" s="568"/>
      <c r="I12" s="568"/>
      <c r="J12" s="568"/>
      <c r="K12" s="568"/>
      <c r="L12" s="568"/>
      <c r="M12" s="568"/>
      <c r="N12" s="568"/>
      <c r="O12" s="568"/>
      <c r="P12" s="569"/>
    </row>
    <row r="13" spans="1:16" s="120" customFormat="1" ht="96.6">
      <c r="A13" s="119"/>
      <c r="B13" s="133"/>
      <c r="C13" s="134" t="s">
        <v>1514</v>
      </c>
      <c r="D13" s="135"/>
      <c r="E13" s="134" t="s">
        <v>1515</v>
      </c>
      <c r="F13" s="136"/>
      <c r="G13" s="134" t="s">
        <v>482</v>
      </c>
      <c r="H13" s="136"/>
      <c r="I13" s="134" t="s">
        <v>483</v>
      </c>
      <c r="J13" s="315" t="s">
        <v>484</v>
      </c>
      <c r="K13" s="134" t="s">
        <v>1597</v>
      </c>
      <c r="L13" s="134"/>
      <c r="M13" s="134" t="s">
        <v>1598</v>
      </c>
      <c r="N13" s="131"/>
      <c r="O13" s="134" t="s">
        <v>546</v>
      </c>
      <c r="P13" s="481" t="s">
        <v>1468</v>
      </c>
    </row>
    <row r="14" spans="1:16" s="62" customFormat="1" ht="23.25" customHeight="1">
      <c r="A14" s="33"/>
      <c r="B14" s="137"/>
      <c r="C14" s="559" t="s">
        <v>486</v>
      </c>
      <c r="D14" s="559"/>
      <c r="E14" s="559"/>
      <c r="F14" s="559"/>
      <c r="G14" s="559"/>
      <c r="H14" s="559"/>
      <c r="I14" s="559"/>
      <c r="J14" s="559"/>
      <c r="K14" s="559"/>
      <c r="L14" s="559"/>
      <c r="M14" s="559"/>
      <c r="N14" s="339"/>
      <c r="O14" s="338"/>
      <c r="P14" s="479"/>
    </row>
    <row r="15" spans="1:16" s="332" customFormat="1" ht="26.25" customHeight="1">
      <c r="A15" s="34" t="s">
        <v>487</v>
      </c>
      <c r="B15" s="35" t="s">
        <v>488</v>
      </c>
      <c r="C15" s="36" t="s">
        <v>489</v>
      </c>
      <c r="D15" s="328" t="s">
        <v>490</v>
      </c>
      <c r="E15" s="36" t="s">
        <v>489</v>
      </c>
      <c r="G15" s="36" t="s">
        <v>489</v>
      </c>
      <c r="I15" s="36" t="s">
        <v>489</v>
      </c>
      <c r="J15" s="517">
        <f>$K$5/100</f>
        <v>0.25</v>
      </c>
      <c r="K15" s="36" t="s">
        <v>489</v>
      </c>
      <c r="L15" s="128"/>
      <c r="M15" s="36" t="s">
        <v>489</v>
      </c>
      <c r="O15" s="334"/>
      <c r="P15" s="480"/>
    </row>
    <row r="16" spans="1:16" s="332" customFormat="1" ht="19.5" customHeight="1">
      <c r="A16" s="38" t="s">
        <v>491</v>
      </c>
      <c r="B16" s="39" t="s">
        <v>492</v>
      </c>
      <c r="C16" s="467" t="e">
        <f>VLOOKUP($I$3,'Data - CFR 202526'!$B$4:$CJ$143,5,FALSE)</f>
        <v>#N/A</v>
      </c>
      <c r="D16" s="329" t="s">
        <v>493</v>
      </c>
      <c r="E16" s="467" t="e">
        <f>VLOOKUP($I$3,'Data - 2026-27Approved Budget'!$B$3:$CJ$140,5,FALSE)</f>
        <v>#N/A</v>
      </c>
      <c r="F16" s="340"/>
      <c r="G16" s="468">
        <f>_xlfn.IFNA(VLOOKUP(CONCATENATE($A16,D16),'SBS BvA Report (Table)'!$A:$N,5,0),0)</f>
        <v>0</v>
      </c>
      <c r="H16" s="340"/>
      <c r="I16" s="468">
        <f>IF($O$3="Y",_xlfn.IFNA(VLOOKUP(CONCATENATE($A16,$D16),'SBS BvA Report (Table)'!$A:$N,6,0),0),_xlfn.IFNA(-VLOOKUP(CONCATENATE($A16,$D16),'SBS BvA Report (Table)'!$A:$N,6,0),0))</f>
        <v>0</v>
      </c>
      <c r="J16" s="485">
        <f>IFERROR(IF(I16="",0%,I16/K16),0)</f>
        <v>0</v>
      </c>
      <c r="K16" s="468">
        <f>_xlfn.IFNA(VLOOKUP(CONCATENATE($A16,$D16),'SBS BvA Report (Table)'!$A:$N,12,0),0)</f>
        <v>0</v>
      </c>
      <c r="L16" s="341"/>
      <c r="M16" s="143" t="e">
        <f>IF(G16="",(K16-E16),(K16-E16))</f>
        <v>#N/A</v>
      </c>
      <c r="N16" s="340"/>
      <c r="O16" s="490"/>
      <c r="P16" s="482"/>
    </row>
    <row r="17" spans="1:16" s="332" customFormat="1" ht="19.5" customHeight="1">
      <c r="A17" s="38" t="s">
        <v>494</v>
      </c>
      <c r="B17" s="39" t="s">
        <v>495</v>
      </c>
      <c r="C17" s="467" t="e">
        <f>VLOOKUP($I$3,'Data - CFR 202526'!$B$4:$CJ$143,6,FALSE)</f>
        <v>#N/A</v>
      </c>
      <c r="D17" s="330" t="s">
        <v>496</v>
      </c>
      <c r="E17" s="467" t="e">
        <f>VLOOKUP($I$3,'Data - 2026-27Approved Budget'!$B$3:$CJ$140,6,FALSE)</f>
        <v>#N/A</v>
      </c>
      <c r="F17" s="340"/>
      <c r="G17" s="468">
        <f>_xlfn.IFNA(VLOOKUP(CONCATENATE($A17,D17),'SBS BvA Report (Table)'!$A:$N,5,0),0)</f>
        <v>0</v>
      </c>
      <c r="H17" s="340"/>
      <c r="I17" s="468">
        <f>IF($O$3="Y",_xlfn.IFNA(VLOOKUP(CONCATENATE($A17,$D17),'SBS BvA Report (Table)'!$A:$N,6,0),0),_xlfn.IFNA(-VLOOKUP(CONCATENATE($A17,$D17),'SBS BvA Report (Table)'!$A:$N,6,0),0))</f>
        <v>0</v>
      </c>
      <c r="J17" s="485">
        <f>IFERROR(IF(I17="",0%,I17/K17),0)</f>
        <v>0</v>
      </c>
      <c r="K17" s="468">
        <f>_xlfn.IFNA(VLOOKUP(CONCATENATE($A17,$D17),'SBS BvA Report (Table)'!$A:$N,12,0),0)</f>
        <v>0</v>
      </c>
      <c r="L17" s="341"/>
      <c r="M17" s="143" t="e">
        <f t="shared" ref="M17:M34" si="0">IF(G17="",(K17-E17),(K17-E17))</f>
        <v>#N/A</v>
      </c>
      <c r="N17" s="340"/>
      <c r="O17" s="490"/>
      <c r="P17" s="482"/>
    </row>
    <row r="18" spans="1:16" s="332" customFormat="1" ht="19.5" customHeight="1">
      <c r="A18" s="38" t="s">
        <v>497</v>
      </c>
      <c r="B18" s="39" t="s">
        <v>498</v>
      </c>
      <c r="C18" s="467" t="e">
        <f>VLOOKUP($I$3,'Data - CFR 202526'!$B$4:$CJ$143,7,FALSE)</f>
        <v>#N/A</v>
      </c>
      <c r="D18" s="330" t="s">
        <v>499</v>
      </c>
      <c r="E18" s="467" t="e">
        <f>VLOOKUP($I$3,'Data - 2026-27Approved Budget'!$B$3:$CJ$140,7,FALSE)</f>
        <v>#N/A</v>
      </c>
      <c r="F18" s="340"/>
      <c r="G18" s="468">
        <f>_xlfn.IFNA(VLOOKUP(CONCATENATE($A18,D18),'SBS BvA Report (Table)'!$A:$N,5,0),0)</f>
        <v>0</v>
      </c>
      <c r="H18" s="340"/>
      <c r="I18" s="468">
        <f>IF($O$3="Y",_xlfn.IFNA(VLOOKUP(CONCATENATE($A18,$D18),'SBS BvA Report (Table)'!$A:$N,6,0),0),_xlfn.IFNA(-VLOOKUP(CONCATENATE($A18,$D18),'SBS BvA Report (Table)'!$A:$N,6,0),0))</f>
        <v>0</v>
      </c>
      <c r="J18" s="485">
        <f t="shared" ref="J18:J34" si="1">IFERROR(IF(I18="",0%,I18/K18),0)</f>
        <v>0</v>
      </c>
      <c r="K18" s="468">
        <f>_xlfn.IFNA(VLOOKUP(CONCATENATE($A18,$D18),'SBS BvA Report (Table)'!$A:$N,12,0),0)</f>
        <v>0</v>
      </c>
      <c r="L18" s="341"/>
      <c r="M18" s="143" t="e">
        <f t="shared" si="0"/>
        <v>#N/A</v>
      </c>
      <c r="N18" s="340"/>
      <c r="O18" s="490"/>
      <c r="P18" s="482"/>
    </row>
    <row r="19" spans="1:16" s="332" customFormat="1" ht="19.5" customHeight="1">
      <c r="A19" s="38" t="s">
        <v>500</v>
      </c>
      <c r="B19" s="39" t="s">
        <v>501</v>
      </c>
      <c r="C19" s="467" t="e">
        <f>VLOOKUP($I$3,'Data - CFR 202526'!$B$4:$CJ$143,8,FALSE)</f>
        <v>#N/A</v>
      </c>
      <c r="D19" s="330" t="s">
        <v>502</v>
      </c>
      <c r="E19" s="467" t="e">
        <f>VLOOKUP($I$3,'Data - 2026-27Approved Budget'!$B$3:$CJ$140,8,FALSE)</f>
        <v>#N/A</v>
      </c>
      <c r="F19" s="340"/>
      <c r="G19" s="468">
        <f>_xlfn.IFNA(VLOOKUP(CONCATENATE($A19,D19),'SBS BvA Report (Table)'!$A:$N,5,0),0)</f>
        <v>0</v>
      </c>
      <c r="H19" s="340"/>
      <c r="I19" s="468">
        <f>IF($O$3="Y",_xlfn.IFNA(VLOOKUP(CONCATENATE($A19,$D19),'SBS BvA Report (Table)'!$A:$N,6,0),0),_xlfn.IFNA(-VLOOKUP(CONCATENATE($A19,$D19),'SBS BvA Report (Table)'!$A:$N,6,0),0))</f>
        <v>0</v>
      </c>
      <c r="J19" s="485">
        <f>IFERROR(IF(I19="",0%,I19/K19),0)</f>
        <v>0</v>
      </c>
      <c r="K19" s="468">
        <f>_xlfn.IFNA(VLOOKUP(CONCATENATE($A19,$D19),'SBS BvA Report (Table)'!$A:$N,12,0),0)</f>
        <v>0</v>
      </c>
      <c r="L19" s="341"/>
      <c r="M19" s="143" t="e">
        <f t="shared" si="0"/>
        <v>#N/A</v>
      </c>
      <c r="N19" s="340"/>
      <c r="O19" s="490"/>
      <c r="P19" s="482"/>
    </row>
    <row r="20" spans="1:16" s="332" customFormat="1" ht="19.5" customHeight="1">
      <c r="A20" s="38" t="s">
        <v>503</v>
      </c>
      <c r="B20" s="39" t="s">
        <v>504</v>
      </c>
      <c r="C20" s="467" t="e">
        <f>VLOOKUP($I$3,'Data - CFR 202526'!$B$4:$CJ$143,9,FALSE)</f>
        <v>#N/A</v>
      </c>
      <c r="D20" s="330" t="s">
        <v>505</v>
      </c>
      <c r="E20" s="467" t="e">
        <f>VLOOKUP($I$3,'Data - 2026-27Approved Budget'!$B$3:$CJ$140,9,FALSE)</f>
        <v>#N/A</v>
      </c>
      <c r="F20" s="340"/>
      <c r="G20" s="468">
        <f>_xlfn.IFNA(VLOOKUP(CONCATENATE($A20,D20),'SBS BvA Report (Table)'!$A:$N,5,0),0)</f>
        <v>0</v>
      </c>
      <c r="H20" s="340"/>
      <c r="I20" s="468">
        <f>IF($O$3="Y",_xlfn.IFNA(VLOOKUP(CONCATENATE($A20,$D20),'SBS BvA Report (Table)'!$A:$N,6,0),0),_xlfn.IFNA(-VLOOKUP(CONCATENATE($A20,$D20),'SBS BvA Report (Table)'!$A:$N,6,0),0))</f>
        <v>0</v>
      </c>
      <c r="J20" s="485">
        <f t="shared" si="1"/>
        <v>0</v>
      </c>
      <c r="K20" s="468">
        <f>_xlfn.IFNA(VLOOKUP(CONCATENATE($A20,$D20),'SBS BvA Report (Table)'!$A:$N,12,0),0)</f>
        <v>0</v>
      </c>
      <c r="L20" s="341"/>
      <c r="M20" s="143" t="e">
        <f t="shared" si="0"/>
        <v>#N/A</v>
      </c>
      <c r="N20" s="340"/>
      <c r="O20" s="490"/>
      <c r="P20" s="482"/>
    </row>
    <row r="21" spans="1:16" s="332" customFormat="1" ht="19.5" customHeight="1">
      <c r="A21" s="38" t="s">
        <v>506</v>
      </c>
      <c r="B21" s="39" t="s">
        <v>507</v>
      </c>
      <c r="C21" s="467" t="e">
        <f>VLOOKUP($I$3,'Data - CFR 202526'!$B$4:$CJ$143,10,FALSE)</f>
        <v>#N/A</v>
      </c>
      <c r="D21" s="330" t="s">
        <v>508</v>
      </c>
      <c r="E21" s="467" t="e">
        <f>VLOOKUP($I$3,'Data - 2026-27Approved Budget'!$B$3:$CJ$140,10,FALSE)</f>
        <v>#N/A</v>
      </c>
      <c r="F21" s="340"/>
      <c r="G21" s="468">
        <f>_xlfn.IFNA(VLOOKUP(CONCATENATE($A21,D21),'SBS BvA Report (Table)'!$A:$N,5,0),0)</f>
        <v>0</v>
      </c>
      <c r="H21" s="340"/>
      <c r="I21" s="468">
        <f>IF($O$3="Y",_xlfn.IFNA(VLOOKUP(CONCATENATE($A21,$D21),'SBS BvA Report (Table)'!$A:$N,6,0),0),_xlfn.IFNA(-VLOOKUP(CONCATENATE($A21,$D21),'SBS BvA Report (Table)'!$A:$N,6,0),0))</f>
        <v>0</v>
      </c>
      <c r="J21" s="485">
        <f t="shared" si="1"/>
        <v>0</v>
      </c>
      <c r="K21" s="468">
        <f>_xlfn.IFNA(VLOOKUP(CONCATENATE($A21,$D21),'SBS BvA Report (Table)'!$A:$N,12,0),0)</f>
        <v>0</v>
      </c>
      <c r="L21" s="341"/>
      <c r="M21" s="143" t="e">
        <f t="shared" si="0"/>
        <v>#N/A</v>
      </c>
      <c r="N21" s="340"/>
      <c r="O21" s="490"/>
      <c r="P21" s="482"/>
    </row>
    <row r="22" spans="1:16" s="332" customFormat="1" ht="19.5" customHeight="1">
      <c r="A22" s="38" t="s">
        <v>509</v>
      </c>
      <c r="B22" s="39" t="s">
        <v>510</v>
      </c>
      <c r="C22" s="467" t="e">
        <f>VLOOKUP($I$3,'Data - CFR 202526'!$B$4:$CJ$143,11,FALSE)</f>
        <v>#N/A</v>
      </c>
      <c r="D22" s="330" t="s">
        <v>511</v>
      </c>
      <c r="E22" s="467" t="e">
        <f>VLOOKUP($I$3,'Data - 2026-27Approved Budget'!$B$3:$CJ$140,11,FALSE)</f>
        <v>#N/A</v>
      </c>
      <c r="F22" s="340"/>
      <c r="G22" s="468">
        <f>_xlfn.IFNA(VLOOKUP(CONCATENATE($A22,D22),'SBS BvA Report (Table)'!$A:$N,5,0),0)</f>
        <v>0</v>
      </c>
      <c r="H22" s="340"/>
      <c r="I22" s="468">
        <f>IF($O$3="Y",_xlfn.IFNA(VLOOKUP(CONCATENATE($A22,$D22),'SBS BvA Report (Table)'!$A:$N,6,0),0),_xlfn.IFNA(-VLOOKUP(CONCATENATE($A22,$D22),'SBS BvA Report (Table)'!$A:$N,6,0),0))</f>
        <v>0</v>
      </c>
      <c r="J22" s="485">
        <f t="shared" si="1"/>
        <v>0</v>
      </c>
      <c r="K22" s="468">
        <f>_xlfn.IFNA(VLOOKUP(CONCATENATE($A22,$D22),'SBS BvA Report (Table)'!$A:$N,12,0),0)</f>
        <v>0</v>
      </c>
      <c r="L22" s="341"/>
      <c r="M22" s="143" t="e">
        <f t="shared" si="0"/>
        <v>#N/A</v>
      </c>
      <c r="N22" s="340"/>
      <c r="O22" s="490"/>
      <c r="P22" s="482"/>
    </row>
    <row r="23" spans="1:16" s="332" customFormat="1" ht="19.5" customHeight="1">
      <c r="A23" s="38" t="s">
        <v>512</v>
      </c>
      <c r="B23" s="39" t="s">
        <v>513</v>
      </c>
      <c r="C23" s="467" t="e">
        <f>VLOOKUP($I$3,'Data - CFR 202526'!$B$4:$CJ$143,12,FALSE)</f>
        <v>#N/A</v>
      </c>
      <c r="D23" s="330" t="s">
        <v>514</v>
      </c>
      <c r="E23" s="467" t="e">
        <f>VLOOKUP($I$3,'Data - 2026-27Approved Budget'!$B$3:$CJ$140,12,FALSE)</f>
        <v>#N/A</v>
      </c>
      <c r="F23" s="340"/>
      <c r="G23" s="468">
        <f>_xlfn.IFNA(VLOOKUP(CONCATENATE($A23,D23),'SBS BvA Report (Table)'!$A:$N,5,0),0)</f>
        <v>0</v>
      </c>
      <c r="H23" s="340"/>
      <c r="I23" s="468">
        <f>IF($O$3="Y",_xlfn.IFNA(VLOOKUP(CONCATENATE($A23,$D23),'SBS BvA Report (Table)'!$A:$N,6,0),0),_xlfn.IFNA(-VLOOKUP(CONCATENATE($A23,$D23),'SBS BvA Report (Table)'!$A:$N,6,0),0))</f>
        <v>0</v>
      </c>
      <c r="J23" s="485">
        <f t="shared" si="1"/>
        <v>0</v>
      </c>
      <c r="K23" s="468">
        <f>_xlfn.IFNA(VLOOKUP(CONCATENATE($A23,$D23),'SBS BvA Report (Table)'!$A:$N,12,0),0)</f>
        <v>0</v>
      </c>
      <c r="L23" s="341"/>
      <c r="M23" s="143" t="e">
        <f t="shared" si="0"/>
        <v>#N/A</v>
      </c>
      <c r="N23" s="340"/>
      <c r="O23" s="490"/>
      <c r="P23" s="482"/>
    </row>
    <row r="24" spans="1:16" s="332" customFormat="1" ht="19.5" customHeight="1">
      <c r="A24" s="38" t="s">
        <v>515</v>
      </c>
      <c r="B24" s="39" t="s">
        <v>516</v>
      </c>
      <c r="C24" s="467" t="e">
        <f>VLOOKUP($I$3,'Data - CFR 202526'!$B$4:$CJ$143,13,FALSE)</f>
        <v>#N/A</v>
      </c>
      <c r="D24" s="330" t="s">
        <v>517</v>
      </c>
      <c r="E24" s="467" t="e">
        <f>VLOOKUP($I$3,'Data - 2026-27Approved Budget'!$B$3:$CJ$140,13,FALSE)</f>
        <v>#N/A</v>
      </c>
      <c r="F24" s="340"/>
      <c r="G24" s="468">
        <f>_xlfn.IFNA(VLOOKUP(CONCATENATE($A24,D24),'SBS BvA Report (Table)'!$A:$N,5,0),0)</f>
        <v>0</v>
      </c>
      <c r="H24" s="340"/>
      <c r="I24" s="468">
        <f>IF($O$3="Y",_xlfn.IFNA(VLOOKUP(CONCATENATE($A24,$D24),'SBS BvA Report (Table)'!$A:$N,6,0),0),_xlfn.IFNA(-VLOOKUP(CONCATENATE($A24,$D24),'SBS BvA Report (Table)'!$A:$N,6,0),0))</f>
        <v>0</v>
      </c>
      <c r="J24" s="485">
        <f t="shared" si="1"/>
        <v>0</v>
      </c>
      <c r="K24" s="468">
        <f>_xlfn.IFNA(VLOOKUP(CONCATENATE($A24,$D24),'SBS BvA Report (Table)'!$A:$N,12,0),0)</f>
        <v>0</v>
      </c>
      <c r="L24" s="341"/>
      <c r="M24" s="143" t="e">
        <f t="shared" si="0"/>
        <v>#N/A</v>
      </c>
      <c r="N24" s="340"/>
      <c r="O24" s="490"/>
      <c r="P24" s="482"/>
    </row>
    <row r="25" spans="1:16" s="332" customFormat="1" ht="19.5" customHeight="1">
      <c r="A25" s="38" t="s">
        <v>518</v>
      </c>
      <c r="B25" s="39" t="s">
        <v>519</v>
      </c>
      <c r="C25" s="467" t="e">
        <f>VLOOKUP($I$3,'Data - CFR 202526'!$B$4:$CJ$143,14,FALSE)</f>
        <v>#N/A</v>
      </c>
      <c r="D25" s="330" t="s">
        <v>520</v>
      </c>
      <c r="E25" s="467" t="e">
        <f>VLOOKUP($I$3,'Data - 2026-27Approved Budget'!$B$3:$CJ$140,14,FALSE)</f>
        <v>#N/A</v>
      </c>
      <c r="F25" s="340"/>
      <c r="G25" s="468">
        <f>_xlfn.IFNA(VLOOKUP(CONCATENATE($A25,D25),'SBS BvA Report (Table)'!$A:$N,5,0),0)</f>
        <v>0</v>
      </c>
      <c r="H25" s="340"/>
      <c r="I25" s="468">
        <f>IF($O$3="Y",_xlfn.IFNA(VLOOKUP(CONCATENATE($A25,$D25),'SBS BvA Report (Table)'!$A:$N,6,0),0),_xlfn.IFNA(-VLOOKUP(CONCATENATE($A25,$D25),'SBS BvA Report (Table)'!$A:$N,6,0),0))</f>
        <v>0</v>
      </c>
      <c r="J25" s="485">
        <f t="shared" si="1"/>
        <v>0</v>
      </c>
      <c r="K25" s="468">
        <f>_xlfn.IFNA(VLOOKUP(CONCATENATE($A25,$D25),'SBS BvA Report (Table)'!$A:$N,12,0),0)</f>
        <v>0</v>
      </c>
      <c r="L25" s="341"/>
      <c r="M25" s="143" t="e">
        <f t="shared" si="0"/>
        <v>#N/A</v>
      </c>
      <c r="N25" s="340"/>
      <c r="O25" s="490"/>
      <c r="P25" s="482"/>
    </row>
    <row r="26" spans="1:16" s="332" customFormat="1" ht="19.5" customHeight="1">
      <c r="A26" s="38" t="s">
        <v>521</v>
      </c>
      <c r="B26" s="39" t="s">
        <v>522</v>
      </c>
      <c r="C26" s="467" t="e">
        <f>VLOOKUP($I$3,'Data - CFR 202526'!$B$4:$CJ$143,15,FALSE)</f>
        <v>#N/A</v>
      </c>
      <c r="D26" s="330" t="s">
        <v>523</v>
      </c>
      <c r="E26" s="467" t="e">
        <f>VLOOKUP($I$3,'Data - 2026-27Approved Budget'!$B$3:$CJ$140,15,FALSE)</f>
        <v>#N/A</v>
      </c>
      <c r="F26" s="340"/>
      <c r="G26" s="468">
        <f>_xlfn.IFNA(VLOOKUP(CONCATENATE($A26,D26),'SBS BvA Report (Table)'!$A:$N,5,0),0)</f>
        <v>0</v>
      </c>
      <c r="H26" s="340"/>
      <c r="I26" s="468">
        <f>IF($O$3="Y",_xlfn.IFNA(VLOOKUP(CONCATENATE($A26,$D26),'SBS BvA Report (Table)'!$A:$N,6,0),0),_xlfn.IFNA(-VLOOKUP(CONCATENATE($A26,$D26),'SBS BvA Report (Table)'!$A:$N,6,0),0))</f>
        <v>0</v>
      </c>
      <c r="J26" s="485">
        <f t="shared" si="1"/>
        <v>0</v>
      </c>
      <c r="K26" s="468">
        <f>_xlfn.IFNA(VLOOKUP(CONCATENATE($A26,$D26),'SBS BvA Report (Table)'!$A:$N,12,0),0)</f>
        <v>0</v>
      </c>
      <c r="L26" s="341"/>
      <c r="M26" s="143" t="e">
        <f t="shared" si="0"/>
        <v>#N/A</v>
      </c>
      <c r="N26" s="340"/>
      <c r="O26" s="490"/>
      <c r="P26" s="482"/>
    </row>
    <row r="27" spans="1:16" s="332" customFormat="1" ht="19.5" customHeight="1">
      <c r="A27" s="38" t="s">
        <v>524</v>
      </c>
      <c r="B27" s="39" t="s">
        <v>525</v>
      </c>
      <c r="C27" s="467" t="e">
        <f>VLOOKUP($I$3,'Data - CFR 202526'!$B$4:$CJ$143,16,FALSE)</f>
        <v>#N/A</v>
      </c>
      <c r="D27" s="330" t="s">
        <v>526</v>
      </c>
      <c r="E27" s="467" t="e">
        <f>VLOOKUP($I$3,'Data - 2026-27Approved Budget'!$B$3:$CJ$140,16,FALSE)</f>
        <v>#N/A</v>
      </c>
      <c r="F27" s="340"/>
      <c r="G27" s="468">
        <f>_xlfn.IFNA(VLOOKUP(CONCATENATE($A27,D27),'SBS BvA Report (Table)'!$A:$N,5,0),0)</f>
        <v>0</v>
      </c>
      <c r="H27" s="340"/>
      <c r="I27" s="468">
        <f>IF($O$3="Y",_xlfn.IFNA(VLOOKUP(CONCATENATE($A27,$D27),'SBS BvA Report (Table)'!$A:$N,6,0),0),_xlfn.IFNA(-VLOOKUP(CONCATENATE($A27,$D27),'SBS BvA Report (Table)'!$A:$N,6,0),0))</f>
        <v>0</v>
      </c>
      <c r="J27" s="485">
        <f t="shared" si="1"/>
        <v>0</v>
      </c>
      <c r="K27" s="468">
        <f>_xlfn.IFNA(VLOOKUP(CONCATENATE($A27,$D27),'SBS BvA Report (Table)'!$A:$N,12,0),0)</f>
        <v>0</v>
      </c>
      <c r="L27" s="341"/>
      <c r="M27" s="143" t="e">
        <f t="shared" si="0"/>
        <v>#N/A</v>
      </c>
      <c r="N27" s="340"/>
      <c r="O27" s="490"/>
      <c r="P27" s="482"/>
    </row>
    <row r="28" spans="1:16" s="332" customFormat="1" ht="19.5" customHeight="1">
      <c r="A28" s="38" t="s">
        <v>527</v>
      </c>
      <c r="B28" s="39" t="s">
        <v>528</v>
      </c>
      <c r="C28" s="467" t="e">
        <f>VLOOKUP($I$3,'Data - CFR 202526'!$B$4:$CJ$143,17,FALSE)</f>
        <v>#N/A</v>
      </c>
      <c r="D28" s="330" t="s">
        <v>529</v>
      </c>
      <c r="E28" s="467" t="e">
        <f>VLOOKUP($I$3,'Data - 2026-27Approved Budget'!$B$3:$CJ$140,17,FALSE)</f>
        <v>#N/A</v>
      </c>
      <c r="F28" s="340"/>
      <c r="G28" s="468">
        <f>_xlfn.IFNA(VLOOKUP(CONCATENATE($A28,D28),'SBS BvA Report (Table)'!$A:$N,5,0),0)</f>
        <v>0</v>
      </c>
      <c r="H28" s="340"/>
      <c r="I28" s="468">
        <f>IF($O$3="Y",_xlfn.IFNA(VLOOKUP(CONCATENATE($A28,$D28),'SBS BvA Report (Table)'!$A:$N,6,0),0),_xlfn.IFNA(-VLOOKUP(CONCATENATE($A28,$D28),'SBS BvA Report (Table)'!$A:$N,6,0),0))</f>
        <v>0</v>
      </c>
      <c r="J28" s="485">
        <f t="shared" si="1"/>
        <v>0</v>
      </c>
      <c r="K28" s="468">
        <f>_xlfn.IFNA(VLOOKUP(CONCATENATE($A28,$D28),'SBS BvA Report (Table)'!$A:$N,12,0),0)</f>
        <v>0</v>
      </c>
      <c r="L28" s="341"/>
      <c r="M28" s="143" t="e">
        <f t="shared" si="0"/>
        <v>#N/A</v>
      </c>
      <c r="N28" s="340"/>
      <c r="O28" s="490"/>
      <c r="P28" s="482"/>
    </row>
    <row r="29" spans="1:16" s="332" customFormat="1" ht="19.5" customHeight="1">
      <c r="A29" s="38" t="s">
        <v>530</v>
      </c>
      <c r="B29" s="39" t="s">
        <v>531</v>
      </c>
      <c r="C29" s="467" t="e">
        <f>VLOOKUP($I$3,'Data - CFR 202526'!$B$4:$CJ$143,18,FALSE)</f>
        <v>#N/A</v>
      </c>
      <c r="D29" s="330" t="s">
        <v>532</v>
      </c>
      <c r="E29" s="467" t="e">
        <f>VLOOKUP($I$3,'Data - 2026-27Approved Budget'!$B$3:$CJ$140,18,FALSE)</f>
        <v>#N/A</v>
      </c>
      <c r="F29" s="340"/>
      <c r="G29" s="468">
        <f>_xlfn.IFNA(VLOOKUP(CONCATENATE($A29,D29),'SBS BvA Report (Table)'!$A:$N,5,0),0)</f>
        <v>0</v>
      </c>
      <c r="H29" s="340"/>
      <c r="I29" s="468">
        <f>IF($O$3="Y",_xlfn.IFNA(VLOOKUP(CONCATENATE($A29,$D29),'SBS BvA Report (Table)'!$A:$N,6,0),0),_xlfn.IFNA(-VLOOKUP(CONCATENATE($A29,$D29),'SBS BvA Report (Table)'!$A:$N,6,0),0))</f>
        <v>0</v>
      </c>
      <c r="J29" s="485">
        <f t="shared" si="1"/>
        <v>0</v>
      </c>
      <c r="K29" s="468">
        <f>_xlfn.IFNA(VLOOKUP(CONCATENATE($A29,$D29),'SBS BvA Report (Table)'!$A:$N,12,0),0)</f>
        <v>0</v>
      </c>
      <c r="L29" s="341"/>
      <c r="M29" s="143" t="e">
        <f t="shared" si="0"/>
        <v>#N/A</v>
      </c>
      <c r="N29" s="340"/>
      <c r="O29" s="490"/>
      <c r="P29" s="482"/>
    </row>
    <row r="30" spans="1:16" s="332" customFormat="1" ht="19.5" customHeight="1">
      <c r="A30" s="38" t="s">
        <v>533</v>
      </c>
      <c r="B30" s="39" t="s">
        <v>534</v>
      </c>
      <c r="C30" s="467" t="e">
        <f>VLOOKUP($I$3,'Data - CFR 202526'!$B$4:$CJ$143,19,FALSE)</f>
        <v>#N/A</v>
      </c>
      <c r="D30" s="330"/>
      <c r="E30" s="467" t="e">
        <f>VLOOKUP($I$3,'Data - 2026-27Approved Budget'!$B$3:$CJ$140,19,FALSE)</f>
        <v>#N/A</v>
      </c>
      <c r="F30" s="340"/>
      <c r="G30" s="468">
        <f>_xlfn.IFNA(VLOOKUP(CONCATENATE($A30,D30),'SBS BvA Report (Table)'!$A:$N,5,0),0)</f>
        <v>0</v>
      </c>
      <c r="H30" s="340"/>
      <c r="I30" s="468">
        <f>IF($O$3="Y",_xlfn.IFNA(VLOOKUP(CONCATENATE($A30,$D30),'SBS BvA Report (Table)'!$A:$N,6,0),0),_xlfn.IFNA(-VLOOKUP(CONCATENATE($A30,$D30),'SBS BvA Report (Table)'!$A:$N,6,0),0))</f>
        <v>0</v>
      </c>
      <c r="J30" s="485">
        <f t="shared" si="1"/>
        <v>0</v>
      </c>
      <c r="K30" s="468">
        <f>_xlfn.IFNA(VLOOKUP(CONCATENATE($A30,$D30),'SBS BvA Report (Table)'!$A:$N,12,0),0)</f>
        <v>0</v>
      </c>
      <c r="L30" s="341"/>
      <c r="M30" s="143" t="e">
        <f t="shared" si="0"/>
        <v>#N/A</v>
      </c>
      <c r="N30" s="340"/>
      <c r="O30" s="490"/>
      <c r="P30" s="482"/>
    </row>
    <row r="31" spans="1:16" s="332" customFormat="1" ht="19.5" customHeight="1">
      <c r="A31" s="38" t="s">
        <v>535</v>
      </c>
      <c r="B31" s="39" t="s">
        <v>1516</v>
      </c>
      <c r="C31" s="467" t="e">
        <f>VLOOKUP($I$3,'Data - CFR 202526'!$B$4:$CJ$143,20,FALSE)</f>
        <v>#N/A</v>
      </c>
      <c r="D31" s="330" t="s">
        <v>537</v>
      </c>
      <c r="E31" s="467" t="e">
        <f>VLOOKUP($I$3,'Data - 2026-27Approved Budget'!$B$3:$CJ$140,20,FALSE)</f>
        <v>#N/A</v>
      </c>
      <c r="F31" s="340"/>
      <c r="G31" s="468">
        <f>_xlfn.IFNA(VLOOKUP(CONCATENATE($A31,D31),'SBS BvA Report (Table)'!$A:$N,5,0),0)</f>
        <v>0</v>
      </c>
      <c r="H31" s="340"/>
      <c r="I31" s="468">
        <f>IF($O$3="Y",_xlfn.IFNA(VLOOKUP(CONCATENATE($A31,$D31),'SBS BvA Report (Table)'!$A:$N,6,0),0),_xlfn.IFNA(-VLOOKUP(CONCATENATE($A31,$D31),'SBS BvA Report (Table)'!$A:$N,6,0),0))</f>
        <v>0</v>
      </c>
      <c r="J31" s="485">
        <f t="shared" si="1"/>
        <v>0</v>
      </c>
      <c r="K31" s="468">
        <f>_xlfn.IFNA(VLOOKUP(CONCATENATE($A31,$D31),'SBS BvA Report (Table)'!$A:$N,12,0),0)</f>
        <v>0</v>
      </c>
      <c r="L31" s="341"/>
      <c r="M31" s="143" t="e">
        <f t="shared" si="0"/>
        <v>#N/A</v>
      </c>
      <c r="N31" s="340"/>
      <c r="O31" s="490"/>
      <c r="P31" s="482"/>
    </row>
    <row r="32" spans="1:16" s="332" customFormat="1" ht="19.5" customHeight="1">
      <c r="A32" s="38" t="s">
        <v>538</v>
      </c>
      <c r="B32" s="39" t="s">
        <v>1516</v>
      </c>
      <c r="C32" s="467" t="e">
        <f>VLOOKUP($I$3,'Data - CFR 202526'!$B$4:$CJ$143,21,FALSE)</f>
        <v>#N/A</v>
      </c>
      <c r="D32" s="330" t="s">
        <v>539</v>
      </c>
      <c r="E32" s="467" t="e">
        <f>VLOOKUP($I$3,'Data - 2026-27Approved Budget'!$B$3:$CJ$140,21,FALSE)</f>
        <v>#N/A</v>
      </c>
      <c r="F32" s="340"/>
      <c r="G32" s="468">
        <f>_xlfn.IFNA(VLOOKUP(CONCATENATE($A32,D32),'SBS BvA Report (Table)'!$A:$N,5,0),0)</f>
        <v>0</v>
      </c>
      <c r="H32" s="340"/>
      <c r="I32" s="468">
        <f>IF($O$3="Y",_xlfn.IFNA(VLOOKUP(CONCATENATE($A32,$D32),'SBS BvA Report (Table)'!$A:$N,6,0),0),_xlfn.IFNA(-VLOOKUP(CONCATENATE($A32,$D32),'SBS BvA Report (Table)'!$A:$N,6,0),0))</f>
        <v>0</v>
      </c>
      <c r="J32" s="485">
        <f t="shared" si="1"/>
        <v>0</v>
      </c>
      <c r="K32" s="468">
        <f>_xlfn.IFNA(VLOOKUP(CONCATENATE($A32,$D32),'SBS BvA Report (Table)'!$A:$N,12,0),0)</f>
        <v>0</v>
      </c>
      <c r="L32" s="341"/>
      <c r="M32" s="143" t="e">
        <f t="shared" si="0"/>
        <v>#N/A</v>
      </c>
      <c r="N32" s="340"/>
      <c r="O32" s="490"/>
      <c r="P32" s="482"/>
    </row>
    <row r="33" spans="1:16" s="332" customFormat="1" ht="19.5" customHeight="1">
      <c r="A33" s="38" t="s">
        <v>540</v>
      </c>
      <c r="B33" s="39" t="s">
        <v>1516</v>
      </c>
      <c r="C33" s="467" t="e">
        <f>VLOOKUP($I$3,'Data - CFR 202526'!$B$4:$CJ$143,22,FALSE)</f>
        <v>#N/A</v>
      </c>
      <c r="D33" s="330" t="s">
        <v>541</v>
      </c>
      <c r="E33" s="467" t="e">
        <f>VLOOKUP($I$3,'Data - 2026-27Approved Budget'!$B$3:$CJ$140,22,FALSE)</f>
        <v>#N/A</v>
      </c>
      <c r="F33" s="340"/>
      <c r="G33" s="468">
        <f>_xlfn.IFNA(VLOOKUP(CONCATENATE($A33,D33),'SBS BvA Report (Table)'!$A:$N,5,0),0)</f>
        <v>0</v>
      </c>
      <c r="H33" s="340"/>
      <c r="I33" s="468">
        <f>IF($O$3="Y",_xlfn.IFNA(VLOOKUP(CONCATENATE($A33,$D33),'SBS BvA Report (Table)'!$A:$N,6,0),0),_xlfn.IFNA(-VLOOKUP(CONCATENATE($A33,$D33),'SBS BvA Report (Table)'!$A:$N,6,0),0))</f>
        <v>0</v>
      </c>
      <c r="J33" s="485">
        <f t="shared" si="1"/>
        <v>0</v>
      </c>
      <c r="K33" s="468">
        <f>_xlfn.IFNA(VLOOKUP(CONCATENATE($A33,$D33),'SBS BvA Report (Table)'!$A:$N,12,0),0)</f>
        <v>0</v>
      </c>
      <c r="L33" s="341"/>
      <c r="M33" s="143" t="e">
        <f t="shared" si="0"/>
        <v>#N/A</v>
      </c>
      <c r="N33" s="340"/>
      <c r="O33" s="490"/>
      <c r="P33" s="482"/>
    </row>
    <row r="34" spans="1:16" s="332" customFormat="1" ht="19.5" customHeight="1" thickBot="1">
      <c r="A34" s="40" t="s">
        <v>542</v>
      </c>
      <c r="B34" s="39" t="s">
        <v>1516</v>
      </c>
      <c r="C34" s="467" t="e">
        <f>VLOOKUP($I$3,'Data - CFR 202526'!$B$4:$CJ$143,23,FALSE)</f>
        <v>#N/A</v>
      </c>
      <c r="D34" s="330" t="s">
        <v>544</v>
      </c>
      <c r="E34" s="467" t="e">
        <f>VLOOKUP($I$3,'Data - 2026-27Approved Budget'!$B$3:$CJ$140,23,FALSE)</f>
        <v>#N/A</v>
      </c>
      <c r="F34" s="340"/>
      <c r="G34" s="468">
        <f>_xlfn.IFNA(VLOOKUP(CONCATENATE($A34,D34),'SBS BvA Report (Table)'!$A:$N,5,0),0)</f>
        <v>0</v>
      </c>
      <c r="H34" s="340"/>
      <c r="I34" s="468">
        <f>IF($O$3="Y",_xlfn.IFNA(VLOOKUP(CONCATENATE($A34,$D34),'SBS BvA Report (Table)'!$A:$N,6,0),0),_xlfn.IFNA(-VLOOKUP(CONCATENATE($A34,$D34),'SBS BvA Report (Table)'!$A:$N,6,0),0))</f>
        <v>0</v>
      </c>
      <c r="J34" s="485">
        <f t="shared" si="1"/>
        <v>0</v>
      </c>
      <c r="K34" s="468">
        <f>_xlfn.IFNA(VLOOKUP(CONCATENATE($A34,$D34),'SBS BvA Report (Table)'!$A:$N,12,0),0)</f>
        <v>0</v>
      </c>
      <c r="L34" s="341"/>
      <c r="M34" s="143" t="e">
        <f t="shared" si="0"/>
        <v>#N/A</v>
      </c>
      <c r="N34" s="340"/>
      <c r="O34" s="490"/>
      <c r="P34" s="482"/>
    </row>
    <row r="35" spans="1:16" s="332" customFormat="1" ht="19.5" customHeight="1" thickBot="1">
      <c r="A35" s="38"/>
      <c r="B35" s="41" t="s">
        <v>545</v>
      </c>
      <c r="C35" s="1" t="e">
        <f>SUM(C16:C34)</f>
        <v>#N/A</v>
      </c>
      <c r="D35" s="331"/>
      <c r="E35" s="1" t="e">
        <f>SUM(E16:E34)</f>
        <v>#N/A</v>
      </c>
      <c r="F35" s="340"/>
      <c r="G35" s="1">
        <f>SUM(G16:G34)</f>
        <v>0</v>
      </c>
      <c r="H35" s="340"/>
      <c r="I35" s="1">
        <f>SUM(I16:I34)</f>
        <v>0</v>
      </c>
      <c r="J35" s="486">
        <f>IF(OR(I35="",I35=0),0%,I35/K35)</f>
        <v>0</v>
      </c>
      <c r="K35" s="1">
        <f>SUM(K16:K34)</f>
        <v>0</v>
      </c>
      <c r="L35" s="64"/>
      <c r="M35" s="144" t="e">
        <f>SUM(M16:M34)</f>
        <v>#N/A</v>
      </c>
      <c r="O35" s="474"/>
      <c r="P35" s="340"/>
    </row>
    <row r="36" spans="1:16" s="332" customFormat="1" ht="12" customHeight="1">
      <c r="A36" s="38"/>
      <c r="B36" s="41"/>
      <c r="C36" s="6"/>
      <c r="D36" s="331"/>
      <c r="E36" s="6"/>
      <c r="G36" s="6"/>
      <c r="I36" s="6"/>
      <c r="J36" s="317"/>
      <c r="K36" s="6"/>
      <c r="L36" s="51"/>
      <c r="M36" s="6"/>
      <c r="O36" s="334"/>
      <c r="P36" s="340"/>
    </row>
    <row r="37" spans="1:16" s="332" customFormat="1" ht="96.6">
      <c r="A37" s="47" t="str">
        <f>B3</f>
        <v>Please Click on Arrow to Choose School</v>
      </c>
      <c r="B37" s="41"/>
      <c r="C37" s="134" t="s">
        <v>1514</v>
      </c>
      <c r="D37" s="135"/>
      <c r="E37" s="134" t="s">
        <v>1515</v>
      </c>
      <c r="F37" s="136"/>
      <c r="G37" s="134" t="s">
        <v>482</v>
      </c>
      <c r="H37" s="136"/>
      <c r="I37" s="134" t="s">
        <v>483</v>
      </c>
      <c r="J37" s="315" t="s">
        <v>484</v>
      </c>
      <c r="K37" s="134" t="s">
        <v>1597</v>
      </c>
      <c r="L37" s="134"/>
      <c r="M37" s="134" t="s">
        <v>1598</v>
      </c>
      <c r="N37" s="131"/>
      <c r="O37" s="134" t="s">
        <v>546</v>
      </c>
      <c r="P37" s="481" t="s">
        <v>1468</v>
      </c>
    </row>
    <row r="38" spans="1:16" s="62" customFormat="1" ht="23.25" customHeight="1">
      <c r="A38" s="33"/>
      <c r="B38" s="137"/>
      <c r="C38" s="559" t="s">
        <v>486</v>
      </c>
      <c r="D38" s="559"/>
      <c r="E38" s="559"/>
      <c r="F38" s="559"/>
      <c r="G38" s="559"/>
      <c r="H38" s="559"/>
      <c r="I38" s="559"/>
      <c r="J38" s="559"/>
      <c r="K38" s="559"/>
      <c r="L38" s="559"/>
      <c r="M38" s="559"/>
      <c r="N38" s="339"/>
      <c r="O38" s="338"/>
      <c r="P38" s="479"/>
    </row>
    <row r="39" spans="1:16" s="332" customFormat="1" ht="19.5" customHeight="1">
      <c r="A39" s="44" t="s">
        <v>487</v>
      </c>
      <c r="B39" s="35" t="s">
        <v>547</v>
      </c>
      <c r="C39" s="42" t="s">
        <v>489</v>
      </c>
      <c r="D39" s="37"/>
      <c r="E39" s="42" t="s">
        <v>489</v>
      </c>
      <c r="G39" s="42" t="s">
        <v>489</v>
      </c>
      <c r="I39" s="42" t="s">
        <v>489</v>
      </c>
      <c r="J39" s="517">
        <f>$K$5/100</f>
        <v>0.25</v>
      </c>
      <c r="K39" s="42" t="s">
        <v>489</v>
      </c>
      <c r="L39" s="128"/>
      <c r="M39" s="42" t="s">
        <v>489</v>
      </c>
      <c r="O39" s="334"/>
      <c r="P39" s="480"/>
    </row>
    <row r="40" spans="1:16" s="332" customFormat="1" ht="19.5" customHeight="1">
      <c r="A40" s="38" t="s">
        <v>548</v>
      </c>
      <c r="B40" s="39" t="s">
        <v>549</v>
      </c>
      <c r="C40" s="469" t="e">
        <f>VLOOKUP($I$3,'Data - CFR 202526'!$B$4:$CJ$143,25,FALSE)</f>
        <v>#N/A</v>
      </c>
      <c r="D40" s="330" t="s">
        <v>550</v>
      </c>
      <c r="E40" s="469" t="e">
        <f>VLOOKUP($I$3,'Data - 2026-27Approved Budget'!$B$3:$CJ$140,25,FALSE)</f>
        <v>#N/A</v>
      </c>
      <c r="F40" s="340"/>
      <c r="G40" s="470">
        <f>_xlfn.IFNA(VLOOKUP(CONCATENATE($A40,$D40),'SBS BvA Report (Table)'!$A:$N,5,0),0)</f>
        <v>0</v>
      </c>
      <c r="H40" s="340"/>
      <c r="I40" s="470">
        <f>_xlfn.IFNA(VLOOKUP(CONCATENATE($A40,$D40),'SBS BvA Report (Table)'!$A:$N,6,0),0)</f>
        <v>0</v>
      </c>
      <c r="J40" s="485">
        <f t="shared" ref="J40:J70" si="2">IFERROR(IF(I40="",0%,I40/K40),0)</f>
        <v>0</v>
      </c>
      <c r="K40" s="470">
        <f>_xlfn.IFNA(VLOOKUP(CONCATENATE($A40,$D40),'SBS BvA Report (Table)'!$A:$N,12,0),0)</f>
        <v>0</v>
      </c>
      <c r="L40" s="341"/>
      <c r="M40" s="143" t="e">
        <f>IF(G40="",(K40-E40),(K40-E40))</f>
        <v>#N/A</v>
      </c>
      <c r="N40" s="340"/>
      <c r="O40" s="490"/>
      <c r="P40" s="482"/>
    </row>
    <row r="41" spans="1:16" s="332" customFormat="1" ht="19.5" customHeight="1">
      <c r="A41" s="38" t="s">
        <v>551</v>
      </c>
      <c r="B41" s="39" t="s">
        <v>552</v>
      </c>
      <c r="C41" s="469" t="e">
        <f>VLOOKUP($I$3,'Data - CFR 202526'!$B$4:$CJ$143,26,FALSE)</f>
        <v>#N/A</v>
      </c>
      <c r="D41" s="330" t="s">
        <v>553</v>
      </c>
      <c r="E41" s="469" t="e">
        <f>VLOOKUP($I$3,'Data - 2026-27Approved Budget'!$B$3:$CJ$140,26,FALSE)</f>
        <v>#N/A</v>
      </c>
      <c r="F41" s="340"/>
      <c r="G41" s="468">
        <f>_xlfn.IFNA(VLOOKUP(CONCATENATE($A41,$D41),'SBS BvA Report (Table)'!$A:$N,5,0),0)</f>
        <v>0</v>
      </c>
      <c r="H41" s="340"/>
      <c r="I41" s="468">
        <f>_xlfn.IFNA(VLOOKUP(CONCATENATE($A41,$D41),'SBS BvA Report (Table)'!$A:$N,6,0),0)</f>
        <v>0</v>
      </c>
      <c r="J41" s="485">
        <f t="shared" si="2"/>
        <v>0</v>
      </c>
      <c r="K41" s="470">
        <f>_xlfn.IFNA(VLOOKUP(CONCATENATE($A41,$D41),'SBS BvA Report (Table)'!$A:$N,12,0),0)</f>
        <v>0</v>
      </c>
      <c r="L41" s="341"/>
      <c r="M41" s="143" t="e">
        <f t="shared" ref="M41:M70" si="3">IF(G41="",(K41-E41),(K41-E41))</f>
        <v>#N/A</v>
      </c>
      <c r="N41" s="340"/>
      <c r="O41" s="490"/>
      <c r="P41" s="482"/>
    </row>
    <row r="42" spans="1:16" s="332" customFormat="1" ht="19.5" customHeight="1">
      <c r="A42" s="38" t="s">
        <v>554</v>
      </c>
      <c r="B42" s="39" t="s">
        <v>555</v>
      </c>
      <c r="C42" s="469" t="e">
        <f>VLOOKUP($I$3,'Data - CFR 202526'!$B$4:$CJ$143,27,FALSE)</f>
        <v>#N/A</v>
      </c>
      <c r="D42" s="330" t="s">
        <v>556</v>
      </c>
      <c r="E42" s="469" t="e">
        <f>VLOOKUP($I$3,'Data - 2026-27Approved Budget'!$B$3:$CJ$140,27,FALSE)</f>
        <v>#N/A</v>
      </c>
      <c r="F42" s="340"/>
      <c r="G42" s="468">
        <f>_xlfn.IFNA(VLOOKUP(CONCATENATE($A42,$D42),'SBS BvA Report (Table)'!$A:$N,5,0),0)</f>
        <v>0</v>
      </c>
      <c r="H42" s="340"/>
      <c r="I42" s="468">
        <f>_xlfn.IFNA(VLOOKUP(CONCATENATE($A42,$D42),'SBS BvA Report (Table)'!$A:$N,6,0),0)</f>
        <v>0</v>
      </c>
      <c r="J42" s="485">
        <f t="shared" si="2"/>
        <v>0</v>
      </c>
      <c r="K42" s="470">
        <f>_xlfn.IFNA(VLOOKUP(CONCATENATE($A42,$D42),'SBS BvA Report (Table)'!$A:$N,12,0),0)</f>
        <v>0</v>
      </c>
      <c r="L42" s="341"/>
      <c r="M42" s="143" t="e">
        <f t="shared" si="3"/>
        <v>#N/A</v>
      </c>
      <c r="N42" s="340"/>
      <c r="O42" s="490"/>
      <c r="P42" s="482"/>
    </row>
    <row r="43" spans="1:16" s="332" customFormat="1" ht="19.5" customHeight="1">
      <c r="A43" s="38" t="s">
        <v>557</v>
      </c>
      <c r="B43" s="39" t="s">
        <v>558</v>
      </c>
      <c r="C43" s="469" t="e">
        <f>VLOOKUP($I$3,'Data - CFR 202526'!$B$4:$CJ$143,28,FALSE)</f>
        <v>#N/A</v>
      </c>
      <c r="D43" s="330" t="s">
        <v>559</v>
      </c>
      <c r="E43" s="469" t="e">
        <f>VLOOKUP($I$3,'Data - 2026-27Approved Budget'!$B$3:$CJ$140,28,FALSE)</f>
        <v>#N/A</v>
      </c>
      <c r="F43" s="340"/>
      <c r="G43" s="468">
        <f>_xlfn.IFNA(VLOOKUP(CONCATENATE($A43,$D43),'SBS BvA Report (Table)'!$A:$N,5,0),0)</f>
        <v>0</v>
      </c>
      <c r="H43" s="340"/>
      <c r="I43" s="468">
        <f>_xlfn.IFNA(VLOOKUP(CONCATENATE($A43,$D43),'SBS BvA Report (Table)'!$A:$N,6,0),0)</f>
        <v>0</v>
      </c>
      <c r="J43" s="485">
        <f t="shared" si="2"/>
        <v>0</v>
      </c>
      <c r="K43" s="470">
        <f>_xlfn.IFNA(VLOOKUP(CONCATENATE($A43,$D43),'SBS BvA Report (Table)'!$A:$N,12,0),0)</f>
        <v>0</v>
      </c>
      <c r="L43" s="341"/>
      <c r="M43" s="143" t="e">
        <f t="shared" si="3"/>
        <v>#N/A</v>
      </c>
      <c r="N43" s="340"/>
      <c r="O43" s="490"/>
      <c r="P43" s="482"/>
    </row>
    <row r="44" spans="1:16" s="332" customFormat="1" ht="19.5" customHeight="1">
      <c r="A44" s="38" t="s">
        <v>560</v>
      </c>
      <c r="B44" s="39" t="s">
        <v>561</v>
      </c>
      <c r="C44" s="469" t="e">
        <f>VLOOKUP($I$3,'Data - CFR 202526'!$B$4:$CJ$143,29,FALSE)</f>
        <v>#N/A</v>
      </c>
      <c r="D44" s="330" t="s">
        <v>562</v>
      </c>
      <c r="E44" s="469" t="e">
        <f>VLOOKUP($I$3,'Data - 2026-27Approved Budget'!$B$3:$CJ$140,29,FALSE)</f>
        <v>#N/A</v>
      </c>
      <c r="F44" s="340"/>
      <c r="G44" s="468">
        <f>_xlfn.IFNA(VLOOKUP(CONCATENATE($A44,$D44),'SBS BvA Report (Table)'!$A:$N,5,0),0)</f>
        <v>0</v>
      </c>
      <c r="H44" s="340"/>
      <c r="I44" s="468">
        <f>_xlfn.IFNA(VLOOKUP(CONCATENATE($A44,$D44),'SBS BvA Report (Table)'!$A:$N,6,0),0)</f>
        <v>0</v>
      </c>
      <c r="J44" s="485">
        <f t="shared" si="2"/>
        <v>0</v>
      </c>
      <c r="K44" s="470">
        <f>_xlfn.IFNA(VLOOKUP(CONCATENATE($A44,$D44),'SBS BvA Report (Table)'!$A:$N,12,0),0)</f>
        <v>0</v>
      </c>
      <c r="L44" s="341"/>
      <c r="M44" s="143" t="e">
        <f t="shared" si="3"/>
        <v>#N/A</v>
      </c>
      <c r="N44" s="340"/>
      <c r="O44" s="490"/>
      <c r="P44" s="482"/>
    </row>
    <row r="45" spans="1:16" s="332" customFormat="1" ht="19.5" customHeight="1">
      <c r="A45" s="38" t="s">
        <v>563</v>
      </c>
      <c r="B45" s="39" t="s">
        <v>564</v>
      </c>
      <c r="C45" s="469" t="e">
        <f>VLOOKUP($I$3,'Data - CFR 202526'!$B$4:$CJ$143,30,FALSE)</f>
        <v>#N/A</v>
      </c>
      <c r="D45" s="330" t="s">
        <v>565</v>
      </c>
      <c r="E45" s="469" t="e">
        <f>VLOOKUP($I$3,'Data - 2026-27Approved Budget'!$B$3:$CJ$140,30,FALSE)</f>
        <v>#N/A</v>
      </c>
      <c r="F45" s="340"/>
      <c r="G45" s="468">
        <f>_xlfn.IFNA(VLOOKUP(CONCATENATE($A45,$D45),'SBS BvA Report (Table)'!$A:$N,5,0),0)</f>
        <v>0</v>
      </c>
      <c r="H45" s="340"/>
      <c r="I45" s="468">
        <f>_xlfn.IFNA(VLOOKUP(CONCATENATE($A45,$D45),'SBS BvA Report (Table)'!$A:$N,6,0),0)</f>
        <v>0</v>
      </c>
      <c r="J45" s="485">
        <f t="shared" si="2"/>
        <v>0</v>
      </c>
      <c r="K45" s="470">
        <f>_xlfn.IFNA(VLOOKUP(CONCATENATE($A45,$D45),'SBS BvA Report (Table)'!$A:$N,12,0),0)</f>
        <v>0</v>
      </c>
      <c r="L45" s="341"/>
      <c r="M45" s="143" t="e">
        <f t="shared" si="3"/>
        <v>#N/A</v>
      </c>
      <c r="N45" s="340"/>
      <c r="O45" s="490"/>
      <c r="P45" s="482"/>
    </row>
    <row r="46" spans="1:16" s="332" customFormat="1" ht="19.5" customHeight="1">
      <c r="A46" s="38" t="s">
        <v>566</v>
      </c>
      <c r="B46" s="39" t="s">
        <v>567</v>
      </c>
      <c r="C46" s="469" t="e">
        <f>VLOOKUP($I$3,'Data - CFR 202526'!$B$4:$CJ$143,31,FALSE)</f>
        <v>#N/A</v>
      </c>
      <c r="D46" s="330" t="s">
        <v>568</v>
      </c>
      <c r="E46" s="469" t="e">
        <f>VLOOKUP($I$3,'Data - 2026-27Approved Budget'!$B$3:$CJ$140,31,FALSE)</f>
        <v>#N/A</v>
      </c>
      <c r="F46" s="340"/>
      <c r="G46" s="468">
        <f>_xlfn.IFNA(VLOOKUP(CONCATENATE($A46,$D46),'SBS BvA Report (Table)'!$A:$N,5,0),0)</f>
        <v>0</v>
      </c>
      <c r="H46" s="340"/>
      <c r="I46" s="468">
        <f>_xlfn.IFNA(VLOOKUP(CONCATENATE($A46,$D46),'SBS BvA Report (Table)'!$A:$N,6,0),0)</f>
        <v>0</v>
      </c>
      <c r="J46" s="485">
        <f t="shared" si="2"/>
        <v>0</v>
      </c>
      <c r="K46" s="470">
        <f>_xlfn.IFNA(VLOOKUP(CONCATENATE($A46,$D46),'SBS BvA Report (Table)'!$A:$N,12,0),0)</f>
        <v>0</v>
      </c>
      <c r="L46" s="341"/>
      <c r="M46" s="143" t="e">
        <f t="shared" si="3"/>
        <v>#N/A</v>
      </c>
      <c r="N46" s="340"/>
      <c r="O46" s="490"/>
      <c r="P46" s="482"/>
    </row>
    <row r="47" spans="1:16" s="332" customFormat="1" ht="19.5" customHeight="1">
      <c r="A47" s="38" t="s">
        <v>569</v>
      </c>
      <c r="B47" s="39" t="s">
        <v>570</v>
      </c>
      <c r="C47" s="469" t="e">
        <f>VLOOKUP($I$3,'Data - CFR 202526'!$B$4:$CJ$143,32,FALSE)</f>
        <v>#N/A</v>
      </c>
      <c r="D47" s="330" t="s">
        <v>571</v>
      </c>
      <c r="E47" s="469" t="e">
        <f>VLOOKUP($I$3,'Data - 2026-27Approved Budget'!$B$3:$CJ$140,32,FALSE)</f>
        <v>#N/A</v>
      </c>
      <c r="F47" s="340"/>
      <c r="G47" s="468">
        <f>_xlfn.IFNA(VLOOKUP(CONCATENATE($A47,$D47),'SBS BvA Report (Table)'!$A:$N,5,0),0)</f>
        <v>0</v>
      </c>
      <c r="H47" s="340"/>
      <c r="I47" s="468">
        <f>_xlfn.IFNA(VLOOKUP(CONCATENATE($A47,$D47),'SBS BvA Report (Table)'!$A:$N,6,0),0)</f>
        <v>0</v>
      </c>
      <c r="J47" s="485">
        <f t="shared" si="2"/>
        <v>0</v>
      </c>
      <c r="K47" s="470">
        <f>_xlfn.IFNA(VLOOKUP(CONCATENATE($A47,$D47),'SBS BvA Report (Table)'!$A:$N,12,0),0)</f>
        <v>0</v>
      </c>
      <c r="L47" s="341"/>
      <c r="M47" s="143" t="e">
        <f t="shared" si="3"/>
        <v>#N/A</v>
      </c>
      <c r="N47" s="340"/>
      <c r="O47" s="490"/>
      <c r="P47" s="482"/>
    </row>
    <row r="48" spans="1:16" s="332" customFormat="1" ht="19.5" customHeight="1">
      <c r="A48" s="38" t="s">
        <v>572</v>
      </c>
      <c r="B48" s="39" t="s">
        <v>573</v>
      </c>
      <c r="C48" s="469" t="e">
        <f>VLOOKUP($I$3,'Data - CFR 202526'!$B$4:$CJ$143,33,FALSE)</f>
        <v>#N/A</v>
      </c>
      <c r="D48" s="330" t="s">
        <v>574</v>
      </c>
      <c r="E48" s="469" t="e">
        <f>VLOOKUP($I$3,'Data - 2026-27Approved Budget'!$B$3:$CJ$140,33,FALSE)</f>
        <v>#N/A</v>
      </c>
      <c r="F48" s="340"/>
      <c r="G48" s="468">
        <f>_xlfn.IFNA(VLOOKUP(CONCATENATE($A48,$D48),'SBS BvA Report (Table)'!$A:$N,5,0),0)</f>
        <v>0</v>
      </c>
      <c r="H48" s="340"/>
      <c r="I48" s="468">
        <f>_xlfn.IFNA(VLOOKUP(CONCATENATE($A48,$D48),'SBS BvA Report (Table)'!$A:$N,6,0),0)</f>
        <v>0</v>
      </c>
      <c r="J48" s="485">
        <f t="shared" si="2"/>
        <v>0</v>
      </c>
      <c r="K48" s="470">
        <f>_xlfn.IFNA(VLOOKUP(CONCATENATE($A48,$D48),'SBS BvA Report (Table)'!$A:$N,12,0),0)</f>
        <v>0</v>
      </c>
      <c r="L48" s="341"/>
      <c r="M48" s="143" t="e">
        <f t="shared" si="3"/>
        <v>#N/A</v>
      </c>
      <c r="N48" s="340"/>
      <c r="O48" s="490"/>
      <c r="P48" s="482"/>
    </row>
    <row r="49" spans="1:15" s="332" customFormat="1" ht="19.5" customHeight="1">
      <c r="A49" s="38" t="s">
        <v>575</v>
      </c>
      <c r="B49" s="39" t="s">
        <v>576</v>
      </c>
      <c r="C49" s="469" t="e">
        <f>VLOOKUP($I$3,'Data - CFR 202526'!$B$4:$CJ$143,34,FALSE)</f>
        <v>#N/A</v>
      </c>
      <c r="D49" s="330" t="s">
        <v>577</v>
      </c>
      <c r="E49" s="469" t="e">
        <f>VLOOKUP($I$3,'Data - 2026-27Approved Budget'!$B$3:$CJ$140,34,FALSE)</f>
        <v>#N/A</v>
      </c>
      <c r="F49" s="340"/>
      <c r="G49" s="468">
        <f>_xlfn.IFNA(VLOOKUP(CONCATENATE($A49,$D49),'SBS BvA Report (Table)'!$A:$N,5,0),0)</f>
        <v>0</v>
      </c>
      <c r="H49" s="340"/>
      <c r="I49" s="468">
        <f>_xlfn.IFNA(VLOOKUP(CONCATENATE($A49,$D49),'SBS BvA Report (Table)'!$A:$N,6,0),0)</f>
        <v>0</v>
      </c>
      <c r="J49" s="485">
        <f t="shared" si="2"/>
        <v>0</v>
      </c>
      <c r="K49" s="470">
        <f>_xlfn.IFNA(VLOOKUP(CONCATENATE($A49,$D49),'SBS BvA Report (Table)'!$A:$N,12,0),0)</f>
        <v>0</v>
      </c>
      <c r="L49" s="341"/>
      <c r="M49" s="143" t="e">
        <f t="shared" si="3"/>
        <v>#N/A</v>
      </c>
      <c r="N49" s="340"/>
      <c r="O49" s="490"/>
    </row>
    <row r="50" spans="1:15" s="332" customFormat="1" ht="19.5" customHeight="1">
      <c r="A50" s="38" t="s">
        <v>578</v>
      </c>
      <c r="B50" s="39" t="s">
        <v>579</v>
      </c>
      <c r="C50" s="469" t="e">
        <f>VLOOKUP($I$3,'Data - CFR 202526'!$B$4:$CJ$143,35,FALSE)</f>
        <v>#N/A</v>
      </c>
      <c r="D50" s="330" t="s">
        <v>580</v>
      </c>
      <c r="E50" s="469" t="e">
        <f>VLOOKUP($I$3,'Data - 2026-27Approved Budget'!$B$3:$CJ$140,35,FALSE)</f>
        <v>#N/A</v>
      </c>
      <c r="F50" s="340"/>
      <c r="G50" s="468">
        <f>_xlfn.IFNA(VLOOKUP(CONCATENATE($A50,$D50),'SBS BvA Report (Table)'!$A:$N,5,0),0)</f>
        <v>0</v>
      </c>
      <c r="H50" s="340"/>
      <c r="I50" s="468">
        <f>_xlfn.IFNA(VLOOKUP(CONCATENATE($A50,$D50),'SBS BvA Report (Table)'!$A:$N,6,0),0)</f>
        <v>0</v>
      </c>
      <c r="J50" s="485">
        <f t="shared" si="2"/>
        <v>0</v>
      </c>
      <c r="K50" s="470">
        <f>_xlfn.IFNA(VLOOKUP(CONCATENATE($A50,$D50),'SBS BvA Report (Table)'!$A:$N,12,0),0)</f>
        <v>0</v>
      </c>
      <c r="L50" s="341"/>
      <c r="M50" s="143" t="e">
        <f t="shared" si="3"/>
        <v>#N/A</v>
      </c>
      <c r="N50" s="340"/>
      <c r="O50" s="490"/>
    </row>
    <row r="51" spans="1:15" s="332" customFormat="1" ht="19.5" customHeight="1">
      <c r="A51" s="38" t="s">
        <v>581</v>
      </c>
      <c r="B51" s="39" t="s">
        <v>582</v>
      </c>
      <c r="C51" s="469" t="e">
        <f>VLOOKUP($I$3,'Data - CFR 202526'!$B$4:$CJ$143,36,FALSE)</f>
        <v>#N/A</v>
      </c>
      <c r="D51" s="330" t="s">
        <v>583</v>
      </c>
      <c r="E51" s="469" t="e">
        <f>VLOOKUP($I$3,'Data - 2026-27Approved Budget'!$B$3:$CJ$140,36,FALSE)</f>
        <v>#N/A</v>
      </c>
      <c r="F51" s="340"/>
      <c r="G51" s="468">
        <f>_xlfn.IFNA(VLOOKUP(CONCATENATE($A51,$D51),'SBS BvA Report (Table)'!$A:$N,5,0),0)</f>
        <v>0</v>
      </c>
      <c r="H51" s="340"/>
      <c r="I51" s="468">
        <f>_xlfn.IFNA(VLOOKUP(CONCATENATE($A51,$D51),'SBS BvA Report (Table)'!$A:$N,6,0),0)</f>
        <v>0</v>
      </c>
      <c r="J51" s="485">
        <f t="shared" si="2"/>
        <v>0</v>
      </c>
      <c r="K51" s="470">
        <f>_xlfn.IFNA(VLOOKUP(CONCATENATE($A51,$D51),'SBS BvA Report (Table)'!$A:$N,12,0),0)</f>
        <v>0</v>
      </c>
      <c r="L51" s="341"/>
      <c r="M51" s="143" t="e">
        <f t="shared" si="3"/>
        <v>#N/A</v>
      </c>
      <c r="N51" s="340"/>
      <c r="O51" s="490"/>
    </row>
    <row r="52" spans="1:15" s="332" customFormat="1" ht="19.5" customHeight="1">
      <c r="A52" s="38" t="s">
        <v>584</v>
      </c>
      <c r="B52" s="39" t="s">
        <v>585</v>
      </c>
      <c r="C52" s="469" t="e">
        <f>VLOOKUP($I$3,'Data - CFR 202526'!$B$4:$CJ$143,37,FALSE)</f>
        <v>#N/A</v>
      </c>
      <c r="D52" s="330" t="s">
        <v>586</v>
      </c>
      <c r="E52" s="469" t="e">
        <f>VLOOKUP($I$3,'Data - 2026-27Approved Budget'!$B$3:$CJ$140,37,FALSE)</f>
        <v>#N/A</v>
      </c>
      <c r="F52" s="340"/>
      <c r="G52" s="468">
        <f>_xlfn.IFNA(VLOOKUP(CONCATENATE($A52,$D52),'SBS BvA Report (Table)'!$A:$N,5,0),0)</f>
        <v>0</v>
      </c>
      <c r="H52" s="340"/>
      <c r="I52" s="468">
        <f>_xlfn.IFNA(VLOOKUP(CONCATENATE($A52,$D52),'SBS BvA Report (Table)'!$A:$N,6,0),0)</f>
        <v>0</v>
      </c>
      <c r="J52" s="485">
        <f t="shared" si="2"/>
        <v>0</v>
      </c>
      <c r="K52" s="470">
        <f>_xlfn.IFNA(VLOOKUP(CONCATENATE($A52,$D52),'SBS BvA Report (Table)'!$A:$N,12,0),0)</f>
        <v>0</v>
      </c>
      <c r="L52" s="341"/>
      <c r="M52" s="143" t="e">
        <f t="shared" si="3"/>
        <v>#N/A</v>
      </c>
      <c r="N52" s="340"/>
      <c r="O52" s="490"/>
    </row>
    <row r="53" spans="1:15" s="332" customFormat="1" ht="19.5" customHeight="1">
      <c r="A53" s="38" t="s">
        <v>587</v>
      </c>
      <c r="B53" s="39" t="s">
        <v>588</v>
      </c>
      <c r="C53" s="469" t="e">
        <f>VLOOKUP($I$3,'Data - CFR 202526'!$B$4:$CJ$143,38,FALSE)</f>
        <v>#N/A</v>
      </c>
      <c r="D53" s="330" t="s">
        <v>589</v>
      </c>
      <c r="E53" s="469" t="e">
        <f>VLOOKUP($I$3,'Data - 2026-27Approved Budget'!$B$3:$CJ$140,38,FALSE)</f>
        <v>#N/A</v>
      </c>
      <c r="F53" s="340"/>
      <c r="G53" s="468">
        <f>_xlfn.IFNA(VLOOKUP(CONCATENATE($A53,$D53),'SBS BvA Report (Table)'!$A:$N,5,0),0)</f>
        <v>0</v>
      </c>
      <c r="H53" s="340"/>
      <c r="I53" s="468">
        <f>_xlfn.IFNA(VLOOKUP(CONCATENATE($A53,$D53),'SBS BvA Report (Table)'!$A:$N,6,0),0)</f>
        <v>0</v>
      </c>
      <c r="J53" s="485">
        <f t="shared" si="2"/>
        <v>0</v>
      </c>
      <c r="K53" s="470">
        <f>_xlfn.IFNA(VLOOKUP(CONCATENATE($A53,$D53),'SBS BvA Report (Table)'!$A:$N,12,0),0)</f>
        <v>0</v>
      </c>
      <c r="L53" s="341"/>
      <c r="M53" s="143" t="e">
        <f t="shared" si="3"/>
        <v>#N/A</v>
      </c>
      <c r="N53" s="340"/>
      <c r="O53" s="490"/>
    </row>
    <row r="54" spans="1:15" s="332" customFormat="1" ht="19.5" customHeight="1">
      <c r="A54" s="38" t="s">
        <v>590</v>
      </c>
      <c r="B54" s="39" t="s">
        <v>591</v>
      </c>
      <c r="C54" s="469" t="e">
        <f>VLOOKUP($I$3,'Data - CFR 202526'!$B$4:$CJ$143,39,FALSE)</f>
        <v>#N/A</v>
      </c>
      <c r="D54" s="330" t="s">
        <v>592</v>
      </c>
      <c r="E54" s="469" t="e">
        <f>VLOOKUP($I$3,'Data - 2026-27Approved Budget'!$B$3:$CJ$140,39,FALSE)</f>
        <v>#N/A</v>
      </c>
      <c r="F54" s="340"/>
      <c r="G54" s="468">
        <f>_xlfn.IFNA(VLOOKUP(CONCATENATE($A54,$D54),'SBS BvA Report (Table)'!$A:$N,5,0),0)</f>
        <v>0</v>
      </c>
      <c r="H54" s="340"/>
      <c r="I54" s="468">
        <f>_xlfn.IFNA(VLOOKUP(CONCATENATE($A54,$D54),'SBS BvA Report (Table)'!$A:$N,6,0),0)</f>
        <v>0</v>
      </c>
      <c r="J54" s="485">
        <f t="shared" si="2"/>
        <v>0</v>
      </c>
      <c r="K54" s="470">
        <f>_xlfn.IFNA(VLOOKUP(CONCATENATE($A54,$D54),'SBS BvA Report (Table)'!$A:$N,12,0),0)</f>
        <v>0</v>
      </c>
      <c r="L54" s="341"/>
      <c r="M54" s="143" t="e">
        <f t="shared" si="3"/>
        <v>#N/A</v>
      </c>
      <c r="N54" s="340"/>
      <c r="O54" s="490"/>
    </row>
    <row r="55" spans="1:15" s="332" customFormat="1" ht="19.5" customHeight="1">
      <c r="A55" s="38" t="s">
        <v>593</v>
      </c>
      <c r="B55" s="39" t="s">
        <v>594</v>
      </c>
      <c r="C55" s="469" t="e">
        <f>VLOOKUP($I$3,'Data - CFR 202526'!$B$4:$CJ$143,40,FALSE)</f>
        <v>#N/A</v>
      </c>
      <c r="D55" s="330" t="s">
        <v>595</v>
      </c>
      <c r="E55" s="469" t="e">
        <f>VLOOKUP($I$3,'Data - 2026-27Approved Budget'!$B$3:$CJ$140,40,FALSE)</f>
        <v>#N/A</v>
      </c>
      <c r="F55" s="340"/>
      <c r="G55" s="468">
        <f>_xlfn.IFNA(VLOOKUP(CONCATENATE($A55,$D55),'SBS BvA Report (Table)'!$A:$N,5,0),0)</f>
        <v>0</v>
      </c>
      <c r="H55" s="340"/>
      <c r="I55" s="468">
        <f>_xlfn.IFNA(VLOOKUP(CONCATENATE($A55,$D55),'SBS BvA Report (Table)'!$A:$N,6,0),0)</f>
        <v>0</v>
      </c>
      <c r="J55" s="485">
        <f t="shared" si="2"/>
        <v>0</v>
      </c>
      <c r="K55" s="470">
        <f>_xlfn.IFNA(VLOOKUP(CONCATENATE($A55,$D55),'SBS BvA Report (Table)'!$A:$N,12,0),0)</f>
        <v>0</v>
      </c>
      <c r="L55" s="341"/>
      <c r="M55" s="143" t="e">
        <f t="shared" si="3"/>
        <v>#N/A</v>
      </c>
      <c r="N55" s="340"/>
      <c r="O55" s="490"/>
    </row>
    <row r="56" spans="1:15" s="332" customFormat="1" ht="19.5" customHeight="1">
      <c r="A56" s="38" t="s">
        <v>596</v>
      </c>
      <c r="B56" s="39" t="s">
        <v>597</v>
      </c>
      <c r="C56" s="469" t="e">
        <f>VLOOKUP($I$3,'Data - CFR 202526'!$B$4:$CJ$143,41,FALSE)</f>
        <v>#N/A</v>
      </c>
      <c r="D56" s="330" t="s">
        <v>598</v>
      </c>
      <c r="E56" s="469" t="e">
        <f>VLOOKUP($I$3,'Data - 2026-27Approved Budget'!$B$3:$CJ$140,41,FALSE)</f>
        <v>#N/A</v>
      </c>
      <c r="F56" s="340"/>
      <c r="G56" s="468">
        <f>_xlfn.IFNA(VLOOKUP(CONCATENATE($A56,$D56),'SBS BvA Report (Table)'!$A:$N,5,0),0)</f>
        <v>0</v>
      </c>
      <c r="H56" s="340"/>
      <c r="I56" s="468">
        <f>_xlfn.IFNA(VLOOKUP(CONCATENATE($A56,$D56),'SBS BvA Report (Table)'!$A:$N,6,0),0)</f>
        <v>0</v>
      </c>
      <c r="J56" s="485">
        <f t="shared" si="2"/>
        <v>0</v>
      </c>
      <c r="K56" s="470">
        <f>_xlfn.IFNA(VLOOKUP(CONCATENATE($A56,$D56),'SBS BvA Report (Table)'!$A:$N,12,0),0)</f>
        <v>0</v>
      </c>
      <c r="L56" s="341"/>
      <c r="M56" s="143" t="e">
        <f t="shared" si="3"/>
        <v>#N/A</v>
      </c>
      <c r="N56" s="340"/>
      <c r="O56" s="490"/>
    </row>
    <row r="57" spans="1:15" s="332" customFormat="1" ht="19.5" customHeight="1">
      <c r="A57" s="38" t="s">
        <v>599</v>
      </c>
      <c r="B57" s="39" t="s">
        <v>600</v>
      </c>
      <c r="C57" s="469" t="e">
        <f>VLOOKUP($I$3,'Data - CFR 202526'!$B$4:$CJ$143,42,FALSE)</f>
        <v>#N/A</v>
      </c>
      <c r="D57" s="330" t="s">
        <v>601</v>
      </c>
      <c r="E57" s="469" t="e">
        <f>VLOOKUP($I$3,'Data - 2026-27Approved Budget'!$B$3:$CJ$140,42,FALSE)</f>
        <v>#N/A</v>
      </c>
      <c r="F57" s="340"/>
      <c r="G57" s="468">
        <f>_xlfn.IFNA(VLOOKUP(CONCATENATE($A57,$D57),'SBS BvA Report (Table)'!$A:$N,5,0),0)</f>
        <v>0</v>
      </c>
      <c r="H57" s="340"/>
      <c r="I57" s="468">
        <f>_xlfn.IFNA(VLOOKUP(CONCATENATE($A57,$D57),'SBS BvA Report (Table)'!$A:$N,6,0),0)</f>
        <v>0</v>
      </c>
      <c r="J57" s="485">
        <f t="shared" si="2"/>
        <v>0</v>
      </c>
      <c r="K57" s="470">
        <f>_xlfn.IFNA(VLOOKUP(CONCATENATE($A57,$D57),'SBS BvA Report (Table)'!$A:$N,12,0),0)</f>
        <v>0</v>
      </c>
      <c r="L57" s="341"/>
      <c r="M57" s="143" t="e">
        <f t="shared" si="3"/>
        <v>#N/A</v>
      </c>
      <c r="N57" s="340"/>
      <c r="O57" s="490"/>
    </row>
    <row r="58" spans="1:15" s="332" customFormat="1" ht="19.5" customHeight="1">
      <c r="A58" s="38" t="s">
        <v>602</v>
      </c>
      <c r="B58" s="39" t="s">
        <v>603</v>
      </c>
      <c r="C58" s="469" t="e">
        <f>VLOOKUP($I$3,'Data - CFR 202526'!$B$4:$CJ$143,43,FALSE)</f>
        <v>#N/A</v>
      </c>
      <c r="D58" s="330" t="s">
        <v>604</v>
      </c>
      <c r="E58" s="469" t="e">
        <f>VLOOKUP($I$3,'Data - 2026-27Approved Budget'!$B$3:$CJ$140,43,FALSE)</f>
        <v>#N/A</v>
      </c>
      <c r="F58" s="340"/>
      <c r="G58" s="468">
        <f>_xlfn.IFNA(VLOOKUP(CONCATENATE($A58,$D58),'SBS BvA Report (Table)'!$A:$N,5,0),0)</f>
        <v>0</v>
      </c>
      <c r="H58" s="340"/>
      <c r="I58" s="468">
        <f>_xlfn.IFNA(VLOOKUP(CONCATENATE($A58,$D58),'SBS BvA Report (Table)'!$A:$N,6,0),0)</f>
        <v>0</v>
      </c>
      <c r="J58" s="485">
        <f t="shared" si="2"/>
        <v>0</v>
      </c>
      <c r="K58" s="468">
        <f>_xlfn.IFNA(VLOOKUP(CONCATENATE($A58,$D58),'SBS BvA Report (Table)'!$A:$N,12,0),0)</f>
        <v>0</v>
      </c>
      <c r="L58" s="341"/>
      <c r="M58" s="143" t="e">
        <f t="shared" si="3"/>
        <v>#N/A</v>
      </c>
      <c r="N58" s="340"/>
      <c r="O58" s="490"/>
    </row>
    <row r="59" spans="1:15" s="332" customFormat="1" ht="19.5" customHeight="1">
      <c r="A59" s="38" t="s">
        <v>605</v>
      </c>
      <c r="B59" s="39" t="s">
        <v>606</v>
      </c>
      <c r="C59" s="469" t="e">
        <f>VLOOKUP($I$3,'Data - CFR 202526'!$B$4:$CJ$143,44,FALSE)</f>
        <v>#N/A</v>
      </c>
      <c r="D59" s="330"/>
      <c r="E59" s="469" t="e">
        <f>VLOOKUP($I$3,'Data - 2026-27Approved Budget'!$B$3:$CJ$140,44,FALSE)</f>
        <v>#N/A</v>
      </c>
      <c r="F59" s="340"/>
      <c r="G59" s="468">
        <f>SUM(_xlfn.IFNA(VLOOKUP("E20C: IT Learning Resources",'SBS BvA Report (Table)'!$A:$N,5,0),0),_xlfn.IFNA(VLOOKUP("E20b: Onsite Servers",'SBS BvA Report (Table)'!$A:$N,5,0),0),_xlfn.IFNA(VLOOKUP("E20A: Connectivity",'SBS BvA Report (Table)'!$A:$N,5,0),0),_xlfn.IFNA(VLOOKUP("E20D: Administration Software &amp; Systems",'SBS BvA Report (Table)'!$A:$N,5,0),0),_xlfn.IFNA(VLOOKUP("E20E: Laptops, Desktops &amp; Tablets",'SBS BvA Report (Table)'!$A:$N,5,0),0),_xlfn.IFNA(VLOOKUP("E20f: Other Hardware",'SBS BvA Report (Table)'!$A:$N,5,0),0),_xlfn.IFNA(VLOOKUP("E20g: IT Support",'SBS BvA Report (Table)'!$A:$N,5,0),0))</f>
        <v>0</v>
      </c>
      <c r="H59" s="340"/>
      <c r="I59" s="468">
        <f>SUM(_xlfn.IFNA(VLOOKUP("E20C: IT Learning Resources",'SBS BvA Report (Table)'!$A:$N,6,0),0),_xlfn.IFNA(VLOOKUP("E20b: Onsite Servers",'SBS BvA Report (Table)'!$A:$N,6,0),0),_xlfn.IFNA(VLOOKUP("E20A: Connectivity",'SBS BvA Report (Table)'!$A:$N,6,0),0),_xlfn.IFNA(VLOOKUP("E20D: Administration Software &amp; Systems",'SBS BvA Report (Table)'!$A:$N,6,0),0),_xlfn.IFNA(VLOOKUP("E20E: Laptops, Desktops &amp; Tablets",'SBS BvA Report (Table)'!$A:$N,6,0),0),_xlfn.IFNA(VLOOKUP("E20f: Other Hardware",'SBS BvA Report (Table)'!$A:$N,6,0),0),_xlfn.IFNA(VLOOKUP("E20g: IT Support",'SBS BvA Report (Table)'!$A:$N,6,0),0))</f>
        <v>0</v>
      </c>
      <c r="J59" s="485">
        <f t="shared" si="2"/>
        <v>0</v>
      </c>
      <c r="K59" s="468">
        <f>SUM(_xlfn.IFNA(VLOOKUP("E20C: IT Learning Resources",'SBS BvA Report (Table)'!$A:$N,12,0),0),_xlfn.IFNA(VLOOKUP("E20b: Onsite Servers",'SBS BvA Report (Table)'!$A:$N,12,0),0),_xlfn.IFNA(VLOOKUP("E20A: Connectivity",'SBS BvA Report (Table)'!$A:$N,12,0),0),_xlfn.IFNA(VLOOKUP("E20D: Administration Software &amp; Systems",'SBS BvA Report (Table)'!$A:$N,12,0),0),_xlfn.IFNA(VLOOKUP("E20E: Laptops, Desktops &amp; Tablets",'SBS BvA Report (Table)'!$A:$N,12,0),0),_xlfn.IFNA(VLOOKUP("E20f: Other Hardware",'SBS BvA Report (Table)'!$A:$N,12,0),0),_xlfn.IFNA(VLOOKUP("E20g: IT Support",'SBS BvA Report (Table)'!$A:$N,12,0),0))</f>
        <v>0</v>
      </c>
      <c r="L59" s="341"/>
      <c r="M59" s="143" t="e">
        <f t="shared" si="3"/>
        <v>#N/A</v>
      </c>
      <c r="N59" s="340"/>
      <c r="O59" s="490"/>
    </row>
    <row r="60" spans="1:15" s="332" customFormat="1" ht="19.5" customHeight="1">
      <c r="A60" s="38" t="s">
        <v>607</v>
      </c>
      <c r="B60" s="39" t="s">
        <v>608</v>
      </c>
      <c r="C60" s="469" t="e">
        <f>VLOOKUP($I$3,'Data - CFR 202526'!$B$4:$CJ$143,45,FALSE)</f>
        <v>#N/A</v>
      </c>
      <c r="D60" s="330" t="s">
        <v>609</v>
      </c>
      <c r="E60" s="469" t="e">
        <f>VLOOKUP($I$3,'Data - 2026-27Approved Budget'!$B$3:$CJ$140,45,FALSE)</f>
        <v>#N/A</v>
      </c>
      <c r="F60" s="340"/>
      <c r="G60" s="468">
        <f>_xlfn.IFNA(VLOOKUP(CONCATENATE($A60,$D60),'SBS BvA Report (Table)'!$A:$N,5,0),0)</f>
        <v>0</v>
      </c>
      <c r="H60" s="340"/>
      <c r="I60" s="468">
        <f>_xlfn.IFNA(VLOOKUP(CONCATENATE($A60,$D60),'SBS BvA Report (Table)'!$A:$N,6,0),0)</f>
        <v>0</v>
      </c>
      <c r="J60" s="485">
        <f t="shared" si="2"/>
        <v>0</v>
      </c>
      <c r="K60" s="468">
        <f>_xlfn.IFNA(VLOOKUP(CONCATENATE($A60,$D60),'SBS BvA Report (Table)'!$A:$N,12,0),0)</f>
        <v>0</v>
      </c>
      <c r="L60" s="341"/>
      <c r="M60" s="143" t="e">
        <f t="shared" si="3"/>
        <v>#N/A</v>
      </c>
      <c r="N60" s="340"/>
      <c r="O60" s="490"/>
    </row>
    <row r="61" spans="1:15" s="332" customFormat="1" ht="19.5" customHeight="1">
      <c r="A61" s="38" t="s">
        <v>610</v>
      </c>
      <c r="B61" s="39" t="s">
        <v>611</v>
      </c>
      <c r="C61" s="469" t="e">
        <f>VLOOKUP($I$3,'Data - CFR 202526'!$B$4:$CJ$143,46,FALSE)</f>
        <v>#N/A</v>
      </c>
      <c r="D61" s="330" t="s">
        <v>612</v>
      </c>
      <c r="E61" s="469" t="e">
        <f>VLOOKUP($I$3,'Data - 2026-27Approved Budget'!$B$3:$CJ$140,46,FALSE)</f>
        <v>#N/A</v>
      </c>
      <c r="F61" s="340"/>
      <c r="G61" s="468">
        <f>_xlfn.IFNA(VLOOKUP(CONCATENATE($A61,$D61),'SBS BvA Report (Table)'!$A:$N,5,0),0)</f>
        <v>0</v>
      </c>
      <c r="H61" s="340"/>
      <c r="I61" s="468">
        <f>_xlfn.IFNA(VLOOKUP(CONCATENATE($A61,$D61),'SBS BvA Report (Table)'!$A:$N,6,0),0)</f>
        <v>0</v>
      </c>
      <c r="J61" s="485">
        <f t="shared" si="2"/>
        <v>0</v>
      </c>
      <c r="K61" s="468">
        <f>_xlfn.IFNA(VLOOKUP(CONCATENATE($A61,$D61),'SBS BvA Report (Table)'!$A:$N,12,0),0)</f>
        <v>0</v>
      </c>
      <c r="L61" s="341"/>
      <c r="M61" s="143" t="e">
        <f t="shared" si="3"/>
        <v>#N/A</v>
      </c>
      <c r="N61" s="340"/>
      <c r="O61" s="490"/>
    </row>
    <row r="62" spans="1:15" s="332" customFormat="1" ht="19.5" customHeight="1">
      <c r="A62" s="38" t="s">
        <v>613</v>
      </c>
      <c r="B62" s="39" t="s">
        <v>614</v>
      </c>
      <c r="C62" s="469" t="e">
        <f>VLOOKUP($I$3,'Data - CFR 202526'!$B$4:$CJ$143,47,FALSE)</f>
        <v>#N/A</v>
      </c>
      <c r="D62" s="330" t="s">
        <v>615</v>
      </c>
      <c r="E62" s="469" t="e">
        <f>VLOOKUP($I$3,'Data - 2026-27Approved Budget'!$B$3:$CJ$140,47,FALSE)</f>
        <v>#N/A</v>
      </c>
      <c r="F62" s="340"/>
      <c r="G62" s="468">
        <f>_xlfn.IFNA(VLOOKUP(CONCATENATE($A62,$D62),'SBS BvA Report (Table)'!$A:$N,5,0),0)</f>
        <v>0</v>
      </c>
      <c r="H62" s="340"/>
      <c r="I62" s="468">
        <f>_xlfn.IFNA(VLOOKUP(CONCATENATE($A62,$D62),'SBS BvA Report (Table)'!$A:$N,6,0),0)</f>
        <v>0</v>
      </c>
      <c r="J62" s="485">
        <f t="shared" si="2"/>
        <v>0</v>
      </c>
      <c r="K62" s="468">
        <f>_xlfn.IFNA(VLOOKUP(CONCATENATE($A62,$D62),'SBS BvA Report (Table)'!$A:$N,12,0),0)</f>
        <v>0</v>
      </c>
      <c r="L62" s="341"/>
      <c r="M62" s="143" t="e">
        <f t="shared" si="3"/>
        <v>#N/A</v>
      </c>
      <c r="N62" s="340"/>
      <c r="O62" s="490"/>
    </row>
    <row r="63" spans="1:15" s="332" customFormat="1" ht="19.5" customHeight="1">
      <c r="A63" s="38" t="s">
        <v>616</v>
      </c>
      <c r="B63" s="39" t="s">
        <v>617</v>
      </c>
      <c r="C63" s="469" t="e">
        <f>VLOOKUP($I$3,'Data - CFR 202526'!$B$4:$CJ$143,48,FALSE)</f>
        <v>#N/A</v>
      </c>
      <c r="D63" s="330" t="s">
        <v>618</v>
      </c>
      <c r="E63" s="469" t="e">
        <f>VLOOKUP($I$3,'Data - 2026-27Approved Budget'!$B$3:$CJ$140,48,FALSE)</f>
        <v>#N/A</v>
      </c>
      <c r="F63" s="340"/>
      <c r="G63" s="468">
        <f>_xlfn.IFNA(VLOOKUP(CONCATENATE($A63,$D63),'SBS BvA Report (Table)'!$A:$N,5,0),0)</f>
        <v>0</v>
      </c>
      <c r="H63" s="340"/>
      <c r="I63" s="468">
        <f>_xlfn.IFNA(VLOOKUP(CONCATENATE($A63,$D63),'SBS BvA Report (Table)'!$A:$N,6,0),0)</f>
        <v>0</v>
      </c>
      <c r="J63" s="485">
        <f t="shared" si="2"/>
        <v>0</v>
      </c>
      <c r="K63" s="468">
        <f>_xlfn.IFNA(VLOOKUP(CONCATENATE($A63,$D63),'SBS BvA Report (Table)'!$A:$N,12,0),0)</f>
        <v>0</v>
      </c>
      <c r="L63" s="341"/>
      <c r="M63" s="143" t="e">
        <f t="shared" si="3"/>
        <v>#N/A</v>
      </c>
      <c r="N63" s="340"/>
      <c r="O63" s="490"/>
    </row>
    <row r="64" spans="1:15" s="332" customFormat="1" ht="19.5" customHeight="1">
      <c r="A64" s="38" t="s">
        <v>619</v>
      </c>
      <c r="B64" s="39" t="s">
        <v>620</v>
      </c>
      <c r="C64" s="469" t="e">
        <f>VLOOKUP($I$3,'Data - CFR 202526'!$B$4:$CJ$143,49,FALSE)</f>
        <v>#N/A</v>
      </c>
      <c r="D64" s="330" t="s">
        <v>621</v>
      </c>
      <c r="E64" s="469" t="e">
        <f>VLOOKUP($I$3,'Data - 2026-27Approved Budget'!$B$3:$CJ$140,49,FALSE)</f>
        <v>#N/A</v>
      </c>
      <c r="F64" s="340"/>
      <c r="G64" s="468">
        <f>_xlfn.IFNA(VLOOKUP(CONCATENATE($A64,$D64),'SBS BvA Report (Table)'!$A:$N,5,0),0)</f>
        <v>0</v>
      </c>
      <c r="H64" s="340"/>
      <c r="I64" s="468">
        <f>_xlfn.IFNA(VLOOKUP(CONCATENATE($A64,$D64),'SBS BvA Report (Table)'!$A:$N,6,0),0)</f>
        <v>0</v>
      </c>
      <c r="J64" s="485">
        <f t="shared" si="2"/>
        <v>0</v>
      </c>
      <c r="K64" s="468">
        <f>_xlfn.IFNA(VLOOKUP(CONCATENATE($A64,$D64),'SBS BvA Report (Table)'!$A:$N,12,0),0)</f>
        <v>0</v>
      </c>
      <c r="L64" s="341"/>
      <c r="M64" s="143" t="e">
        <f t="shared" si="3"/>
        <v>#N/A</v>
      </c>
      <c r="N64" s="340"/>
      <c r="O64" s="490"/>
    </row>
    <row r="65" spans="1:15" s="332" customFormat="1" ht="19.5" customHeight="1">
      <c r="A65" s="38" t="s">
        <v>622</v>
      </c>
      <c r="B65" s="39" t="s">
        <v>623</v>
      </c>
      <c r="C65" s="469" t="e">
        <f>VLOOKUP($I$3,'Data - CFR 202526'!$B$4:$CJ$143,50,FALSE)</f>
        <v>#N/A</v>
      </c>
      <c r="D65" s="330" t="s">
        <v>624</v>
      </c>
      <c r="E65" s="469" t="e">
        <f>VLOOKUP($I$3,'Data - 2026-27Approved Budget'!$B$3:$CJ$140,50,FALSE)</f>
        <v>#N/A</v>
      </c>
      <c r="F65" s="340"/>
      <c r="G65" s="468">
        <f>_xlfn.IFNA(VLOOKUP(CONCATENATE($A65,$D65),'SBS BvA Report (Table)'!$A:$N,5,0),0)</f>
        <v>0</v>
      </c>
      <c r="H65" s="340"/>
      <c r="I65" s="468">
        <f>_xlfn.IFNA(VLOOKUP(CONCATENATE($A65,$D65),'SBS BvA Report (Table)'!$A:$N,6,0),0)</f>
        <v>0</v>
      </c>
      <c r="J65" s="485">
        <f t="shared" si="2"/>
        <v>0</v>
      </c>
      <c r="K65" s="468">
        <f>_xlfn.IFNA(VLOOKUP(CONCATENATE($A65,$D65),'SBS BvA Report (Table)'!$A:$N,12,0),0)</f>
        <v>0</v>
      </c>
      <c r="L65" s="341"/>
      <c r="M65" s="143" t="e">
        <f t="shared" si="3"/>
        <v>#N/A</v>
      </c>
      <c r="N65" s="340"/>
      <c r="O65" s="490"/>
    </row>
    <row r="66" spans="1:15" s="332" customFormat="1" ht="19.5" customHeight="1">
      <c r="A66" s="38" t="s">
        <v>625</v>
      </c>
      <c r="B66" s="39" t="s">
        <v>626</v>
      </c>
      <c r="C66" s="469" t="e">
        <f>VLOOKUP($I$3,'Data - CFR 202526'!$B$4:$CJ$143,51,FALSE)</f>
        <v>#N/A</v>
      </c>
      <c r="D66" s="330" t="s">
        <v>627</v>
      </c>
      <c r="E66" s="469" t="e">
        <f>VLOOKUP($I$3,'Data - 2026-27Approved Budget'!$B$3:$CJ$140,51,FALSE)</f>
        <v>#N/A</v>
      </c>
      <c r="F66" s="340"/>
      <c r="G66" s="468">
        <f>_xlfn.IFNA(VLOOKUP(CONCATENATE($A66,$D66),'SBS BvA Report (Table)'!$A:$N,5,0),0)</f>
        <v>0</v>
      </c>
      <c r="H66" s="340"/>
      <c r="I66" s="468">
        <f>_xlfn.IFNA(VLOOKUP(CONCATENATE($A66,$D66),'SBS BvA Report (Table)'!$A:$N,6,0),0)</f>
        <v>0</v>
      </c>
      <c r="J66" s="485">
        <f t="shared" si="2"/>
        <v>0</v>
      </c>
      <c r="K66" s="468">
        <f>_xlfn.IFNA(VLOOKUP(CONCATENATE($A66,$D66),'SBS BvA Report (Table)'!$A:$N,12,0),0)</f>
        <v>0</v>
      </c>
      <c r="L66" s="341"/>
      <c r="M66" s="143" t="e">
        <f t="shared" si="3"/>
        <v>#N/A</v>
      </c>
      <c r="N66" s="340"/>
      <c r="O66" s="490"/>
    </row>
    <row r="67" spans="1:15" s="332" customFormat="1" ht="19.5" customHeight="1">
      <c r="A67" s="38" t="s">
        <v>628</v>
      </c>
      <c r="B67" s="39" t="s">
        <v>629</v>
      </c>
      <c r="C67" s="469" t="e">
        <f>VLOOKUP($I$3,'Data - CFR 202526'!$B$4:$CJ$143,52,FALSE)</f>
        <v>#N/A</v>
      </c>
      <c r="D67" s="330" t="s">
        <v>630</v>
      </c>
      <c r="E67" s="469" t="e">
        <f>VLOOKUP($I$3,'Data - 2026-27Approved Budget'!$B$3:$CJ$140,52,FALSE)</f>
        <v>#N/A</v>
      </c>
      <c r="F67" s="340"/>
      <c r="G67" s="468">
        <f>_xlfn.IFNA(VLOOKUP(CONCATENATE($A67,$D67),'SBS BvA Report (Table)'!$A:$N,5,0),0)</f>
        <v>0</v>
      </c>
      <c r="H67" s="340"/>
      <c r="I67" s="468">
        <f>_xlfn.IFNA(VLOOKUP(CONCATENATE($A67,$D67),'SBS BvA Report (Table)'!$A:$N,6,0),0)</f>
        <v>0</v>
      </c>
      <c r="J67" s="485">
        <f t="shared" si="2"/>
        <v>0</v>
      </c>
      <c r="K67" s="468">
        <f>_xlfn.IFNA(VLOOKUP(CONCATENATE($A67,$D67),'SBS BvA Report (Table)'!$A:$N,12,0),0)</f>
        <v>0</v>
      </c>
      <c r="L67" s="341"/>
      <c r="M67" s="143" t="e">
        <f t="shared" si="3"/>
        <v>#N/A</v>
      </c>
      <c r="N67" s="340"/>
      <c r="O67" s="490"/>
    </row>
    <row r="68" spans="1:15" s="332" customFormat="1" ht="19.5" customHeight="1">
      <c r="A68" s="38" t="s">
        <v>631</v>
      </c>
      <c r="B68" s="39" t="s">
        <v>632</v>
      </c>
      <c r="C68" s="469" t="e">
        <f>VLOOKUP($I$3,'Data - CFR 202526'!$B$4:$CJ$143,53,FALSE)</f>
        <v>#N/A</v>
      </c>
      <c r="D68" s="330" t="s">
        <v>633</v>
      </c>
      <c r="E68" s="469" t="e">
        <f>VLOOKUP($I$3,'Data - 2026-27Approved Budget'!$B$3:$CJ$140,53,FALSE)</f>
        <v>#N/A</v>
      </c>
      <c r="F68" s="340"/>
      <c r="G68" s="468">
        <f>_xlfn.IFNA(VLOOKUP(CONCATENATE($A68,$D68),'SBS BvA Report (Table)'!$A:$N,5,0),0)</f>
        <v>0</v>
      </c>
      <c r="H68" s="340"/>
      <c r="I68" s="468">
        <f>_xlfn.IFNA(VLOOKUP(CONCATENATE($A68,$D68),'SBS BvA Report (Table)'!$A:$N,6,0),0)</f>
        <v>0</v>
      </c>
      <c r="J68" s="485">
        <f t="shared" si="2"/>
        <v>0</v>
      </c>
      <c r="K68" s="468">
        <f>_xlfn.IFNA(VLOOKUP(CONCATENATE($A68,$D68),'SBS BvA Report (Table)'!$A:$N,12,0),0)</f>
        <v>0</v>
      </c>
      <c r="L68" s="341"/>
      <c r="M68" s="143" t="e">
        <f t="shared" si="3"/>
        <v>#N/A</v>
      </c>
      <c r="N68" s="340"/>
      <c r="O68" s="490"/>
    </row>
    <row r="69" spans="1:15" s="332" customFormat="1" ht="19.5" customHeight="1">
      <c r="A69" s="38" t="s">
        <v>634</v>
      </c>
      <c r="B69" s="39" t="s">
        <v>635</v>
      </c>
      <c r="C69" s="469" t="e">
        <f>VLOOKUP($I$3,'Data - CFR 202526'!$B$4:$CJ$143,54,FALSE)</f>
        <v>#N/A</v>
      </c>
      <c r="D69" s="330" t="s">
        <v>636</v>
      </c>
      <c r="E69" s="469" t="e">
        <f>VLOOKUP($I$3,'Data - 2026-27Approved Budget'!$B$3:$CJ$140,54,FALSE)</f>
        <v>#N/A</v>
      </c>
      <c r="F69" s="340"/>
      <c r="G69" s="468">
        <f>_xlfn.IFNA(VLOOKUP(CONCATENATE($A69,$D69),'SBS BvA Report (Table)'!$A:$N,5,0),0)</f>
        <v>0</v>
      </c>
      <c r="H69" s="340"/>
      <c r="I69" s="468">
        <f>_xlfn.IFNA(VLOOKUP(CONCATENATE($A69,$D69),'SBS BvA Report (Table)'!$A:$N,6,0),0)</f>
        <v>0</v>
      </c>
      <c r="J69" s="485">
        <f t="shared" si="2"/>
        <v>0</v>
      </c>
      <c r="K69" s="468">
        <f>_xlfn.IFNA(VLOOKUP(CONCATENATE($A69,$D69),'SBS BvA Report (Table)'!$A:$N,12,0),0)</f>
        <v>0</v>
      </c>
      <c r="L69" s="341"/>
      <c r="M69" s="143" t="e">
        <f t="shared" si="3"/>
        <v>#N/A</v>
      </c>
      <c r="N69" s="340"/>
      <c r="O69" s="490"/>
    </row>
    <row r="70" spans="1:15" s="332" customFormat="1" ht="19.5" customHeight="1" thickBot="1">
      <c r="A70" s="38" t="s">
        <v>637</v>
      </c>
      <c r="B70" s="39" t="s">
        <v>638</v>
      </c>
      <c r="C70" s="469" t="e">
        <f>VLOOKUP($I$3,'Data - CFR 202526'!$B$4:$CJ$143,55,FALSE)</f>
        <v>#N/A</v>
      </c>
      <c r="D70" s="330" t="s">
        <v>639</v>
      </c>
      <c r="E70" s="469" t="e">
        <f>VLOOKUP($I$3,'Data - 2026-27Approved Budget'!$B$3:$CJ$140,55,FALSE)</f>
        <v>#N/A</v>
      </c>
      <c r="F70" s="340"/>
      <c r="G70" s="468">
        <f>_xlfn.IFNA(VLOOKUP(CONCATENATE($A70,$D70),'SBS BvA Report (Table)'!$A:$N,5,0),0)</f>
        <v>0</v>
      </c>
      <c r="H70" s="340"/>
      <c r="I70" s="468">
        <f>_xlfn.IFNA(VLOOKUP(CONCATENATE($A70,$D70),'SBS BvA Report (Table)'!$A:$N,6,0),0)</f>
        <v>0</v>
      </c>
      <c r="J70" s="485">
        <f t="shared" si="2"/>
        <v>0</v>
      </c>
      <c r="K70" s="468">
        <f>_xlfn.IFNA(VLOOKUP(CONCATENATE($A70,$D70),'SBS BvA Report (Table)'!$A:$N,12,0),0)</f>
        <v>0</v>
      </c>
      <c r="L70" s="341"/>
      <c r="M70" s="143" t="e">
        <f t="shared" si="3"/>
        <v>#N/A</v>
      </c>
      <c r="N70" s="340"/>
      <c r="O70" s="490"/>
    </row>
    <row r="71" spans="1:15" s="332" customFormat="1" ht="19.5" customHeight="1" thickBot="1">
      <c r="A71" s="45"/>
      <c r="B71" s="41" t="s">
        <v>640</v>
      </c>
      <c r="C71" s="1" t="e">
        <f>SUM(C40:C70)</f>
        <v>#N/A</v>
      </c>
      <c r="D71" s="330" t="str">
        <f>IFERROR((E71/C71)-1,"")</f>
        <v/>
      </c>
      <c r="E71" s="1" t="e">
        <f>SUM(E40:E70)</f>
        <v>#N/A</v>
      </c>
      <c r="F71" s="46"/>
      <c r="G71" s="1">
        <f>SUM(G40:G70)</f>
        <v>0</v>
      </c>
      <c r="H71" s="46"/>
      <c r="I71" s="1">
        <f>SUM(I40:I70)</f>
        <v>0</v>
      </c>
      <c r="J71" s="486">
        <f>IF(OR(I71="",I71=0),0%,I71/K71)</f>
        <v>0</v>
      </c>
      <c r="K71" s="1">
        <f>SUM(K40:K70)</f>
        <v>0</v>
      </c>
      <c r="L71" s="129"/>
      <c r="M71" s="144" t="e">
        <f>SUM(M40:M70)</f>
        <v>#N/A</v>
      </c>
      <c r="N71" s="132"/>
      <c r="O71" s="474"/>
    </row>
    <row r="72" spans="1:15" s="332" customFormat="1" ht="19.5" customHeight="1">
      <c r="A72" s="47"/>
      <c r="B72" s="41"/>
      <c r="C72" s="48"/>
      <c r="D72" s="37"/>
      <c r="E72" s="48"/>
      <c r="G72" s="48"/>
      <c r="I72" s="48"/>
      <c r="J72" s="318"/>
      <c r="K72" s="48"/>
      <c r="L72" s="130"/>
      <c r="M72" s="48"/>
      <c r="O72" s="334"/>
    </row>
    <row r="73" spans="1:15" ht="87">
      <c r="A73" s="49"/>
      <c r="B73" s="39"/>
      <c r="C73" s="134" t="s">
        <v>1514</v>
      </c>
      <c r="D73" s="135"/>
      <c r="E73" s="134" t="s">
        <v>1515</v>
      </c>
      <c r="F73" s="136"/>
      <c r="G73" s="134" t="s">
        <v>482</v>
      </c>
      <c r="H73" s="136"/>
      <c r="I73" s="134" t="s">
        <v>483</v>
      </c>
      <c r="J73" s="315" t="s">
        <v>484</v>
      </c>
      <c r="K73" s="134" t="s">
        <v>1597</v>
      </c>
      <c r="L73" s="134"/>
      <c r="M73" s="134"/>
      <c r="N73" s="131"/>
      <c r="O73" s="134"/>
    </row>
    <row r="74" spans="1:15" s="332" customFormat="1" ht="19.5" customHeight="1">
      <c r="A74" s="49" t="s">
        <v>641</v>
      </c>
      <c r="B74" s="39"/>
      <c r="C74" s="42" t="s">
        <v>489</v>
      </c>
      <c r="D74" s="37"/>
      <c r="E74" s="42" t="s">
        <v>489</v>
      </c>
      <c r="G74" s="42" t="s">
        <v>489</v>
      </c>
      <c r="I74" s="42"/>
      <c r="J74" s="316"/>
      <c r="K74" s="42"/>
      <c r="L74" s="128"/>
      <c r="M74" s="42"/>
      <c r="O74" s="334"/>
    </row>
    <row r="75" spans="1:15" s="332" customFormat="1" ht="19.5" customHeight="1">
      <c r="A75" s="47"/>
      <c r="B75" s="39"/>
      <c r="C75" s="42"/>
      <c r="D75" s="37"/>
      <c r="E75" s="42"/>
      <c r="G75" s="42"/>
      <c r="I75" s="42"/>
      <c r="J75" s="316"/>
      <c r="K75" s="42"/>
      <c r="L75" s="128"/>
      <c r="M75" s="42"/>
      <c r="O75" s="334"/>
    </row>
    <row r="76" spans="1:15" s="332" customFormat="1" ht="19.5" customHeight="1">
      <c r="A76" s="47"/>
      <c r="B76" s="39" t="s">
        <v>642</v>
      </c>
      <c r="C76" s="142" t="e">
        <f>C35</f>
        <v>#N/A</v>
      </c>
      <c r="D76" s="37"/>
      <c r="E76" s="142" t="e">
        <f>E35</f>
        <v>#N/A</v>
      </c>
      <c r="G76" s="142">
        <f>G35</f>
        <v>0</v>
      </c>
      <c r="I76" s="42"/>
      <c r="J76" s="316"/>
      <c r="K76" s="142">
        <f>K35</f>
        <v>0</v>
      </c>
      <c r="L76" s="128"/>
      <c r="M76" s="42"/>
      <c r="O76" s="334"/>
    </row>
    <row r="77" spans="1:15" s="332" customFormat="1" ht="19.5" customHeight="1" thickBot="1">
      <c r="A77" s="47"/>
      <c r="B77" s="39" t="s">
        <v>640</v>
      </c>
      <c r="C77" s="148" t="e">
        <f>C71</f>
        <v>#N/A</v>
      </c>
      <c r="D77" s="37"/>
      <c r="E77" s="148" t="e">
        <f>E71</f>
        <v>#N/A</v>
      </c>
      <c r="G77" s="148">
        <f>G71</f>
        <v>0</v>
      </c>
      <c r="I77" s="42"/>
      <c r="J77" s="316"/>
      <c r="K77" s="148">
        <f>K71</f>
        <v>0</v>
      </c>
      <c r="L77" s="128"/>
      <c r="M77" s="42"/>
      <c r="O77" s="334"/>
    </row>
    <row r="78" spans="1:15" ht="19.5" customHeight="1" thickBot="1">
      <c r="A78" s="47"/>
      <c r="B78" s="41" t="s">
        <v>643</v>
      </c>
      <c r="C78" s="144" t="e">
        <f>C76-C77</f>
        <v>#N/A</v>
      </c>
      <c r="D78" s="37"/>
      <c r="E78" s="144" t="e">
        <f>E76-E77</f>
        <v>#N/A</v>
      </c>
      <c r="F78" s="340"/>
      <c r="G78" s="144">
        <f>G76-G77</f>
        <v>0</v>
      </c>
      <c r="H78" s="342"/>
      <c r="I78" s="42"/>
      <c r="J78" s="42"/>
      <c r="K78" s="144">
        <f>K76-K77</f>
        <v>0</v>
      </c>
      <c r="L78" s="64"/>
      <c r="M78" s="42"/>
      <c r="N78" s="332"/>
      <c r="O78" s="334" t="s">
        <v>644</v>
      </c>
    </row>
    <row r="79" spans="1:15" ht="19.5" customHeight="1" thickBot="1">
      <c r="A79" s="47"/>
      <c r="B79" s="41" t="s">
        <v>645</v>
      </c>
      <c r="C79" s="245" t="e">
        <f>VLOOKUP($I$3,'Data - CFR 202526'!$B$4:$CJ$143,58,FALSE)</f>
        <v>#N/A</v>
      </c>
      <c r="D79" s="37"/>
      <c r="E79" s="245" t="e">
        <f>VLOOKUP($I$3,'Data - 2026-27Approved Budget'!$B$3:$CJ$140,58,FALSE)</f>
        <v>#N/A</v>
      </c>
      <c r="F79" s="340"/>
      <c r="G79" s="168" t="e">
        <f>VLOOKUP($I$3,'Data - Revenue Balances Mar 26'!$A$5:$G$140,5,FALSE)</f>
        <v>#N/A</v>
      </c>
      <c r="H79" s="342"/>
      <c r="I79" s="42"/>
      <c r="J79" s="42"/>
      <c r="K79" s="168" t="e">
        <f>G79</f>
        <v>#N/A</v>
      </c>
      <c r="L79" s="64"/>
      <c r="M79" s="42"/>
      <c r="N79" s="332"/>
      <c r="O79" s="334"/>
    </row>
    <row r="80" spans="1:15" s="332" customFormat="1" ht="19.5" customHeight="1" thickBot="1">
      <c r="A80" s="47"/>
      <c r="B80" s="41" t="s">
        <v>646</v>
      </c>
      <c r="C80" s="471" t="e">
        <f>C78+C79</f>
        <v>#N/A</v>
      </c>
      <c r="D80" s="37"/>
      <c r="E80" s="144" t="e">
        <f>E78+E79</f>
        <v>#N/A</v>
      </c>
      <c r="F80" s="340"/>
      <c r="G80" s="144" t="e">
        <f>G78+G79</f>
        <v>#N/A</v>
      </c>
      <c r="H80" s="342"/>
      <c r="I80" s="42"/>
      <c r="J80" s="42"/>
      <c r="K80" s="354" t="e">
        <f>K78+K79</f>
        <v>#N/A</v>
      </c>
      <c r="L80" s="64"/>
      <c r="M80" s="42"/>
      <c r="O80" s="334"/>
    </row>
    <row r="81" spans="1:16" s="332" customFormat="1" ht="7.5" customHeight="1" thickBot="1">
      <c r="A81" s="47"/>
      <c r="B81" s="39"/>
      <c r="C81" s="145"/>
      <c r="D81" s="37"/>
      <c r="E81" s="145"/>
      <c r="G81" s="145"/>
      <c r="I81" s="42"/>
      <c r="J81" s="42"/>
      <c r="K81" s="146"/>
      <c r="L81" s="64"/>
      <c r="M81" s="42"/>
      <c r="O81" s="334"/>
      <c r="P81" s="484"/>
    </row>
    <row r="82" spans="1:16" s="332" customFormat="1" ht="19.5" customHeight="1" thickBot="1">
      <c r="A82" s="47"/>
      <c r="B82" s="39" t="s">
        <v>647</v>
      </c>
      <c r="C82" s="170" t="e">
        <f>C80/SUM(C16:C20)</f>
        <v>#N/A</v>
      </c>
      <c r="D82" s="37"/>
      <c r="E82" s="170" t="e">
        <f>E80/SUM(E16:E20)</f>
        <v>#N/A</v>
      </c>
      <c r="F82" s="343"/>
      <c r="G82" s="170" t="e">
        <f>G80/SUM(G16:G20)</f>
        <v>#N/A</v>
      </c>
      <c r="I82" s="42"/>
      <c r="J82" s="42"/>
      <c r="K82" s="353" t="e">
        <f>K80/SUM(K16:K20)</f>
        <v>#N/A</v>
      </c>
      <c r="L82" s="64"/>
      <c r="M82" s="42"/>
      <c r="O82" s="475"/>
      <c r="P82" s="484"/>
    </row>
    <row r="83" spans="1:16" s="332" customFormat="1" ht="19.5" customHeight="1">
      <c r="A83" s="55"/>
      <c r="B83" s="56"/>
      <c r="C83" s="60"/>
      <c r="D83" s="58"/>
      <c r="E83" s="60"/>
      <c r="F83" s="344"/>
      <c r="G83" s="60"/>
      <c r="H83" s="344"/>
      <c r="I83" s="60"/>
      <c r="J83" s="320"/>
      <c r="K83" s="60"/>
      <c r="L83" s="138"/>
      <c r="M83" s="476"/>
      <c r="N83" s="476"/>
      <c r="O83" s="476"/>
      <c r="P83" s="484"/>
    </row>
    <row r="84" spans="1:16" s="332" customFormat="1" ht="31.5" customHeight="1">
      <c r="A84" s="570" t="s">
        <v>433</v>
      </c>
      <c r="B84" s="571"/>
      <c r="C84" s="571"/>
      <c r="D84" s="571"/>
      <c r="E84" s="571"/>
      <c r="F84" s="571"/>
      <c r="G84" s="571"/>
      <c r="H84" s="571"/>
      <c r="I84" s="571"/>
      <c r="J84" s="571"/>
      <c r="K84" s="571"/>
      <c r="L84" s="571"/>
      <c r="M84" s="571"/>
      <c r="N84" s="571"/>
      <c r="O84" s="571"/>
      <c r="P84" s="572"/>
    </row>
    <row r="85" spans="1:16" s="332" customFormat="1" ht="96.6">
      <c r="A85" s="47" t="str">
        <f>B3</f>
        <v>Please Click on Arrow to Choose School</v>
      </c>
      <c r="B85" s="41"/>
      <c r="C85" s="134" t="s">
        <v>1514</v>
      </c>
      <c r="D85" s="135"/>
      <c r="E85" s="134" t="s">
        <v>1515</v>
      </c>
      <c r="F85" s="136"/>
      <c r="G85" s="134" t="s">
        <v>482</v>
      </c>
      <c r="H85" s="136"/>
      <c r="I85" s="134" t="s">
        <v>483</v>
      </c>
      <c r="J85" s="315" t="s">
        <v>484</v>
      </c>
      <c r="K85" s="134" t="s">
        <v>1597</v>
      </c>
      <c r="L85" s="134"/>
      <c r="M85" s="134" t="s">
        <v>1598</v>
      </c>
      <c r="N85" s="131"/>
      <c r="O85" s="134" t="s">
        <v>546</v>
      </c>
      <c r="P85" s="481" t="s">
        <v>1468</v>
      </c>
    </row>
    <row r="86" spans="1:16" s="62" customFormat="1" ht="23.25" customHeight="1">
      <c r="A86" s="33"/>
      <c r="B86" s="137"/>
      <c r="C86" s="559" t="s">
        <v>486</v>
      </c>
      <c r="D86" s="559"/>
      <c r="E86" s="559"/>
      <c r="F86" s="559"/>
      <c r="G86" s="559"/>
      <c r="H86" s="559"/>
      <c r="I86" s="559"/>
      <c r="J86" s="559"/>
      <c r="K86" s="559"/>
      <c r="L86" s="559"/>
      <c r="M86" s="559"/>
      <c r="N86" s="339"/>
      <c r="O86" s="338"/>
      <c r="P86" s="479"/>
    </row>
    <row r="87" spans="1:16" s="332" customFormat="1" ht="19.5" customHeight="1">
      <c r="A87" s="44" t="s">
        <v>487</v>
      </c>
      <c r="B87" s="41" t="s">
        <v>648</v>
      </c>
      <c r="C87" s="42" t="s">
        <v>489</v>
      </c>
      <c r="D87" s="37"/>
      <c r="E87" s="42" t="s">
        <v>489</v>
      </c>
      <c r="G87" s="42" t="s">
        <v>489</v>
      </c>
      <c r="I87" s="42" t="s">
        <v>489</v>
      </c>
      <c r="J87" s="517">
        <f>$K$5/100</f>
        <v>0.25</v>
      </c>
      <c r="K87" s="42" t="s">
        <v>489</v>
      </c>
      <c r="L87" s="128"/>
      <c r="M87" s="42" t="s">
        <v>489</v>
      </c>
      <c r="O87" s="476"/>
      <c r="P87" s="340"/>
    </row>
    <row r="88" spans="1:16" s="332" customFormat="1" ht="19.5" customHeight="1">
      <c r="A88" s="38" t="s">
        <v>649</v>
      </c>
      <c r="B88" s="39" t="s">
        <v>650</v>
      </c>
      <c r="C88" s="469" t="e">
        <f>VLOOKUP($I$3,'Data - CFR 202526'!$B$4:$CJ$143,60,FALSE)</f>
        <v>#N/A</v>
      </c>
      <c r="D88" s="368" t="s">
        <v>651</v>
      </c>
      <c r="E88" s="469" t="e">
        <f>VLOOKUP($I$3,'Data - 2026-27Approved Budget'!$B$3:$CJ$140,60,FALSE)</f>
        <v>#N/A</v>
      </c>
      <c r="F88" s="340"/>
      <c r="G88" s="470">
        <f>_xlfn.IFNA(VLOOKUP(CONCATENATE($A88,$D88),'SBS BvA Report (Table)'!$A:$N,5,0),0)</f>
        <v>0</v>
      </c>
      <c r="H88" s="340"/>
      <c r="I88" s="470">
        <f>IF($O$3="Y",_xlfn.IFNA(VLOOKUP(CONCATENATE($A88,$D88),'SBS BvA Report (Table)'!$A:$N,6,0),0),_xlfn.IFNA(-VLOOKUP(CONCATENATE($A88,$D88),'SBS BvA Report (Table)'!$A:$N,6,0),0))</f>
        <v>0</v>
      </c>
      <c r="J88" s="485">
        <f>IFERROR(IF(I88="",0%,I88/K88),0)</f>
        <v>0</v>
      </c>
      <c r="K88" s="470">
        <f>_xlfn.IFNA(VLOOKUP(CONCATENATE($A88,$D88),'SBS BvA Report (Table)'!$A:$N,12,0),0)</f>
        <v>0</v>
      </c>
      <c r="L88" s="341"/>
      <c r="M88" s="143" t="e">
        <f>IF(G88="",(K88-E88),(K88-E88))</f>
        <v>#N/A</v>
      </c>
      <c r="N88" s="340"/>
      <c r="O88" s="490"/>
      <c r="P88" s="482"/>
    </row>
    <row r="89" spans="1:16" s="332" customFormat="1" ht="19.5" customHeight="1" thickBot="1">
      <c r="A89" s="38" t="s">
        <v>652</v>
      </c>
      <c r="B89" s="39" t="s">
        <v>653</v>
      </c>
      <c r="C89" s="469" t="e">
        <f>VLOOKUP($I$3,'Data - CFR 202526'!$B$4:$CJ$143,61,FALSE)</f>
        <v>#N/A</v>
      </c>
      <c r="D89" s="368" t="s">
        <v>654</v>
      </c>
      <c r="E89" s="469" t="e">
        <f>VLOOKUP($I$3,'Data - 2026-27Approved Budget'!$B$3:$CJ$140,61,FALSE)</f>
        <v>#N/A</v>
      </c>
      <c r="F89" s="340"/>
      <c r="G89" s="470">
        <f>_xlfn.IFNA(VLOOKUP(CONCATENATE($A89,$D89),'SBS BvA Report (Table)'!$A:$N,5,0),0)</f>
        <v>0</v>
      </c>
      <c r="H89" s="340"/>
      <c r="I89" s="470">
        <f>IF($O$3="Y",_xlfn.IFNA(VLOOKUP(CONCATENATE($A89,$D89),'SBS BvA Report (Table)'!$A:$N,6,0),0),_xlfn.IFNA(-VLOOKUP(CONCATENATE($A89,$D89),'SBS BvA Report (Table)'!$A:$N,6,0),0))</f>
        <v>0</v>
      </c>
      <c r="J89" s="485">
        <f>IFERROR(IF(I89="",0%,I89/K89),0)</f>
        <v>0</v>
      </c>
      <c r="K89" s="470">
        <f>_xlfn.IFNA(VLOOKUP(CONCATENATE($A89,$D89),'SBS BvA Report (Table)'!$A:$N,12,0),0)</f>
        <v>0</v>
      </c>
      <c r="L89" s="341"/>
      <c r="M89" s="143" t="e">
        <f>IF(G89="",(K89-E89),(K89-E89))</f>
        <v>#N/A</v>
      </c>
      <c r="N89" s="340"/>
      <c r="O89" s="490"/>
      <c r="P89" s="482"/>
    </row>
    <row r="90" spans="1:16" s="332" customFormat="1" ht="19.5" customHeight="1" thickBot="1">
      <c r="A90" s="38"/>
      <c r="B90" s="41" t="s">
        <v>655</v>
      </c>
      <c r="C90" s="1" t="e">
        <f>C88+C89</f>
        <v>#N/A</v>
      </c>
      <c r="D90" s="368"/>
      <c r="E90" s="12" t="e">
        <f>E88+E89</f>
        <v>#N/A</v>
      </c>
      <c r="F90" s="340"/>
      <c r="G90" s="12">
        <f>G88+G89</f>
        <v>0</v>
      </c>
      <c r="H90" s="340"/>
      <c r="I90" s="12">
        <f>I88+I89</f>
        <v>0</v>
      </c>
      <c r="J90" s="486">
        <f>IF(OR(I90="",I90=0),0%,I90/K90)</f>
        <v>0</v>
      </c>
      <c r="K90" s="12">
        <f>K88+K89</f>
        <v>0</v>
      </c>
      <c r="L90" s="64"/>
      <c r="M90" s="144" t="e">
        <f>M88+M89</f>
        <v>#N/A</v>
      </c>
      <c r="O90" s="474"/>
      <c r="P90" s="484"/>
    </row>
    <row r="91" spans="1:16" s="332" customFormat="1" ht="19.5" customHeight="1">
      <c r="A91" s="38"/>
      <c r="B91" s="39"/>
      <c r="C91" s="50"/>
      <c r="D91" s="368"/>
      <c r="E91" s="50"/>
      <c r="G91" s="50"/>
      <c r="I91" s="50"/>
      <c r="J91" s="487"/>
      <c r="K91" s="50"/>
      <c r="L91" s="69"/>
      <c r="M91" s="50"/>
      <c r="O91" s="334"/>
      <c r="P91" s="484"/>
    </row>
    <row r="92" spans="1:16" s="332" customFormat="1" ht="19.5" customHeight="1">
      <c r="A92" s="44" t="s">
        <v>487</v>
      </c>
      <c r="B92" s="41" t="s">
        <v>656</v>
      </c>
      <c r="C92" s="42" t="s">
        <v>489</v>
      </c>
      <c r="D92" s="368"/>
      <c r="E92" s="42" t="s">
        <v>489</v>
      </c>
      <c r="G92" s="42" t="s">
        <v>489</v>
      </c>
      <c r="I92" s="42" t="s">
        <v>489</v>
      </c>
      <c r="J92" s="517">
        <f>$K$5/100</f>
        <v>0.25</v>
      </c>
      <c r="K92" s="42" t="s">
        <v>489</v>
      </c>
      <c r="L92" s="128"/>
      <c r="M92" s="42" t="s">
        <v>489</v>
      </c>
      <c r="O92" s="476"/>
      <c r="P92" s="484"/>
    </row>
    <row r="93" spans="1:16" s="332" customFormat="1" ht="19.5" customHeight="1">
      <c r="A93" s="38" t="s">
        <v>657</v>
      </c>
      <c r="B93" s="39" t="s">
        <v>658</v>
      </c>
      <c r="C93" s="469" t="e">
        <f>VLOOKUP($I$3,'Data - CFR 202526'!$B$4:$CJ$143,63,FALSE)</f>
        <v>#N/A</v>
      </c>
      <c r="D93" s="368" t="s">
        <v>659</v>
      </c>
      <c r="E93" s="469" t="e">
        <f>VLOOKUP($I$3,'Data - 2026-27Approved Budget'!$B$3:$CJ$140,63,FALSE)</f>
        <v>#N/A</v>
      </c>
      <c r="F93" s="340"/>
      <c r="G93" s="470">
        <f>_xlfn.IFNA(VLOOKUP(CONCATENATE($A93,$D93),'SBS BvA Report (Table)'!$A:$N,5,0),0)</f>
        <v>0</v>
      </c>
      <c r="H93" s="340"/>
      <c r="I93" s="470">
        <f>_xlfn.IFNA(VLOOKUP(CONCATENATE($A93,$D93),'SBS BvA Report (Table)'!$A:$N,6,0),0)</f>
        <v>0</v>
      </c>
      <c r="J93" s="485">
        <f>IFERROR(IF(I93="",0%,I93/K93),0)</f>
        <v>0</v>
      </c>
      <c r="K93" s="470">
        <f>_xlfn.IFNA(VLOOKUP(CONCATENATE($A93,$D93),'SBS BvA Report (Table)'!$A:$N,12,0),0)</f>
        <v>0</v>
      </c>
      <c r="L93" s="341"/>
      <c r="M93" s="143" t="e">
        <f>IF(G93="",(K93-E93),(K93-E93))</f>
        <v>#N/A</v>
      </c>
      <c r="N93" s="340"/>
      <c r="O93" s="490"/>
      <c r="P93" s="482"/>
    </row>
    <row r="94" spans="1:16" s="332" customFormat="1" ht="19.5" customHeight="1" thickBot="1">
      <c r="A94" s="38" t="s">
        <v>660</v>
      </c>
      <c r="B94" s="39" t="s">
        <v>661</v>
      </c>
      <c r="C94" s="469" t="e">
        <f>VLOOKUP($I$3,'Data - CFR 202526'!$B$4:$CJ$143,64,FALSE)</f>
        <v>#N/A</v>
      </c>
      <c r="D94" s="368" t="s">
        <v>662</v>
      </c>
      <c r="E94" s="469" t="e">
        <f>VLOOKUP($I$3,'Data - 2026-27Approved Budget'!$B$3:$CJ$140,64,FALSE)</f>
        <v>#N/A</v>
      </c>
      <c r="F94" s="340"/>
      <c r="G94" s="470">
        <f>_xlfn.IFNA(VLOOKUP(CONCATENATE($A94,$D94),'SBS BvA Report (Table)'!$A:$N,5,0),0)</f>
        <v>0</v>
      </c>
      <c r="H94" s="340"/>
      <c r="I94" s="470">
        <f>_xlfn.IFNA(VLOOKUP(CONCATENATE($A94,$D94),'SBS BvA Report (Table)'!$A:$N,6,0),0)</f>
        <v>0</v>
      </c>
      <c r="J94" s="485">
        <f>IFERROR(IF(I94="",0%,I94/K94),0)</f>
        <v>0</v>
      </c>
      <c r="K94" s="470">
        <f>_xlfn.IFNA(VLOOKUP(CONCATENATE($A94,$D94),'SBS BvA Report (Table)'!$A:$N,12,0),0)</f>
        <v>0</v>
      </c>
      <c r="L94" s="341"/>
      <c r="M94" s="143" t="e">
        <f>IF(G94="",(K94-E94),(K94-E94))</f>
        <v>#N/A</v>
      </c>
      <c r="N94" s="340"/>
      <c r="O94" s="490"/>
      <c r="P94" s="482"/>
    </row>
    <row r="95" spans="1:16" s="332" customFormat="1" ht="19.5" customHeight="1" thickBot="1">
      <c r="A95" s="47"/>
      <c r="B95" s="41" t="s">
        <v>663</v>
      </c>
      <c r="C95" s="1" t="e">
        <f>C93+C94</f>
        <v>#N/A</v>
      </c>
      <c r="D95" s="368"/>
      <c r="E95" s="12" t="e">
        <f>E93+E94</f>
        <v>#N/A</v>
      </c>
      <c r="F95" s="340"/>
      <c r="G95" s="12">
        <f>G93+G94</f>
        <v>0</v>
      </c>
      <c r="H95" s="340"/>
      <c r="I95" s="12">
        <f>I93+I94</f>
        <v>0</v>
      </c>
      <c r="J95" s="486">
        <f>IF(OR(I95="",I95=0),0%,I95/K95)</f>
        <v>0</v>
      </c>
      <c r="K95" s="12">
        <f>K93+K94</f>
        <v>0</v>
      </c>
      <c r="L95" s="64"/>
      <c r="M95" s="144" t="e">
        <f>M93+M94</f>
        <v>#N/A</v>
      </c>
      <c r="O95" s="474"/>
      <c r="P95" s="484"/>
    </row>
    <row r="96" spans="1:16" s="332" customFormat="1" ht="19.5" customHeight="1">
      <c r="A96" s="47"/>
      <c r="B96" s="39"/>
      <c r="C96" s="50"/>
      <c r="D96" s="37"/>
      <c r="E96" s="50"/>
      <c r="G96" s="50"/>
      <c r="I96" s="50"/>
      <c r="J96" s="321"/>
      <c r="K96" s="50"/>
      <c r="L96" s="69"/>
      <c r="M96" s="50"/>
      <c r="O96" s="334"/>
      <c r="P96" s="484"/>
    </row>
    <row r="97" spans="1:15" ht="19.5" customHeight="1">
      <c r="A97" s="49" t="s">
        <v>664</v>
      </c>
      <c r="B97" s="39"/>
      <c r="C97" s="50"/>
      <c r="D97" s="37"/>
      <c r="E97" s="50"/>
      <c r="F97" s="332"/>
      <c r="G97" s="50"/>
      <c r="H97" s="332"/>
      <c r="I97" s="50"/>
      <c r="J97" s="321"/>
      <c r="K97" s="50"/>
      <c r="L97" s="69"/>
      <c r="M97" s="50"/>
      <c r="N97" s="332"/>
      <c r="O97" s="334"/>
    </row>
    <row r="98" spans="1:15" s="332" customFormat="1" ht="19.5" customHeight="1">
      <c r="A98" s="47"/>
      <c r="B98" s="39"/>
      <c r="C98" s="42" t="s">
        <v>489</v>
      </c>
      <c r="D98" s="37"/>
      <c r="E98" s="42" t="s">
        <v>489</v>
      </c>
      <c r="G98" s="42" t="s">
        <v>489</v>
      </c>
      <c r="I98" s="42"/>
      <c r="J98" s="316"/>
      <c r="K98" s="42" t="s">
        <v>489</v>
      </c>
      <c r="L98" s="128"/>
      <c r="M98" s="42"/>
      <c r="O98" s="334"/>
    </row>
    <row r="99" spans="1:15" s="332" customFormat="1" ht="19.5" customHeight="1">
      <c r="A99" s="47"/>
      <c r="B99" s="39" t="s">
        <v>642</v>
      </c>
      <c r="C99" s="472" t="e">
        <f>C90</f>
        <v>#N/A</v>
      </c>
      <c r="D99" s="37"/>
      <c r="E99" s="472" t="e">
        <f>E90</f>
        <v>#N/A</v>
      </c>
      <c r="G99" s="142">
        <f>G90</f>
        <v>0</v>
      </c>
      <c r="I99" s="42"/>
      <c r="J99" s="316"/>
      <c r="K99" s="142">
        <f>K90</f>
        <v>0</v>
      </c>
      <c r="L99" s="128"/>
      <c r="M99" s="42"/>
      <c r="O99" s="334"/>
    </row>
    <row r="100" spans="1:15" s="332" customFormat="1" ht="19.5" customHeight="1" thickBot="1">
      <c r="A100" s="47"/>
      <c r="B100" s="39" t="s">
        <v>640</v>
      </c>
      <c r="C100" s="473" t="e">
        <f>C95</f>
        <v>#N/A</v>
      </c>
      <c r="D100" s="37"/>
      <c r="E100" s="473" t="e">
        <f>E95</f>
        <v>#N/A</v>
      </c>
      <c r="G100" s="148">
        <f>G95</f>
        <v>0</v>
      </c>
      <c r="I100" s="42"/>
      <c r="J100" s="316"/>
      <c r="K100" s="148">
        <f>K95</f>
        <v>0</v>
      </c>
      <c r="L100" s="128"/>
      <c r="M100" s="42"/>
      <c r="O100" s="334"/>
    </row>
    <row r="101" spans="1:15" ht="19.5" customHeight="1" thickBot="1">
      <c r="A101" s="47"/>
      <c r="B101" s="39" t="s">
        <v>643</v>
      </c>
      <c r="C101" s="144" t="e">
        <f>C99-C100</f>
        <v>#N/A</v>
      </c>
      <c r="D101" s="37"/>
      <c r="E101" s="144" t="e">
        <f>E99-E100</f>
        <v>#N/A</v>
      </c>
      <c r="F101" s="340"/>
      <c r="G101" s="144">
        <f>G99-G100</f>
        <v>0</v>
      </c>
      <c r="H101" s="342"/>
      <c r="I101" s="13"/>
      <c r="J101" s="319"/>
      <c r="K101" s="144">
        <f>K99-K100</f>
        <v>0</v>
      </c>
      <c r="L101" s="64"/>
      <c r="M101" s="42"/>
      <c r="N101" s="332"/>
      <c r="O101" s="334"/>
    </row>
    <row r="102" spans="1:15" ht="19.5" customHeight="1" thickBot="1">
      <c r="A102" s="47"/>
      <c r="B102" s="39" t="s">
        <v>665</v>
      </c>
      <c r="C102" s="245" t="e">
        <f>VLOOKUP($I$3,'Data - CFR 202526'!$B$4:$CJ$143,67,FALSE)</f>
        <v>#N/A</v>
      </c>
      <c r="D102" s="37"/>
      <c r="E102" s="245" t="e">
        <f>VLOOKUP($I$3,'Data - 2026-27Approved Budget'!$B$3:$CJ$140,67,FALSE)</f>
        <v>#N/A</v>
      </c>
      <c r="F102" s="340"/>
      <c r="G102" s="168" t="e">
        <f>VLOOKUP($I$3,'Data - Revenue Balances Mar 26'!$A$5:$G$140,6,FALSE)</f>
        <v>#N/A</v>
      </c>
      <c r="H102" s="342"/>
      <c r="I102" s="13"/>
      <c r="J102" s="319"/>
      <c r="K102" s="168" t="e">
        <f>G102</f>
        <v>#N/A</v>
      </c>
      <c r="L102" s="64"/>
      <c r="M102" s="42"/>
      <c r="N102" s="332"/>
      <c r="O102" s="334"/>
    </row>
    <row r="103" spans="1:15" s="332" customFormat="1" ht="19.5" customHeight="1" thickBot="1">
      <c r="A103" s="38"/>
      <c r="B103" s="39" t="s">
        <v>666</v>
      </c>
      <c r="C103" s="471" t="e">
        <f>C101+C102</f>
        <v>#N/A</v>
      </c>
      <c r="D103" s="37"/>
      <c r="E103" s="144" t="e">
        <f>E101+E102</f>
        <v>#N/A</v>
      </c>
      <c r="F103" s="340"/>
      <c r="G103" s="144" t="e">
        <f>G101+G102</f>
        <v>#N/A</v>
      </c>
      <c r="H103" s="342"/>
      <c r="I103" s="13"/>
      <c r="J103" s="319"/>
      <c r="K103" s="354" t="e">
        <f>K101+K102</f>
        <v>#N/A</v>
      </c>
      <c r="L103" s="64"/>
      <c r="M103" s="42"/>
      <c r="O103" s="334"/>
    </row>
    <row r="104" spans="1:15" s="332" customFormat="1" ht="19.5" customHeight="1" thickBot="1">
      <c r="A104" s="38"/>
      <c r="B104" s="39"/>
      <c r="C104" s="51"/>
      <c r="D104" s="37"/>
      <c r="E104" s="51"/>
      <c r="G104" s="51"/>
      <c r="I104" s="6"/>
      <c r="J104" s="317"/>
      <c r="K104" s="51"/>
      <c r="L104" s="51"/>
      <c r="M104" s="42"/>
      <c r="O104" s="334"/>
    </row>
    <row r="105" spans="1:15" s="332" customFormat="1" ht="27.75" customHeight="1" thickBot="1">
      <c r="A105" s="149" t="s">
        <v>667</v>
      </c>
      <c r="B105" s="150"/>
      <c r="C105" s="151" t="s">
        <v>489</v>
      </c>
      <c r="D105" s="152"/>
      <c r="E105" s="151" t="s">
        <v>489</v>
      </c>
      <c r="F105" s="345"/>
      <c r="G105" s="151" t="s">
        <v>489</v>
      </c>
      <c r="H105" s="345"/>
      <c r="I105" s="151"/>
      <c r="J105" s="322"/>
      <c r="K105" s="151" t="s">
        <v>489</v>
      </c>
      <c r="L105" s="153"/>
      <c r="M105" s="371"/>
      <c r="N105" s="345"/>
      <c r="O105" s="371"/>
    </row>
    <row r="106" spans="1:15" s="332" customFormat="1" ht="19.5" customHeight="1" thickBot="1">
      <c r="A106" s="154" t="s">
        <v>668</v>
      </c>
      <c r="B106" s="39" t="s">
        <v>669</v>
      </c>
      <c r="C106" s="168">
        <v>0</v>
      </c>
      <c r="D106" s="37"/>
      <c r="E106" s="245" t="e">
        <f>VLOOKUP($I$3,'Data - 2026-27Approved Budget'!$B$3:$CJ$140,69,FALSE)</f>
        <v>#N/A</v>
      </c>
      <c r="F106" s="340"/>
      <c r="G106" s="12">
        <v>0</v>
      </c>
      <c r="H106" s="342"/>
      <c r="I106" s="13"/>
      <c r="J106" s="319"/>
      <c r="K106" s="409"/>
      <c r="L106" s="64"/>
      <c r="M106" s="42"/>
      <c r="O106" s="334"/>
    </row>
    <row r="107" spans="1:15" s="332" customFormat="1" ht="19.5" customHeight="1" thickBot="1">
      <c r="A107" s="154" t="s">
        <v>670</v>
      </c>
      <c r="B107" s="39" t="s">
        <v>671</v>
      </c>
      <c r="C107" s="168" t="e">
        <f>$C$80</f>
        <v>#N/A</v>
      </c>
      <c r="D107" s="37"/>
      <c r="E107" s="245" t="e">
        <f>VLOOKUP($I$3,'Data - 2026-27Approved Budget'!$B$3:$CJ$140,70,FALSE)</f>
        <v>#N/A</v>
      </c>
      <c r="F107" s="340"/>
      <c r="G107" s="12" t="e">
        <f>G80</f>
        <v>#N/A</v>
      </c>
      <c r="H107" s="342"/>
      <c r="I107" s="13"/>
      <c r="J107" s="319"/>
      <c r="K107" s="12" t="e">
        <f>K80-K106</f>
        <v>#N/A</v>
      </c>
      <c r="L107" s="64"/>
      <c r="M107" s="42"/>
      <c r="O107" s="334"/>
    </row>
    <row r="108" spans="1:15" s="332" customFormat="1" ht="19.5" customHeight="1" thickBot="1">
      <c r="A108" s="154" t="s">
        <v>672</v>
      </c>
      <c r="B108" s="39" t="s">
        <v>673</v>
      </c>
      <c r="C108" s="168" t="e">
        <f>C103</f>
        <v>#N/A</v>
      </c>
      <c r="D108" s="37"/>
      <c r="E108" s="245" t="e">
        <f>VLOOKUP($I$3,'Data - 2026-27Approved Budget'!$B$3:$CJ$140,71,FALSE)</f>
        <v>#N/A</v>
      </c>
      <c r="F108" s="340"/>
      <c r="G108" s="168" t="e">
        <f>G103</f>
        <v>#N/A</v>
      </c>
      <c r="H108" s="342"/>
      <c r="I108" s="13"/>
      <c r="J108" s="319"/>
      <c r="K108" s="168" t="e">
        <f>K103</f>
        <v>#N/A</v>
      </c>
      <c r="L108" s="64"/>
      <c r="M108" s="42"/>
      <c r="O108" s="334"/>
    </row>
    <row r="109" spans="1:15" s="332" customFormat="1" ht="18" thickBot="1">
      <c r="A109" s="155" t="s">
        <v>674</v>
      </c>
      <c r="B109" s="52"/>
      <c r="C109" s="141" t="e">
        <f>SUM(C106:C108)</f>
        <v>#N/A</v>
      </c>
      <c r="D109" s="52"/>
      <c r="E109" s="141" t="e">
        <f>SUM(E106:E108)</f>
        <v>#N/A</v>
      </c>
      <c r="F109" s="53"/>
      <c r="G109" s="141" t="e">
        <f>SUM(G106:G108)</f>
        <v>#N/A</v>
      </c>
      <c r="H109" s="147"/>
      <c r="I109" s="63"/>
      <c r="J109" s="319"/>
      <c r="K109" s="168" t="e">
        <f>SUM(K106:K108)</f>
        <v>#N/A</v>
      </c>
      <c r="L109" s="54"/>
      <c r="M109" s="42"/>
      <c r="O109" s="334"/>
    </row>
    <row r="110" spans="1:15" s="332" customFormat="1" ht="7.5" customHeight="1" thickBot="1">
      <c r="A110" s="155"/>
      <c r="B110" s="52"/>
      <c r="C110" s="63"/>
      <c r="D110" s="52"/>
      <c r="E110" s="54"/>
      <c r="F110" s="52"/>
      <c r="G110" s="54"/>
      <c r="H110" s="52"/>
      <c r="I110" s="63"/>
      <c r="J110" s="319"/>
      <c r="K110" s="54"/>
      <c r="L110" s="54"/>
      <c r="M110" s="42"/>
      <c r="O110" s="334"/>
    </row>
    <row r="111" spans="1:15" s="332" customFormat="1" ht="19.5" customHeight="1" thickBot="1">
      <c r="A111" s="156"/>
      <c r="B111" s="39" t="s">
        <v>675</v>
      </c>
      <c r="C111" s="170" t="e">
        <f>C109/SUM(C16:C20)</f>
        <v>#N/A</v>
      </c>
      <c r="D111" s="37"/>
      <c r="E111" s="170" t="e">
        <f>E109/SUM(E16:E20)</f>
        <v>#N/A</v>
      </c>
      <c r="G111" s="170" t="e">
        <f>G109/SUM(G16:G20)</f>
        <v>#N/A</v>
      </c>
      <c r="I111" s="13"/>
      <c r="J111" s="319"/>
      <c r="K111" s="353" t="e">
        <f>K109/SUM(K16:K20)</f>
        <v>#N/A</v>
      </c>
      <c r="L111" s="64"/>
      <c r="M111" s="399"/>
      <c r="O111" s="475"/>
    </row>
    <row r="112" spans="1:15" s="332" customFormat="1" ht="19.5" customHeight="1">
      <c r="A112" s="156"/>
      <c r="B112" s="39"/>
      <c r="C112" s="162"/>
      <c r="D112" s="37"/>
      <c r="E112" s="162"/>
      <c r="G112" s="162"/>
      <c r="I112" s="13"/>
      <c r="J112" s="319"/>
      <c r="K112" s="163"/>
      <c r="L112" s="64"/>
      <c r="M112" s="42"/>
      <c r="O112" s="475"/>
    </row>
    <row r="113" spans="1:16" s="332" customFormat="1" ht="19.5" customHeight="1">
      <c r="A113" s="156"/>
      <c r="B113" s="39" t="s">
        <v>1439</v>
      </c>
      <c r="C113" s="162"/>
      <c r="D113" s="37"/>
      <c r="E113" s="162"/>
      <c r="G113" s="162"/>
      <c r="I113" s="13"/>
      <c r="J113" s="319"/>
      <c r="K113" s="164" t="e">
        <f>K109-E109</f>
        <v>#N/A</v>
      </c>
      <c r="L113" s="64"/>
      <c r="M113" s="42"/>
      <c r="O113" s="475"/>
      <c r="P113" s="484"/>
    </row>
    <row r="114" spans="1:16" s="332" customFormat="1" ht="19.5" customHeight="1">
      <c r="A114" s="156"/>
      <c r="B114" s="39" t="s">
        <v>676</v>
      </c>
      <c r="C114" s="162"/>
      <c r="D114" s="37"/>
      <c r="E114" s="162"/>
      <c r="G114" s="162"/>
      <c r="I114" s="13"/>
      <c r="J114" s="319"/>
      <c r="K114" s="180" t="e">
        <f>K113/SUM(E16:E20)</f>
        <v>#N/A</v>
      </c>
      <c r="L114" s="64"/>
      <c r="M114" s="42"/>
      <c r="O114" s="475"/>
      <c r="P114" s="484"/>
    </row>
    <row r="115" spans="1:16" s="332" customFormat="1" ht="19.5" customHeight="1">
      <c r="A115" s="156"/>
      <c r="B115" s="39"/>
      <c r="C115" s="162"/>
      <c r="D115" s="37"/>
      <c r="E115" s="162"/>
      <c r="G115" s="162"/>
      <c r="I115" s="13"/>
      <c r="J115" s="319"/>
      <c r="K115" s="42"/>
      <c r="L115" s="64"/>
      <c r="M115" s="42"/>
      <c r="O115" s="475"/>
      <c r="P115" s="484"/>
    </row>
    <row r="116" spans="1:16" s="332" customFormat="1" ht="19.5" customHeight="1">
      <c r="A116" s="156"/>
      <c r="B116" s="39">
        <f>_xlfn.IFNA(IF(K116&lt;&gt;0,"Difference to SBS BvA Report Totals",),)</f>
        <v>0</v>
      </c>
      <c r="C116" s="162"/>
      <c r="D116" s="37"/>
      <c r="E116" s="162"/>
      <c r="G116" s="162"/>
      <c r="I116" s="321"/>
      <c r="J116" s="319"/>
      <c r="K116" s="42">
        <f>_xlfn.IFNA(SUM(K109,-VLOOKUP("Revenue Carry Forward",'SBS BvA Report (Table)'!A:K,11,0)-VLOOKUP("Extended Carry Forward",'SBS BvA Report (Table)'!A:K,11,0)),)</f>
        <v>0</v>
      </c>
      <c r="L116" s="64"/>
      <c r="M116" s="42"/>
      <c r="O116" s="475"/>
      <c r="P116" s="484"/>
    </row>
    <row r="117" spans="1:16" s="332" customFormat="1" ht="19.5" customHeight="1">
      <c r="A117" s="156"/>
      <c r="B117" s="39">
        <f>IF(K117&lt;&gt;0,"ZZZ Amount",)</f>
        <v>0</v>
      </c>
      <c r="C117" s="162"/>
      <c r="D117" s="37"/>
      <c r="E117" s="162"/>
      <c r="G117" s="162"/>
      <c r="I117" s="321"/>
      <c r="J117" s="319"/>
      <c r="K117" s="42">
        <f>_xlfn.IFNA(VLOOKUP("ZZZ",'SBS BvA Report (Table)'!A:AF,11,0),)</f>
        <v>0</v>
      </c>
      <c r="L117" s="64"/>
      <c r="M117" s="42"/>
      <c r="O117" s="475"/>
      <c r="P117" s="484"/>
    </row>
    <row r="118" spans="1:16" s="332" customFormat="1" ht="19.5" customHeight="1">
      <c r="A118" s="156"/>
      <c r="B118" s="39"/>
      <c r="C118" s="162"/>
      <c r="D118" s="37"/>
      <c r="E118" s="162"/>
      <c r="G118" s="162"/>
      <c r="I118" s="13"/>
      <c r="J118" s="319"/>
      <c r="K118" s="42"/>
      <c r="L118" s="64"/>
      <c r="M118" s="42"/>
      <c r="O118" s="475"/>
      <c r="P118" s="484"/>
    </row>
    <row r="119" spans="1:16" s="332" customFormat="1" ht="7.5" customHeight="1" thickBot="1">
      <c r="A119" s="157"/>
      <c r="B119" s="158"/>
      <c r="C119" s="159"/>
      <c r="D119" s="160"/>
      <c r="E119" s="159"/>
      <c r="F119" s="346"/>
      <c r="G119" s="161"/>
      <c r="H119" s="346"/>
      <c r="I119" s="161"/>
      <c r="J119" s="323"/>
      <c r="K119" s="159"/>
      <c r="L119" s="159"/>
      <c r="M119" s="161"/>
      <c r="N119" s="346"/>
      <c r="O119" s="477"/>
      <c r="P119" s="484"/>
    </row>
    <row r="120" spans="1:16" s="332" customFormat="1" ht="30.75" customHeight="1">
      <c r="A120" s="570" t="s">
        <v>435</v>
      </c>
      <c r="B120" s="571"/>
      <c r="C120" s="571"/>
      <c r="D120" s="571"/>
      <c r="E120" s="571"/>
      <c r="F120" s="571"/>
      <c r="G120" s="571"/>
      <c r="H120" s="571"/>
      <c r="I120" s="571"/>
      <c r="J120" s="571"/>
      <c r="K120" s="571"/>
      <c r="L120" s="571"/>
      <c r="M120" s="571"/>
      <c r="N120" s="571"/>
      <c r="O120" s="571"/>
      <c r="P120" s="572"/>
    </row>
    <row r="121" spans="1:16" s="332" customFormat="1" ht="96.6">
      <c r="A121" s="47" t="str">
        <f>B3</f>
        <v>Please Click on Arrow to Choose School</v>
      </c>
      <c r="B121" s="41"/>
      <c r="C121" s="134" t="s">
        <v>1514</v>
      </c>
      <c r="D121" s="135"/>
      <c r="E121" s="134" t="s">
        <v>1515</v>
      </c>
      <c r="F121" s="136"/>
      <c r="G121" s="134" t="s">
        <v>482</v>
      </c>
      <c r="H121" s="136"/>
      <c r="I121" s="134" t="s">
        <v>483</v>
      </c>
      <c r="J121" s="315" t="s">
        <v>484</v>
      </c>
      <c r="K121" s="134" t="s">
        <v>1597</v>
      </c>
      <c r="L121" s="134"/>
      <c r="M121" s="134" t="s">
        <v>1598</v>
      </c>
      <c r="N121" s="131"/>
      <c r="O121" s="134" t="s">
        <v>546</v>
      </c>
      <c r="P121" s="481" t="s">
        <v>1468</v>
      </c>
    </row>
    <row r="122" spans="1:16" s="62" customFormat="1" ht="23.25" customHeight="1">
      <c r="A122" s="33"/>
      <c r="B122" s="137"/>
      <c r="C122" s="559" t="s">
        <v>486</v>
      </c>
      <c r="D122" s="559"/>
      <c r="E122" s="559"/>
      <c r="F122" s="559"/>
      <c r="G122" s="559"/>
      <c r="H122" s="559"/>
      <c r="I122" s="559"/>
      <c r="J122" s="559"/>
      <c r="K122" s="559"/>
      <c r="L122" s="559"/>
      <c r="M122" s="559"/>
      <c r="N122" s="339"/>
      <c r="O122" s="338"/>
      <c r="P122" s="479"/>
    </row>
    <row r="123" spans="1:16" s="332" customFormat="1" ht="19.5" customHeight="1">
      <c r="A123" s="49" t="s">
        <v>677</v>
      </c>
      <c r="B123" s="39"/>
      <c r="C123" s="42" t="s">
        <v>489</v>
      </c>
      <c r="E123" s="42" t="s">
        <v>489</v>
      </c>
      <c r="G123" s="42" t="s">
        <v>489</v>
      </c>
      <c r="I123" s="42" t="s">
        <v>489</v>
      </c>
      <c r="J123" s="517">
        <f>$K$5/100</f>
        <v>0.25</v>
      </c>
      <c r="K123" s="42" t="s">
        <v>489</v>
      </c>
      <c r="L123" s="128"/>
      <c r="M123" s="42" t="s">
        <v>489</v>
      </c>
      <c r="O123" s="476"/>
      <c r="P123" s="340"/>
    </row>
    <row r="124" spans="1:16" s="332" customFormat="1" ht="19.5" customHeight="1">
      <c r="A124" s="47" t="s">
        <v>678</v>
      </c>
      <c r="B124" s="39" t="s">
        <v>679</v>
      </c>
      <c r="C124" s="469" t="e">
        <f>VLOOKUP($I$3,'Data - CFR 202526'!$B$4:$CJ$143,73,FALSE)</f>
        <v>#N/A</v>
      </c>
      <c r="D124" s="331" t="s">
        <v>680</v>
      </c>
      <c r="E124" s="469" t="e">
        <f>VLOOKUP($I$3,'Data - 2026-27Approved Budget'!$B$3:$CJ$140,73,FALSE)</f>
        <v>#N/A</v>
      </c>
      <c r="F124" s="340"/>
      <c r="G124" s="470">
        <f>_xlfn.IFNA(VLOOKUP(CONCATENATE($A124,$D124),'SBS BvA Report (Table)'!$A:$N,5,0),0)</f>
        <v>0</v>
      </c>
      <c r="H124" s="340"/>
      <c r="I124" s="470">
        <f>IF($O$3="y",_xlfn.IFNA(VLOOKUP(CONCATENATE($A124,$D124),'SBS BvA Report (Table)'!$A:$N,6,0),0),_xlfn.IFNA(-VLOOKUP($A124,'SBS BvA Report (Table)'!$A:$N,6,0),0))</f>
        <v>0</v>
      </c>
      <c r="J124" s="485">
        <f>IFERROR(IF(I124="",0%,I124/K124),0)</f>
        <v>0</v>
      </c>
      <c r="K124" s="470">
        <f>_xlfn.IFNA(VLOOKUP(CONCATENATE($A124,$D124),'SBS BvA Report (Table)'!$A:$N,12,0),0)</f>
        <v>0</v>
      </c>
      <c r="L124" s="341"/>
      <c r="M124" s="143" t="e">
        <f>IF(G124="",(K124-E124),(K124-E124))</f>
        <v>#N/A</v>
      </c>
      <c r="N124" s="340"/>
      <c r="O124" s="490"/>
      <c r="P124" s="482"/>
    </row>
    <row r="125" spans="1:16" s="332" customFormat="1" ht="19.5" customHeight="1">
      <c r="A125" s="47" t="s">
        <v>681</v>
      </c>
      <c r="B125" s="39" t="s">
        <v>682</v>
      </c>
      <c r="C125" s="469" t="e">
        <f>VLOOKUP($I$3,'Data - CFR 202526'!$B$4:$CJ$143,74,FALSE)</f>
        <v>#N/A</v>
      </c>
      <c r="D125" s="331" t="s">
        <v>683</v>
      </c>
      <c r="E125" s="469" t="e">
        <f>VLOOKUP($I$3,'Data - 2026-27Approved Budget'!$B$3:$CJ$140,74,FALSE)</f>
        <v>#N/A</v>
      </c>
      <c r="F125" s="340"/>
      <c r="G125" s="470">
        <f>_xlfn.IFNA(VLOOKUP(CONCATENATE($A125,$D125),'SBS BvA Report (Table)'!$A:$N,5,0),0)</f>
        <v>0</v>
      </c>
      <c r="H125" s="340"/>
      <c r="I125" s="470">
        <f>IF($O$3="y",_xlfn.IFNA(VLOOKUP(CONCATENATE($A125,$D125),'SBS BvA Report (Table)'!$A:$N,6,0),0),_xlfn.IFNA(-VLOOKUP($A125,'SBS BvA Report (Table)'!$A:$N,6,0),0))</f>
        <v>0</v>
      </c>
      <c r="J125" s="485">
        <f>IFERROR(IF(I125="",0%,I125/K125),0)</f>
        <v>0</v>
      </c>
      <c r="K125" s="470">
        <f>_xlfn.IFNA(VLOOKUP(CONCATENATE($A125,$D125),'SBS BvA Report (Table)'!$A:$N,12,0),0)</f>
        <v>0</v>
      </c>
      <c r="L125" s="341"/>
      <c r="M125" s="143" t="e">
        <f>IF(G125="",(K125-E125),(K125-E125))</f>
        <v>#N/A</v>
      </c>
      <c r="N125" s="340"/>
      <c r="O125" s="490"/>
      <c r="P125" s="482"/>
    </row>
    <row r="126" spans="1:16" s="332" customFormat="1" ht="19.5" customHeight="1" thickBot="1">
      <c r="A126" s="47" t="s">
        <v>684</v>
      </c>
      <c r="B126" s="39" t="s">
        <v>685</v>
      </c>
      <c r="C126" s="469" t="e">
        <f>VLOOKUP($I$3,'Data - CFR 202526'!$B$4:$CJ$143,75,FALSE)</f>
        <v>#N/A</v>
      </c>
      <c r="D126" s="331" t="s">
        <v>686</v>
      </c>
      <c r="E126" s="469" t="e">
        <f>VLOOKUP($I$3,'Data - 2026-27Approved Budget'!$B$3:$CJ$140,75,FALSE)</f>
        <v>#N/A</v>
      </c>
      <c r="F126" s="340"/>
      <c r="G126" s="470">
        <f>_xlfn.IFNA(VLOOKUP(CONCATENATE($A126,$D126),'SBS BvA Report (Table)'!$A:$N,5,0),0)</f>
        <v>0</v>
      </c>
      <c r="H126" s="340"/>
      <c r="I126" s="470">
        <f>IF($O$3="y",_xlfn.IFNA(VLOOKUP(CONCATENATE($A126,$D126),'SBS BvA Report (Table)'!$A:$N,6,0),0),_xlfn.IFNA(-VLOOKUP($A126,'SBS BvA Report (Table)'!$A:$N,6,0),0))</f>
        <v>0</v>
      </c>
      <c r="J126" s="485">
        <f>IFERROR(IF(I126="",0%,I126/K126),0)</f>
        <v>0</v>
      </c>
      <c r="K126" s="470">
        <f>_xlfn.IFNA(VLOOKUP(CONCATENATE($A126,$D126),'SBS BvA Report (Table)'!$A:$N,12,0),0)</f>
        <v>0</v>
      </c>
      <c r="L126" s="341"/>
      <c r="M126" s="143" t="e">
        <f>IF(G126="",(K126-E126),(K126-E126))</f>
        <v>#N/A</v>
      </c>
      <c r="N126" s="340"/>
      <c r="O126" s="490"/>
      <c r="P126" s="482"/>
    </row>
    <row r="127" spans="1:16" s="43" customFormat="1" ht="19.5" customHeight="1" thickBot="1">
      <c r="A127" s="45"/>
      <c r="B127" s="41" t="s">
        <v>436</v>
      </c>
      <c r="C127" s="1" t="e">
        <f>SUM(C124:C126)</f>
        <v>#N/A</v>
      </c>
      <c r="D127" s="369"/>
      <c r="E127" s="1" t="e">
        <f>SUM(E124:E126)</f>
        <v>#N/A</v>
      </c>
      <c r="F127" s="59"/>
      <c r="G127" s="1">
        <f>SUM(G124:G126)</f>
        <v>0</v>
      </c>
      <c r="H127" s="59"/>
      <c r="I127" s="1">
        <f>SUM(I124:I126)</f>
        <v>0</v>
      </c>
      <c r="J127" s="486">
        <f>IF(OR(I127="",I127=0),0%,I127/K127)</f>
        <v>0</v>
      </c>
      <c r="K127" s="1">
        <f>SUM(K124:K126)</f>
        <v>0</v>
      </c>
      <c r="L127" s="64"/>
      <c r="M127" s="144" t="e">
        <f>SUM(M124:M126)</f>
        <v>#N/A</v>
      </c>
      <c r="O127" s="478"/>
      <c r="P127" s="483"/>
    </row>
    <row r="128" spans="1:16" s="332" customFormat="1" ht="19.5" customHeight="1">
      <c r="A128" s="47"/>
      <c r="B128" s="39"/>
      <c r="C128" s="50"/>
      <c r="D128" s="331"/>
      <c r="E128" s="50"/>
      <c r="G128" s="50"/>
      <c r="I128" s="50"/>
      <c r="J128" s="487"/>
      <c r="K128" s="50"/>
      <c r="L128" s="69"/>
      <c r="M128" s="50"/>
      <c r="O128" s="334"/>
      <c r="P128" s="484"/>
    </row>
    <row r="129" spans="1:15" s="332" customFormat="1" ht="19.5" customHeight="1">
      <c r="A129" s="49" t="s">
        <v>687</v>
      </c>
      <c r="B129" s="39"/>
      <c r="C129" s="42" t="s">
        <v>489</v>
      </c>
      <c r="D129" s="370"/>
      <c r="E129" s="42" t="s">
        <v>489</v>
      </c>
      <c r="G129" s="42" t="s">
        <v>489</v>
      </c>
      <c r="I129" s="42" t="s">
        <v>489</v>
      </c>
      <c r="J129" s="517">
        <f>$K$5/100</f>
        <v>0.25</v>
      </c>
      <c r="K129" s="42" t="s">
        <v>489</v>
      </c>
      <c r="L129" s="128"/>
      <c r="M129" s="42" t="s">
        <v>489</v>
      </c>
      <c r="O129" s="476"/>
    </row>
    <row r="130" spans="1:15" s="332" customFormat="1" ht="19.5" customHeight="1">
      <c r="A130" s="47" t="s">
        <v>688</v>
      </c>
      <c r="B130" s="39" t="s">
        <v>689</v>
      </c>
      <c r="C130" s="469" t="e">
        <f>VLOOKUP($I$3,'Data - CFR 202526'!$B$4:$CJ$143,77,FALSE)</f>
        <v>#N/A</v>
      </c>
      <c r="D130" s="331" t="s">
        <v>690</v>
      </c>
      <c r="E130" s="469" t="e">
        <f>VLOOKUP($I$3,'Data - 2026-27Approved Budget'!$B$3:$CJ$140,77,FALSE)</f>
        <v>#N/A</v>
      </c>
      <c r="F130" s="340"/>
      <c r="G130" s="470">
        <f>_xlfn.IFNA(VLOOKUP(CONCATENATE($A130,$D130),'SBS BvA Report (Table)'!$A:$N,5,0),0)</f>
        <v>0</v>
      </c>
      <c r="H130" s="340"/>
      <c r="I130" s="470">
        <f>_xlfn.IFNA(VLOOKUP(CONCATENATE($A130,$D130),'SBS BvA Report (Table)'!$A:$N,6,0),0)</f>
        <v>0</v>
      </c>
      <c r="J130" s="485">
        <f>IFERROR(IF(I130="",0%,I130/K130),0)</f>
        <v>0</v>
      </c>
      <c r="K130" s="470">
        <f>_xlfn.IFNA(VLOOKUP(CONCATENATE($A130,$D130),'SBS BvA Report (Table)'!$A:$N,12,0),0)</f>
        <v>0</v>
      </c>
      <c r="L130" s="341"/>
      <c r="M130" s="143" t="e">
        <f>IF(G130="",(K130-E130),(K130-E130))</f>
        <v>#N/A</v>
      </c>
      <c r="N130" s="340"/>
      <c r="O130" s="490"/>
    </row>
    <row r="131" spans="1:15" s="332" customFormat="1" ht="19.5" customHeight="1">
      <c r="A131" s="47" t="s">
        <v>691</v>
      </c>
      <c r="B131" s="39" t="s">
        <v>692</v>
      </c>
      <c r="C131" s="469" t="e">
        <f>VLOOKUP($I$3,'Data - CFR 202526'!$B$4:$CJ$143,78,FALSE)</f>
        <v>#N/A</v>
      </c>
      <c r="D131" s="331" t="s">
        <v>693</v>
      </c>
      <c r="E131" s="469" t="e">
        <f>VLOOKUP($I$3,'Data - 2026-27Approved Budget'!$B$3:$CJ$140,78,FALSE)</f>
        <v>#N/A</v>
      </c>
      <c r="F131" s="340"/>
      <c r="G131" s="470">
        <f>_xlfn.IFNA(VLOOKUP(CONCATENATE($A131,$D131),'SBS BvA Report (Table)'!$A:$N,5,0),0)</f>
        <v>0</v>
      </c>
      <c r="H131" s="340"/>
      <c r="I131" s="470">
        <f>_xlfn.IFNA(VLOOKUP(CONCATENATE($A131,$D131),'SBS BvA Report (Table)'!$A:$N,6,0),0)</f>
        <v>0</v>
      </c>
      <c r="J131" s="485">
        <f>IFERROR(IF(I131="",0%,I131/K131),0)</f>
        <v>0</v>
      </c>
      <c r="K131" s="470">
        <f>_xlfn.IFNA(VLOOKUP(CONCATENATE($A131,$D131),'SBS BvA Report (Table)'!$A:$N,12,0),0)</f>
        <v>0</v>
      </c>
      <c r="L131" s="341"/>
      <c r="M131" s="143">
        <f>IF(G131="",(K131-E131),(K131-G131))</f>
        <v>0</v>
      </c>
      <c r="N131" s="340"/>
      <c r="O131" s="490"/>
    </row>
    <row r="132" spans="1:15" s="332" customFormat="1" ht="19.5" customHeight="1">
      <c r="A132" s="47" t="s">
        <v>694</v>
      </c>
      <c r="B132" s="39" t="s">
        <v>695</v>
      </c>
      <c r="C132" s="469" t="e">
        <f>VLOOKUP($I$3,'Data - CFR 202526'!$B$4:$CJ$143,79,FALSE)</f>
        <v>#N/A</v>
      </c>
      <c r="D132" s="331" t="s">
        <v>696</v>
      </c>
      <c r="E132" s="469" t="e">
        <f>VLOOKUP($I$3,'Data - 2026-27Approved Budget'!$B$3:$CJ$140,79,FALSE)</f>
        <v>#N/A</v>
      </c>
      <c r="F132" s="340"/>
      <c r="G132" s="470">
        <f>_xlfn.IFNA(VLOOKUP(CONCATENATE($A132,$D132),'SBS BvA Report (Table)'!$A:$N,5,0),0)</f>
        <v>0</v>
      </c>
      <c r="H132" s="340"/>
      <c r="I132" s="470">
        <f>_xlfn.IFNA(VLOOKUP(CONCATENATE($A132,$D132),'SBS BvA Report (Table)'!$A:$N,6,0),0)</f>
        <v>0</v>
      </c>
      <c r="J132" s="485">
        <f>IFERROR(IF(I132="",0%,I132/K132),0)</f>
        <v>0</v>
      </c>
      <c r="K132" s="470">
        <f>_xlfn.IFNA(VLOOKUP(CONCATENATE($A132,$D132),'SBS BvA Report (Table)'!$A:$N,12,0),0)</f>
        <v>0</v>
      </c>
      <c r="L132" s="341"/>
      <c r="M132" s="143">
        <f>IF(G132="",(K132-E132),(K132-G132))</f>
        <v>0</v>
      </c>
      <c r="N132" s="340"/>
      <c r="O132" s="490"/>
    </row>
    <row r="133" spans="1:15" s="332" customFormat="1" ht="19.5" customHeight="1" thickBot="1">
      <c r="A133" s="47" t="s">
        <v>697</v>
      </c>
      <c r="B133" s="39" t="s">
        <v>698</v>
      </c>
      <c r="C133" s="469" t="e">
        <f>VLOOKUP($I$3,'Data - CFR 202526'!$B$4:$CJ$143,80,FALSE)</f>
        <v>#N/A</v>
      </c>
      <c r="D133" s="331"/>
      <c r="E133" s="469" t="e">
        <f>VLOOKUP($I$3,'Data - 2026-27Approved Budget'!$B$3:$CJ$140,80,FALSE)</f>
        <v>#N/A</v>
      </c>
      <c r="F133" s="340"/>
      <c r="G133" s="468">
        <f>SUM(_xlfn.IFNA(VLOOKUP("CE04A: Connectivity",'SBS BvA Report (Table)'!$A:$N,5,0),0),_xlfn.IFNA(VLOOKUP("CE04B: Onsite Servers",'SBS BvA Report (Table)'!$A:$N,5,0),0),_xlfn.IFNA(VLOOKUP("CE04C: Administration Software &amp; Systems",'SBS BvA Report (Table)'!$A:$N,5,0),0),_xlfn.IFNA(VLOOKUP("CE04D: Laptops, Desktops &amp; Tablets",'SBS BvA Report (Table)'!$A:$N,5,0),0),0)</f>
        <v>0</v>
      </c>
      <c r="H133" s="340"/>
      <c r="I133" s="468">
        <f>SUM(_xlfn.IFNA(VLOOKUP("CE04A: Connectivity",'SBS BvA Report (Table)'!$A:$N,6,0),0),_xlfn.IFNA(VLOOKUP("CE04B: Onsite Servers",'SBS BvA Report (Table)'!$A:$N,6,0),0),_xlfn.IFNA(VLOOKUP("CE04C: Administration Software &amp; Systems",'SBS BvA Report (Table)'!$A:$N,6,0),0),_xlfn.IFNA(VLOOKUP("CE04D: Laptops, Desktops &amp; Tablets",'SBS BvA Report (Table)'!$A:$N,6,0),0),0)</f>
        <v>0</v>
      </c>
      <c r="J133" s="485">
        <f>IFERROR(IF(I133="",0%,I133/K133),0)</f>
        <v>0</v>
      </c>
      <c r="K133" s="468">
        <f>SUM(_xlfn.IFNA(VLOOKUP("CE04A: Connectivity",'SBS BvA Report (Table)'!$A:$N,12,0),0),_xlfn.IFNA(VLOOKUP("CE04B: Onsite Servers",'SBS BvA Report (Table)'!$A:$N,12,0),0),_xlfn.IFNA(VLOOKUP("CE04C: Administration Software &amp; Systems",'SBS BvA Report (Table)'!$A:$N,12,0),0),_xlfn.IFNA(VLOOKUP("CE04D: Laptops, Desktops &amp; Tablets",'SBS BvA Report (Table)'!$A:$N,12,0),0),0)</f>
        <v>0</v>
      </c>
      <c r="L133" s="341"/>
      <c r="M133" s="143">
        <f>IF(G133="",(K133-E133),(K133-G133))</f>
        <v>0</v>
      </c>
      <c r="N133" s="340"/>
      <c r="O133" s="490"/>
    </row>
    <row r="134" spans="1:15" s="332" customFormat="1" ht="19.5" customHeight="1" thickBot="1">
      <c r="A134" s="47"/>
      <c r="B134" s="41" t="s">
        <v>437</v>
      </c>
      <c r="C134" s="1" t="e">
        <f>SUM(C130:C133)</f>
        <v>#N/A</v>
      </c>
      <c r="D134" s="331"/>
      <c r="E134" s="1" t="e">
        <f>SUM(E130:E133)</f>
        <v>#N/A</v>
      </c>
      <c r="F134" s="340"/>
      <c r="G134" s="1">
        <f>SUM(G130:G133)</f>
        <v>0</v>
      </c>
      <c r="H134" s="340"/>
      <c r="I134" s="1">
        <f>SUM(I130:I133)</f>
        <v>0</v>
      </c>
      <c r="J134" s="486">
        <f>IF(OR(I134="",I134=0),0%,I134/K134)</f>
        <v>0</v>
      </c>
      <c r="K134" s="1">
        <f>SUM(K130:K133)</f>
        <v>0</v>
      </c>
      <c r="L134" s="64"/>
      <c r="M134" s="144" t="e">
        <f>SUM(M130:M133)</f>
        <v>#N/A</v>
      </c>
      <c r="N134" s="342"/>
      <c r="O134" s="474"/>
    </row>
    <row r="135" spans="1:15" s="332" customFormat="1" ht="19.5" customHeight="1" thickBot="1">
      <c r="A135" s="47"/>
      <c r="B135" s="41"/>
      <c r="C135" s="6"/>
      <c r="D135" s="37"/>
      <c r="E135" s="6"/>
      <c r="G135" s="6"/>
      <c r="I135" s="6"/>
      <c r="J135" s="317"/>
      <c r="K135" s="6"/>
      <c r="L135" s="51"/>
      <c r="M135" s="6"/>
      <c r="O135" s="334"/>
    </row>
    <row r="136" spans="1:15" s="332" customFormat="1" ht="19.5" customHeight="1" thickBot="1">
      <c r="A136" s="47"/>
      <c r="B136" s="39" t="s">
        <v>699</v>
      </c>
      <c r="C136" s="144" t="e">
        <f>C127-C134</f>
        <v>#N/A</v>
      </c>
      <c r="D136" s="37"/>
      <c r="E136" s="144" t="e">
        <f>E127-E134</f>
        <v>#N/A</v>
      </c>
      <c r="F136" s="340"/>
      <c r="G136" s="144">
        <f>G127-G134</f>
        <v>0</v>
      </c>
      <c r="H136" s="342"/>
      <c r="I136" s="42"/>
      <c r="J136" s="324"/>
      <c r="K136" s="144">
        <f>K127-K134</f>
        <v>0</v>
      </c>
      <c r="L136" s="347"/>
      <c r="M136" s="348"/>
      <c r="O136" s="334"/>
    </row>
    <row r="137" spans="1:15" s="332" customFormat="1" ht="19.5" customHeight="1" thickBot="1">
      <c r="A137" s="47"/>
      <c r="B137" s="39" t="s">
        <v>700</v>
      </c>
      <c r="C137" s="245" t="e">
        <f>VLOOKUP($I$3,'Data - CFR 202526'!$B$4:$CJ$143,83,FALSE)</f>
        <v>#N/A</v>
      </c>
      <c r="D137" s="37"/>
      <c r="E137" s="245" t="e">
        <f>VLOOKUP($I$3,'Data - 2026-27Approved Budget'!$B$3:$CJ$140,83,FALSE)</f>
        <v>#N/A</v>
      </c>
      <c r="F137" s="340"/>
      <c r="G137" s="168" t="e">
        <f>E137</f>
        <v>#N/A</v>
      </c>
      <c r="H137" s="342"/>
      <c r="I137" s="42"/>
      <c r="J137" s="324"/>
      <c r="K137" s="168" t="e">
        <f>G137</f>
        <v>#N/A</v>
      </c>
      <c r="L137" s="347"/>
      <c r="M137" s="348"/>
      <c r="O137" s="334"/>
    </row>
    <row r="138" spans="1:15" s="332" customFormat="1" ht="19.5" customHeight="1" thickBot="1">
      <c r="A138" s="47"/>
      <c r="B138" s="41" t="s">
        <v>701</v>
      </c>
      <c r="C138" s="471" t="e">
        <f>C136+C137</f>
        <v>#N/A</v>
      </c>
      <c r="D138" s="37"/>
      <c r="E138" s="144" t="e">
        <f>E136+E137</f>
        <v>#N/A</v>
      </c>
      <c r="F138" s="340"/>
      <c r="G138" s="144" t="e">
        <f>G136+G137</f>
        <v>#N/A</v>
      </c>
      <c r="H138" s="342"/>
      <c r="I138" s="42"/>
      <c r="J138" s="319"/>
      <c r="K138" s="144" t="e">
        <f>K136+K137</f>
        <v>#N/A</v>
      </c>
      <c r="L138" s="64"/>
      <c r="M138" s="13"/>
      <c r="O138" s="334"/>
    </row>
    <row r="139" spans="1:15" ht="19.5" customHeight="1">
      <c r="A139" s="55"/>
      <c r="B139" s="349"/>
      <c r="C139" s="7"/>
      <c r="D139" s="58"/>
      <c r="E139" s="7"/>
      <c r="F139" s="344"/>
      <c r="G139" s="7"/>
      <c r="H139" s="344"/>
      <c r="I139" s="7"/>
      <c r="J139" s="325"/>
      <c r="K139" s="7"/>
      <c r="L139" s="57"/>
      <c r="M139" s="7"/>
      <c r="N139" s="344"/>
      <c r="O139" s="476"/>
    </row>
    <row r="192" spans="1:5" hidden="1">
      <c r="A192" s="350" t="s">
        <v>702</v>
      </c>
      <c r="B192" s="50"/>
      <c r="C192" s="50"/>
      <c r="D192" s="50"/>
      <c r="E192" s="50"/>
    </row>
    <row r="193" spans="1:5" hidden="1">
      <c r="A193" s="288" t="s">
        <v>703</v>
      </c>
      <c r="B193" s="50" t="s">
        <v>704</v>
      </c>
      <c r="C193" s="288">
        <v>3373</v>
      </c>
      <c r="D193" s="288">
        <v>3373</v>
      </c>
      <c r="E193" s="50" t="str">
        <f>VLOOKUP(D193,'Data - CFR 202526'!$B$4:$E$127,4,0)</f>
        <v>30EP3373</v>
      </c>
    </row>
    <row r="194" spans="1:5" hidden="1">
      <c r="A194" s="288" t="s">
        <v>705</v>
      </c>
      <c r="B194" s="50" t="s">
        <v>704</v>
      </c>
      <c r="C194" s="288">
        <v>3061</v>
      </c>
      <c r="D194" s="288">
        <v>3061</v>
      </c>
      <c r="E194" s="50" t="str">
        <f>VLOOKUP(D194,'Data - CFR 202526'!$B$4:$E$127,4,0)</f>
        <v>30EP3061</v>
      </c>
    </row>
    <row r="195" spans="1:5" hidden="1">
      <c r="A195" s="288" t="s">
        <v>706</v>
      </c>
      <c r="B195" s="50" t="s">
        <v>704</v>
      </c>
      <c r="C195" s="288">
        <v>2083</v>
      </c>
      <c r="D195" s="288">
        <v>2083</v>
      </c>
      <c r="E195" s="50" t="str">
        <f>VLOOKUP(D195,'Data - CFR 202526'!$B$4:$E$127,4,0)</f>
        <v>30EP2083</v>
      </c>
    </row>
    <row r="196" spans="1:5" hidden="1">
      <c r="A196" s="288" t="s">
        <v>707</v>
      </c>
      <c r="B196" s="50" t="s">
        <v>704</v>
      </c>
      <c r="C196" s="288">
        <v>2118</v>
      </c>
      <c r="D196" s="288">
        <v>2118</v>
      </c>
      <c r="E196" s="50" t="str">
        <f>VLOOKUP(D196,'Data - CFR 202526'!$B$4:$E$127,4,0)</f>
        <v>30EP2118</v>
      </c>
    </row>
    <row r="197" spans="1:5" hidden="1">
      <c r="A197" s="288" t="s">
        <v>708</v>
      </c>
      <c r="B197" s="50" t="s">
        <v>704</v>
      </c>
      <c r="C197" s="288">
        <v>2217</v>
      </c>
      <c r="D197" s="288">
        <v>2217</v>
      </c>
      <c r="E197" s="50" t="str">
        <f>VLOOKUP(D197,'Data - CFR 202526'!$B$4:$E$127,4,0)</f>
        <v>30EP2217</v>
      </c>
    </row>
    <row r="198" spans="1:5" hidden="1">
      <c r="A198" s="288" t="s">
        <v>709</v>
      </c>
      <c r="B198" s="50" t="s">
        <v>704</v>
      </c>
      <c r="C198" s="288">
        <v>3067</v>
      </c>
      <c r="D198" s="288">
        <v>3067</v>
      </c>
      <c r="E198" s="50" t="str">
        <f>VLOOKUP(D198,'Data - CFR 202526'!$B$4:$E$127,4,0)</f>
        <v>30EP3067</v>
      </c>
    </row>
    <row r="199" spans="1:5" hidden="1">
      <c r="A199" s="289" t="s">
        <v>710</v>
      </c>
      <c r="B199" s="50" t="s">
        <v>704</v>
      </c>
      <c r="C199" s="289">
        <v>3001</v>
      </c>
      <c r="D199" s="289">
        <v>3001</v>
      </c>
      <c r="E199" s="50" t="str">
        <f>VLOOKUP(D199,'Data - CFR 202526'!$B$4:$E$127,4,0)</f>
        <v>30EP3001</v>
      </c>
    </row>
    <row r="200" spans="1:5" hidden="1">
      <c r="A200" s="288" t="s">
        <v>711</v>
      </c>
      <c r="B200" s="50" t="s">
        <v>704</v>
      </c>
      <c r="C200" s="288">
        <v>3301</v>
      </c>
      <c r="D200" s="288">
        <v>3301</v>
      </c>
      <c r="E200" s="50" t="str">
        <f>VLOOKUP(D200,'Data - CFR 202526'!$B$4:$E$127,4,0)</f>
        <v>30EP3301</v>
      </c>
    </row>
    <row r="201" spans="1:5" hidden="1">
      <c r="A201" s="288" t="s">
        <v>712</v>
      </c>
      <c r="B201" s="50" t="s">
        <v>704</v>
      </c>
      <c r="C201" s="288">
        <v>2002</v>
      </c>
      <c r="D201" s="288">
        <v>2002</v>
      </c>
      <c r="E201" s="50" t="str">
        <f>VLOOKUP(D201,'Data - CFR 202526'!$B$4:$E$127,4,0)</f>
        <v>30EP2002</v>
      </c>
    </row>
    <row r="202" spans="1:5" hidden="1">
      <c r="A202" s="288" t="s">
        <v>713</v>
      </c>
      <c r="B202" s="50" t="s">
        <v>704</v>
      </c>
      <c r="C202" s="288">
        <v>2082</v>
      </c>
      <c r="D202" s="288">
        <v>2082</v>
      </c>
      <c r="E202" s="50" t="str">
        <f>VLOOKUP(D202,'Data - CFR 202526'!$B$4:$E$127,4,0)</f>
        <v>30EP2082</v>
      </c>
    </row>
    <row r="203" spans="1:5" hidden="1">
      <c r="A203" s="288" t="s">
        <v>714</v>
      </c>
      <c r="B203" s="50" t="s">
        <v>704</v>
      </c>
      <c r="C203" s="288">
        <v>3943</v>
      </c>
      <c r="D203" s="288">
        <v>3943</v>
      </c>
      <c r="E203" s="50" t="str">
        <f>VLOOKUP(D203,'Data - CFR 202526'!$B$4:$E$127,4,0)</f>
        <v>30EP3943</v>
      </c>
    </row>
    <row r="204" spans="1:5" hidden="1">
      <c r="A204" s="288" t="s">
        <v>715</v>
      </c>
      <c r="B204" s="50" t="s">
        <v>704</v>
      </c>
      <c r="C204" s="288">
        <v>2060</v>
      </c>
      <c r="D204" s="288">
        <v>2060</v>
      </c>
      <c r="E204" s="50" t="str">
        <f>VLOOKUP(D204,'Data - CFR 202526'!$B$4:$E$127,4,0)</f>
        <v>30EP2060</v>
      </c>
    </row>
    <row r="205" spans="1:5" hidden="1">
      <c r="A205" s="288" t="s">
        <v>716</v>
      </c>
      <c r="B205" s="50" t="s">
        <v>704</v>
      </c>
      <c r="C205" s="288">
        <v>2312</v>
      </c>
      <c r="D205" s="288">
        <v>2312</v>
      </c>
      <c r="E205" s="50" t="str">
        <f>VLOOKUP(D205,'Data - CFR 202526'!$B$4:$E$127,4,0)</f>
        <v>30EP2312</v>
      </c>
    </row>
    <row r="206" spans="1:5" hidden="1">
      <c r="A206" s="288" t="s">
        <v>717</v>
      </c>
      <c r="B206" s="50" t="s">
        <v>704</v>
      </c>
      <c r="C206" s="288">
        <v>3942</v>
      </c>
      <c r="D206" s="288">
        <v>3942</v>
      </c>
      <c r="E206" s="50" t="str">
        <f>VLOOKUP(D206,'Data - CFR 202526'!$B$4:$E$127,4,0)</f>
        <v>30EP3942</v>
      </c>
    </row>
    <row r="207" spans="1:5" hidden="1">
      <c r="A207" s="288" t="s">
        <v>718</v>
      </c>
      <c r="B207" s="50" t="s">
        <v>704</v>
      </c>
      <c r="C207" s="288">
        <v>3081</v>
      </c>
      <c r="D207" s="288">
        <v>3081</v>
      </c>
      <c r="E207" s="50" t="str">
        <f>VLOOKUP(D207,'Data - CFR 202526'!$B$4:$E$127,4,0)</f>
        <v>30EP3081</v>
      </c>
    </row>
    <row r="208" spans="1:5" hidden="1">
      <c r="A208" s="288" t="s">
        <v>719</v>
      </c>
      <c r="B208" s="50" t="s">
        <v>720</v>
      </c>
      <c r="C208" s="288">
        <v>1005</v>
      </c>
      <c r="D208" s="288">
        <v>1005</v>
      </c>
      <c r="E208" s="50" t="str">
        <f>VLOOKUP(D208,'Data - CFR 202526'!$B$4:$E$127,4,0)</f>
        <v>30EN1005</v>
      </c>
    </row>
    <row r="209" spans="1:5" hidden="1">
      <c r="A209" s="288" t="s">
        <v>721</v>
      </c>
      <c r="B209" s="50" t="s">
        <v>704</v>
      </c>
      <c r="C209" s="288">
        <v>2327</v>
      </c>
      <c r="D209" s="288">
        <v>2327</v>
      </c>
      <c r="E209" s="50" t="str">
        <f>VLOOKUP(D209,'Data - CFR 202526'!$B$4:$E$127,4,0)</f>
        <v>30EP2327</v>
      </c>
    </row>
    <row r="210" spans="1:5" hidden="1">
      <c r="A210" s="288" t="s">
        <v>722</v>
      </c>
      <c r="B210" s="50" t="s">
        <v>704</v>
      </c>
      <c r="C210" s="288">
        <v>2452</v>
      </c>
      <c r="D210" s="288">
        <v>2452</v>
      </c>
      <c r="E210" s="50" t="str">
        <f>VLOOKUP(D210,'Data - CFR 202526'!$B$4:$E$127,4,0)</f>
        <v>30EP2452</v>
      </c>
    </row>
    <row r="211" spans="1:5" hidden="1">
      <c r="A211" s="288" t="s">
        <v>723</v>
      </c>
      <c r="B211" s="50" t="s">
        <v>704</v>
      </c>
      <c r="C211" s="288">
        <v>2004</v>
      </c>
      <c r="D211" s="288">
        <v>2004</v>
      </c>
      <c r="E211" s="50" t="str">
        <f>VLOOKUP(D211,'Data - CFR 202526'!$B$4:$E$127,4,0)</f>
        <v>30EP2004</v>
      </c>
    </row>
    <row r="212" spans="1:5" hidden="1">
      <c r="A212" s="288" t="s">
        <v>724</v>
      </c>
      <c r="B212" s="50" t="s">
        <v>704</v>
      </c>
      <c r="C212" s="288">
        <v>3008</v>
      </c>
      <c r="D212" s="288">
        <v>3008</v>
      </c>
      <c r="E212" s="50" t="str">
        <f>VLOOKUP(D212,'Data - CFR 202526'!$B$4:$E$127,4,0)</f>
        <v>30EP3008</v>
      </c>
    </row>
    <row r="213" spans="1:5" hidden="1">
      <c r="A213" s="288" t="s">
        <v>725</v>
      </c>
      <c r="B213" s="50" t="s">
        <v>726</v>
      </c>
      <c r="C213" s="288">
        <v>7026</v>
      </c>
      <c r="D213" s="288">
        <v>7026</v>
      </c>
      <c r="E213" s="50" t="str">
        <f>VLOOKUP(D213,'Data - CFR 202526'!$B$4:$E$127,4,0)</f>
        <v>30ES7026</v>
      </c>
    </row>
    <row r="214" spans="1:5" hidden="1">
      <c r="A214" s="288" t="s">
        <v>727</v>
      </c>
      <c r="B214" s="50" t="s">
        <v>704</v>
      </c>
      <c r="C214" s="288">
        <v>3050</v>
      </c>
      <c r="D214" s="288">
        <v>3050</v>
      </c>
      <c r="E214" s="50" t="str">
        <f>VLOOKUP(D214,'Data - CFR 202526'!$B$4:$E$127,4,0)</f>
        <v>30EP3050</v>
      </c>
    </row>
    <row r="215" spans="1:5" hidden="1">
      <c r="A215" s="288" t="s">
        <v>728</v>
      </c>
      <c r="B215" s="50" t="s">
        <v>704</v>
      </c>
      <c r="C215" s="288">
        <v>3009</v>
      </c>
      <c r="D215" s="288">
        <v>3009</v>
      </c>
      <c r="E215" s="50" t="str">
        <f>VLOOKUP(D215,'Data - CFR 202526'!$B$4:$E$127,4,0)</f>
        <v>30EP3009</v>
      </c>
    </row>
    <row r="216" spans="1:5" hidden="1">
      <c r="A216" s="288" t="s">
        <v>729</v>
      </c>
      <c r="B216" s="50" t="s">
        <v>704</v>
      </c>
      <c r="C216" s="288">
        <v>2091</v>
      </c>
      <c r="D216" s="288">
        <v>2091</v>
      </c>
      <c r="E216" s="50" t="str">
        <f>VLOOKUP(D216,'Data - CFR 202526'!$B$4:$E$127,4,0)</f>
        <v>30EP2091</v>
      </c>
    </row>
    <row r="217" spans="1:5" hidden="1">
      <c r="A217" s="288" t="s">
        <v>730</v>
      </c>
      <c r="B217" s="50" t="s">
        <v>704</v>
      </c>
      <c r="C217" s="288">
        <v>2065</v>
      </c>
      <c r="D217" s="288">
        <v>2065</v>
      </c>
      <c r="E217" s="50" t="str">
        <f>VLOOKUP(D217,'Data - CFR 202526'!$B$4:$E$127,4,0)</f>
        <v>30EP2065</v>
      </c>
    </row>
    <row r="218" spans="1:5" hidden="1">
      <c r="A218" s="288" t="s">
        <v>731</v>
      </c>
      <c r="B218" s="50" t="s">
        <v>720</v>
      </c>
      <c r="C218" s="288">
        <v>1006</v>
      </c>
      <c r="D218" s="288">
        <v>1006</v>
      </c>
      <c r="E218" s="50" t="str">
        <f>VLOOKUP(D218,'Data - CFR 202526'!$B$4:$E$127,4,0)</f>
        <v>30EN1006</v>
      </c>
    </row>
    <row r="219" spans="1:5" hidden="1">
      <c r="A219" s="288" t="s">
        <v>732</v>
      </c>
      <c r="B219" s="50" t="s">
        <v>704</v>
      </c>
      <c r="C219" s="288">
        <v>2119</v>
      </c>
      <c r="D219" s="288">
        <v>2119</v>
      </c>
      <c r="E219" s="50" t="str">
        <f>VLOOKUP(D219,'Data - CFR 202526'!$B$4:$E$127,4,0)</f>
        <v>30EP2119</v>
      </c>
    </row>
    <row r="220" spans="1:5" hidden="1">
      <c r="A220" s="288" t="s">
        <v>733</v>
      </c>
      <c r="B220" s="50" t="s">
        <v>704</v>
      </c>
      <c r="C220" s="288">
        <v>3011</v>
      </c>
      <c r="D220" s="288">
        <v>3011</v>
      </c>
      <c r="E220" s="50" t="str">
        <f>VLOOKUP(D220,'Data - CFR 202526'!$B$4:$E$127,4,0)</f>
        <v>30EP3011</v>
      </c>
    </row>
    <row r="221" spans="1:5" hidden="1">
      <c r="A221" s="288" t="s">
        <v>734</v>
      </c>
      <c r="B221" s="50" t="s">
        <v>704</v>
      </c>
      <c r="C221" s="288">
        <v>2006</v>
      </c>
      <c r="D221" s="288">
        <v>2006</v>
      </c>
      <c r="E221" s="50" t="str">
        <f>VLOOKUP(D221,'Data - CFR 202526'!$B$4:$E$127,4,0)</f>
        <v>30EP2006</v>
      </c>
    </row>
    <row r="222" spans="1:5" hidden="1">
      <c r="A222" s="288" t="s">
        <v>735</v>
      </c>
      <c r="B222" s="50" t="s">
        <v>704</v>
      </c>
      <c r="C222" s="288">
        <v>3012</v>
      </c>
      <c r="D222" s="288">
        <v>3012</v>
      </c>
      <c r="E222" s="50" t="str">
        <f>VLOOKUP(D222,'Data - CFR 202526'!$B$4:$E$127,4,0)</f>
        <v>30EP3012</v>
      </c>
    </row>
    <row r="223" spans="1:5" hidden="1">
      <c r="A223" s="288" t="s">
        <v>736</v>
      </c>
      <c r="B223" s="50" t="s">
        <v>704</v>
      </c>
      <c r="C223" s="288">
        <v>3041</v>
      </c>
      <c r="D223" s="288">
        <v>3041</v>
      </c>
      <c r="E223" s="50" t="str">
        <f>VLOOKUP(D223,'Data - CFR 202526'!$B$4:$E$127,4,0)</f>
        <v>30EP3041</v>
      </c>
    </row>
    <row r="224" spans="1:5" hidden="1">
      <c r="A224" s="288" t="s">
        <v>737</v>
      </c>
      <c r="B224" s="50" t="s">
        <v>704</v>
      </c>
      <c r="C224" s="288">
        <v>2246</v>
      </c>
      <c r="D224" s="288">
        <v>2246</v>
      </c>
      <c r="E224" s="50" t="str">
        <f>VLOOKUP(D224,'Data - CFR 202526'!$B$4:$E$127,4,0)</f>
        <v>30EP2246</v>
      </c>
    </row>
    <row r="225" spans="1:5" hidden="1">
      <c r="A225" s="288" t="s">
        <v>738</v>
      </c>
      <c r="B225" s="50" t="s">
        <v>704</v>
      </c>
      <c r="C225" s="288">
        <v>3308</v>
      </c>
      <c r="D225" s="288">
        <v>3308</v>
      </c>
      <c r="E225" s="50" t="str">
        <f>VLOOKUP(D225,'Data - CFR 202526'!$B$4:$E$127,4,0)</f>
        <v>30EP3308</v>
      </c>
    </row>
    <row r="226" spans="1:5" hidden="1">
      <c r="A226" s="288" t="s">
        <v>739</v>
      </c>
      <c r="B226" s="50" t="s">
        <v>704</v>
      </c>
      <c r="C226" s="288">
        <v>3368</v>
      </c>
      <c r="D226" s="288">
        <v>3368</v>
      </c>
      <c r="E226" s="50" t="str">
        <f>VLOOKUP(D226,'Data - CFR 202526'!$B$4:$E$127,4,0)</f>
        <v>30EP3368</v>
      </c>
    </row>
    <row r="227" spans="1:5" hidden="1">
      <c r="A227" s="288" t="s">
        <v>740</v>
      </c>
      <c r="B227" s="50" t="s">
        <v>704</v>
      </c>
      <c r="C227" s="288">
        <v>2444</v>
      </c>
      <c r="D227" s="288">
        <v>2444</v>
      </c>
      <c r="E227" s="50" t="str">
        <f>VLOOKUP(D227,'Data - CFR 202526'!$B$4:$E$127,4,0)</f>
        <v>30EP2444</v>
      </c>
    </row>
    <row r="228" spans="1:5" hidden="1">
      <c r="A228" s="288" t="s">
        <v>741</v>
      </c>
      <c r="B228" s="50" t="s">
        <v>704</v>
      </c>
      <c r="C228" s="288">
        <v>3074</v>
      </c>
      <c r="D228" s="288">
        <v>3074</v>
      </c>
      <c r="E228" s="50" t="str">
        <f>VLOOKUP(D228,'Data - CFR 202526'!$B$4:$E$127,4,0)</f>
        <v>30EP3074</v>
      </c>
    </row>
    <row r="229" spans="1:5" hidden="1">
      <c r="A229" s="288"/>
      <c r="B229" s="50" t="s">
        <v>704</v>
      </c>
      <c r="C229" s="288">
        <v>2336</v>
      </c>
      <c r="D229" s="288">
        <v>2336</v>
      </c>
      <c r="E229" s="50" t="str">
        <f>VLOOKUP(D229,'Data - CFR 202526'!$B$4:$E$127,4,0)</f>
        <v>30EP2336</v>
      </c>
    </row>
    <row r="230" spans="1:5" hidden="1">
      <c r="A230" s="288" t="s">
        <v>742</v>
      </c>
      <c r="B230" s="50" t="s">
        <v>704</v>
      </c>
      <c r="C230" s="288">
        <v>2010</v>
      </c>
      <c r="D230" s="288">
        <v>2010</v>
      </c>
      <c r="E230" s="50" t="str">
        <f>VLOOKUP(D230,'Data - CFR 202526'!$B$4:$E$127,4,0)</f>
        <v>30EP2010</v>
      </c>
    </row>
    <row r="231" spans="1:5" hidden="1">
      <c r="A231" s="288" t="s">
        <v>743</v>
      </c>
      <c r="B231" s="50" t="s">
        <v>704</v>
      </c>
      <c r="C231" s="288">
        <v>2208</v>
      </c>
      <c r="D231" s="288">
        <v>2208</v>
      </c>
      <c r="E231" s="50" t="str">
        <f>VLOOKUP(D231,'Data - CFR 202526'!$B$4:$E$127,4,0)</f>
        <v>30EP2208</v>
      </c>
    </row>
    <row r="232" spans="1:5" hidden="1">
      <c r="A232" s="288" t="s">
        <v>744</v>
      </c>
      <c r="B232" s="50" t="s">
        <v>704</v>
      </c>
      <c r="C232" s="288">
        <v>3065</v>
      </c>
      <c r="D232" s="288">
        <v>3065</v>
      </c>
      <c r="E232" s="50" t="str">
        <f>VLOOKUP(D232,'Data - CFR 202526'!$B$4:$E$127,4,0)</f>
        <v>30EP3065</v>
      </c>
    </row>
    <row r="233" spans="1:5" hidden="1">
      <c r="A233" s="288" t="s">
        <v>745</v>
      </c>
      <c r="B233" s="50" t="s">
        <v>704</v>
      </c>
      <c r="C233" s="288">
        <v>3014</v>
      </c>
      <c r="D233" s="288">
        <v>3014</v>
      </c>
      <c r="E233" s="50" t="str">
        <f>VLOOKUP(D233,'Data - CFR 202526'!$B$4:$E$127,4,0)</f>
        <v>30EP3014</v>
      </c>
    </row>
    <row r="234" spans="1:5" hidden="1">
      <c r="A234" s="288" t="s">
        <v>746</v>
      </c>
      <c r="B234" s="50" t="s">
        <v>704</v>
      </c>
      <c r="C234" s="288">
        <v>2321</v>
      </c>
      <c r="D234" s="288">
        <v>2321</v>
      </c>
      <c r="E234" s="50" t="str">
        <f>VLOOKUP(D234,'Data - CFR 202526'!$B$4:$E$127,4,0)</f>
        <v>30EP2321</v>
      </c>
    </row>
    <row r="235" spans="1:5" hidden="1">
      <c r="A235" s="288" t="s">
        <v>747</v>
      </c>
      <c r="B235" s="50" t="s">
        <v>704</v>
      </c>
      <c r="C235" s="288">
        <v>2011</v>
      </c>
      <c r="D235" s="288">
        <v>2011</v>
      </c>
      <c r="E235" s="50" t="str">
        <f>VLOOKUP(D235,'Data - CFR 202526'!$B$4:$E$127,4,0)</f>
        <v>30EP2011</v>
      </c>
    </row>
    <row r="236" spans="1:5" hidden="1">
      <c r="A236" s="288" t="s">
        <v>748</v>
      </c>
      <c r="B236" s="50" t="s">
        <v>704</v>
      </c>
      <c r="C236" s="288">
        <v>2012</v>
      </c>
      <c r="D236" s="288">
        <v>2012</v>
      </c>
      <c r="E236" s="50" t="str">
        <f>VLOOKUP(D236,'Data - CFR 202526'!$B$4:$E$127,4,0)</f>
        <v>30EP2012</v>
      </c>
    </row>
    <row r="237" spans="1:5" hidden="1">
      <c r="A237" s="288" t="s">
        <v>749</v>
      </c>
      <c r="B237" s="50" t="s">
        <v>704</v>
      </c>
      <c r="C237" s="288">
        <v>2068</v>
      </c>
      <c r="D237" s="288">
        <v>2068</v>
      </c>
      <c r="E237" s="50" t="str">
        <f>VLOOKUP(D237,'Data - CFR 202526'!$B$4:$E$127,4,0)</f>
        <v>30EP2068</v>
      </c>
    </row>
    <row r="238" spans="1:5" hidden="1">
      <c r="A238" s="288" t="s">
        <v>750</v>
      </c>
      <c r="B238" s="50" t="s">
        <v>704</v>
      </c>
      <c r="C238" s="288">
        <v>2328</v>
      </c>
      <c r="D238" s="288">
        <v>2328</v>
      </c>
      <c r="E238" s="50" t="str">
        <f>VLOOKUP(D238,'Data - CFR 202526'!$B$4:$E$127,4,0)</f>
        <v>30EP2328</v>
      </c>
    </row>
    <row r="239" spans="1:5" hidden="1">
      <c r="A239" s="288" t="s">
        <v>751</v>
      </c>
      <c r="B239" s="50" t="s">
        <v>726</v>
      </c>
      <c r="C239" s="288">
        <v>7025</v>
      </c>
      <c r="D239" s="288">
        <v>7025</v>
      </c>
      <c r="E239" s="50" t="str">
        <f>VLOOKUP(D239,'Data - CFR 202526'!$B$4:$E$127,4,0)</f>
        <v>30ES7025</v>
      </c>
    </row>
    <row r="240" spans="1:5" hidden="1">
      <c r="A240" s="288" t="s">
        <v>752</v>
      </c>
      <c r="B240" s="50" t="s">
        <v>704</v>
      </c>
      <c r="C240" s="288">
        <v>2016</v>
      </c>
      <c r="D240" s="288">
        <v>2016</v>
      </c>
      <c r="E240" s="50" t="str">
        <f>VLOOKUP(D240,'Data - CFR 202526'!$B$4:$E$127,4,0)</f>
        <v>30EP2016</v>
      </c>
    </row>
    <row r="241" spans="1:5" hidden="1">
      <c r="A241" s="288" t="s">
        <v>753</v>
      </c>
      <c r="B241" s="50" t="s">
        <v>704</v>
      </c>
      <c r="C241" s="288">
        <v>3310</v>
      </c>
      <c r="D241" s="288">
        <v>3310</v>
      </c>
      <c r="E241" s="50" t="str">
        <f>VLOOKUP(D241,'Data - CFR 202526'!$B$4:$E$127,4,0)</f>
        <v>30EP3310</v>
      </c>
    </row>
    <row r="242" spans="1:5" hidden="1">
      <c r="A242" s="288" t="s">
        <v>754</v>
      </c>
      <c r="B242" s="50" t="s">
        <v>704</v>
      </c>
      <c r="C242" s="288">
        <v>3068</v>
      </c>
      <c r="D242" s="288">
        <v>3068</v>
      </c>
      <c r="E242" s="50" t="str">
        <f>VLOOKUP(D242,'Data - CFR 202526'!$B$4:$E$127,4,0)</f>
        <v>30EP3068</v>
      </c>
    </row>
    <row r="243" spans="1:5" hidden="1">
      <c r="A243" s="288" t="s">
        <v>755</v>
      </c>
      <c r="B243" s="50" t="s">
        <v>704</v>
      </c>
      <c r="C243" s="288">
        <v>2315</v>
      </c>
      <c r="D243" s="288">
        <v>2315</v>
      </c>
      <c r="E243" s="50" t="str">
        <f>VLOOKUP(D243,'Data - CFR 202526'!$B$4:$E$127,4,0)</f>
        <v>30EP2315</v>
      </c>
    </row>
    <row r="244" spans="1:5" hidden="1">
      <c r="A244" s="288" t="s">
        <v>756</v>
      </c>
      <c r="B244" s="50" t="s">
        <v>704</v>
      </c>
      <c r="C244" s="288">
        <v>2018</v>
      </c>
      <c r="D244" s="288">
        <v>2018</v>
      </c>
      <c r="E244" s="50" t="str">
        <f>VLOOKUP(D244,'Data - CFR 202526'!$B$4:$E$127,4,0)</f>
        <v>30EP2018</v>
      </c>
    </row>
    <row r="245" spans="1:5" hidden="1">
      <c r="A245" s="288" t="s">
        <v>757</v>
      </c>
      <c r="B245" s="50" t="s">
        <v>704</v>
      </c>
      <c r="C245" s="288">
        <v>3035</v>
      </c>
      <c r="D245" s="288">
        <v>3035</v>
      </c>
      <c r="E245" s="50" t="str">
        <f>VLOOKUP(D245,'Data - CFR 202526'!$B$4:$E$127,4,0)</f>
        <v>30EP3035</v>
      </c>
    </row>
    <row r="246" spans="1:5" hidden="1">
      <c r="A246" s="288" t="s">
        <v>758</v>
      </c>
      <c r="B246" s="50" t="s">
        <v>704</v>
      </c>
      <c r="C246" s="288">
        <v>2205</v>
      </c>
      <c r="D246" s="288">
        <v>2205</v>
      </c>
      <c r="E246" s="50" t="str">
        <f>VLOOKUP(D246,'Data - CFR 202526'!$B$4:$E$127,4,0)</f>
        <v>30EP2205</v>
      </c>
    </row>
    <row r="247" spans="1:5" hidden="1">
      <c r="A247" s="288" t="s">
        <v>759</v>
      </c>
      <c r="B247" s="50" t="s">
        <v>704</v>
      </c>
      <c r="C247" s="288">
        <v>2211</v>
      </c>
      <c r="D247" s="288">
        <v>2211</v>
      </c>
      <c r="E247" s="50" t="str">
        <f>VLOOKUP(D247,'Data - CFR 202526'!$B$4:$E$127,4,0)</f>
        <v>30EP2211</v>
      </c>
    </row>
    <row r="248" spans="1:5" hidden="1">
      <c r="A248" s="288" t="s">
        <v>760</v>
      </c>
      <c r="B248" s="50" t="s">
        <v>720</v>
      </c>
      <c r="C248" s="288">
        <v>1003</v>
      </c>
      <c r="D248" s="288">
        <v>1003</v>
      </c>
      <c r="E248" s="50" t="str">
        <f>VLOOKUP(D248,'Data - CFR 202526'!$B$4:$E$127,4,0)</f>
        <v>30EN1003</v>
      </c>
    </row>
    <row r="249" spans="1:5" hidden="1">
      <c r="A249" s="288" t="s">
        <v>761</v>
      </c>
      <c r="B249" s="50" t="s">
        <v>704</v>
      </c>
      <c r="C249" s="288">
        <v>3071</v>
      </c>
      <c r="D249" s="288">
        <v>3071</v>
      </c>
      <c r="E249" s="50" t="str">
        <f>VLOOKUP(D249,'Data - CFR 202526'!$B$4:$E$127,4,0)</f>
        <v>30EP3071</v>
      </c>
    </row>
    <row r="250" spans="1:5" hidden="1">
      <c r="A250" s="288" t="s">
        <v>762</v>
      </c>
      <c r="B250" s="50" t="s">
        <v>720</v>
      </c>
      <c r="C250" s="288">
        <v>1002</v>
      </c>
      <c r="D250" s="288">
        <v>1002</v>
      </c>
      <c r="E250" s="50" t="str">
        <f>VLOOKUP(D250,'Data - CFR 202526'!$B$4:$E$127,4,0)</f>
        <v>30EN1002</v>
      </c>
    </row>
    <row r="251" spans="1:5" hidden="1">
      <c r="A251" s="288" t="s">
        <v>763</v>
      </c>
      <c r="B251" s="50" t="s">
        <v>704</v>
      </c>
      <c r="C251" s="288">
        <v>2212</v>
      </c>
      <c r="D251" s="288">
        <v>2212</v>
      </c>
      <c r="E251" s="50" t="str">
        <f>VLOOKUP(D251,'Data - CFR 202526'!$B$4:$E$127,4,0)</f>
        <v>30EP2212</v>
      </c>
    </row>
    <row r="252" spans="1:5" hidden="1">
      <c r="A252" s="288" t="s">
        <v>764</v>
      </c>
      <c r="B252" s="50" t="s">
        <v>720</v>
      </c>
      <c r="C252" s="288">
        <v>1007</v>
      </c>
      <c r="D252" s="288">
        <v>1007</v>
      </c>
      <c r="E252" s="50" t="str">
        <f>VLOOKUP(D252,'Data - CFR 202526'!$B$4:$E$127,4,0)</f>
        <v>30EN1007</v>
      </c>
    </row>
    <row r="253" spans="1:5" hidden="1">
      <c r="A253" s="288" t="s">
        <v>765</v>
      </c>
      <c r="B253" s="327" t="s">
        <v>704</v>
      </c>
      <c r="C253" s="288">
        <v>3945</v>
      </c>
      <c r="D253" s="288">
        <v>3945</v>
      </c>
      <c r="E253" s="50" t="str">
        <f>VLOOKUP(D253,'Data - CFR 202526'!$B$4:$E$127,4,0)</f>
        <v>30EP3945</v>
      </c>
    </row>
    <row r="254" spans="1:5" hidden="1">
      <c r="A254" s="288" t="s">
        <v>766</v>
      </c>
      <c r="B254" s="327" t="s">
        <v>704</v>
      </c>
      <c r="C254" s="288">
        <v>3022</v>
      </c>
      <c r="D254" s="288">
        <v>3022</v>
      </c>
      <c r="E254" s="50" t="str">
        <f>VLOOKUP(D254,'Data - CFR 202526'!$B$4:$E$127,4,0)</f>
        <v>30EP3022</v>
      </c>
    </row>
    <row r="255" spans="1:5" hidden="1">
      <c r="A255" s="288" t="s">
        <v>767</v>
      </c>
      <c r="B255" s="327" t="s">
        <v>704</v>
      </c>
      <c r="C255" s="288">
        <v>2442</v>
      </c>
      <c r="D255" s="288">
        <v>2442</v>
      </c>
      <c r="E255" s="50" t="str">
        <f>VLOOKUP(D255,'Data - CFR 202526'!$B$4:$E$127,4,0)</f>
        <v>30EP2442</v>
      </c>
    </row>
    <row r="256" spans="1:5" hidden="1">
      <c r="A256" s="288" t="s">
        <v>768</v>
      </c>
      <c r="B256" s="327" t="s">
        <v>704</v>
      </c>
      <c r="C256" s="288">
        <v>2331</v>
      </c>
      <c r="D256" s="288">
        <v>2331</v>
      </c>
      <c r="E256" s="50" t="str">
        <f>VLOOKUP(D256,'Data - CFR 202526'!$B$4:$E$127,4,0)</f>
        <v>30EP2331</v>
      </c>
    </row>
    <row r="257" spans="1:5" hidden="1">
      <c r="A257" s="288"/>
      <c r="B257" s="327" t="s">
        <v>720</v>
      </c>
      <c r="C257" s="288">
        <v>1000</v>
      </c>
      <c r="D257" s="288">
        <v>1000</v>
      </c>
      <c r="E257" s="50" t="str">
        <f>VLOOKUP(D257,'Data - CFR 202526'!$B$4:$E$127,4,0)</f>
        <v>30EN1000</v>
      </c>
    </row>
    <row r="258" spans="1:5" hidden="1">
      <c r="A258" s="288" t="s">
        <v>470</v>
      </c>
      <c r="B258" s="327" t="s">
        <v>704</v>
      </c>
      <c r="C258" s="288">
        <v>2446</v>
      </c>
      <c r="D258" s="288">
        <v>2446</v>
      </c>
      <c r="E258" s="50" t="str">
        <f>VLOOKUP(D258,'Data - CFR 202526'!$B$4:$E$127,4,0)</f>
        <v>30EP2446</v>
      </c>
    </row>
    <row r="259" spans="1:5" hidden="1">
      <c r="A259" s="288" t="s">
        <v>769</v>
      </c>
      <c r="B259" s="327" t="s">
        <v>704</v>
      </c>
      <c r="C259" s="288">
        <v>3317</v>
      </c>
      <c r="D259" s="288">
        <v>3317</v>
      </c>
      <c r="E259" s="50" t="str">
        <f>VLOOKUP(D259,'Data - CFR 202526'!$B$4:$E$127,4,0)</f>
        <v>30EP3317</v>
      </c>
    </row>
    <row r="260" spans="1:5" hidden="1">
      <c r="A260" s="290" t="s">
        <v>770</v>
      </c>
      <c r="B260" s="327" t="s">
        <v>704</v>
      </c>
      <c r="C260" s="290">
        <v>2066</v>
      </c>
      <c r="D260" s="290">
        <v>2066</v>
      </c>
      <c r="E260" s="50" t="str">
        <f>VLOOKUP(D260,'Data - CFR 202526'!$B$4:$E$127,4,0)</f>
        <v>30EP2066</v>
      </c>
    </row>
    <row r="261" spans="1:5" hidden="1">
      <c r="A261" s="288" t="s">
        <v>771</v>
      </c>
      <c r="B261" s="327" t="s">
        <v>704</v>
      </c>
      <c r="C261" s="288">
        <v>2293</v>
      </c>
      <c r="D261" s="288">
        <v>2293</v>
      </c>
      <c r="E261" s="50" t="str">
        <f>VLOOKUP(D261,'Data - CFR 202526'!$B$4:$E$127,4,0)</f>
        <v>30EP2293</v>
      </c>
    </row>
    <row r="262" spans="1:5" hidden="1">
      <c r="A262" s="288" t="s">
        <v>772</v>
      </c>
      <c r="B262" s="327" t="s">
        <v>704</v>
      </c>
      <c r="C262" s="288">
        <v>2074</v>
      </c>
      <c r="D262" s="288">
        <v>2074</v>
      </c>
      <c r="E262" s="50" t="str">
        <f>VLOOKUP(D262,'Data - CFR 202526'!$B$4:$E$127,4,0)</f>
        <v>30EP2074</v>
      </c>
    </row>
    <row r="263" spans="1:5" hidden="1">
      <c r="A263" s="288" t="s">
        <v>773</v>
      </c>
      <c r="B263" s="327" t="s">
        <v>704</v>
      </c>
      <c r="C263" s="288">
        <v>2075</v>
      </c>
      <c r="D263" s="288">
        <v>2075</v>
      </c>
      <c r="E263" s="50" t="str">
        <f>VLOOKUP(D263,'Data - CFR 202526'!$B$4:$E$127,4,0)</f>
        <v>30EP2075</v>
      </c>
    </row>
    <row r="264" spans="1:5" hidden="1">
      <c r="A264" s="288" t="s">
        <v>774</v>
      </c>
      <c r="B264" s="327" t="s">
        <v>704</v>
      </c>
      <c r="C264" s="288">
        <v>2121</v>
      </c>
      <c r="D264" s="288">
        <v>2121</v>
      </c>
      <c r="E264" s="50" t="str">
        <f>VLOOKUP(D264,'Data - CFR 202526'!$B$4:$E$127,4,0)</f>
        <v>30EP2121</v>
      </c>
    </row>
    <row r="265" spans="1:5" hidden="1">
      <c r="A265" s="288" t="s">
        <v>775</v>
      </c>
      <c r="B265" s="327" t="s">
        <v>704</v>
      </c>
      <c r="C265" s="288">
        <v>2028</v>
      </c>
      <c r="D265" s="288">
        <v>2028</v>
      </c>
      <c r="E265" s="50" t="str">
        <f>VLOOKUP(D265,'Data - CFR 202526'!$B$4:$E$127,4,0)</f>
        <v>30EP2028</v>
      </c>
    </row>
    <row r="266" spans="1:5" hidden="1">
      <c r="A266" s="288" t="s">
        <v>776</v>
      </c>
      <c r="B266" s="327" t="s">
        <v>704</v>
      </c>
      <c r="C266" s="288">
        <v>2029</v>
      </c>
      <c r="D266" s="288">
        <v>2029</v>
      </c>
      <c r="E266" s="50" t="str">
        <f>VLOOKUP(D266,'Data - CFR 202526'!$B$4:$E$127,4,0)</f>
        <v>30EP2029</v>
      </c>
    </row>
    <row r="267" spans="1:5" hidden="1">
      <c r="A267" s="288" t="s">
        <v>777</v>
      </c>
      <c r="B267" s="327" t="s">
        <v>704</v>
      </c>
      <c r="C267" s="288">
        <v>2059</v>
      </c>
      <c r="D267" s="288">
        <v>2059</v>
      </c>
      <c r="E267" s="50" t="str">
        <f>VLOOKUP(D267,'Data - CFR 202526'!$B$4:$E$127,4,0)</f>
        <v>30EP2059</v>
      </c>
    </row>
    <row r="268" spans="1:5" hidden="1">
      <c r="A268" s="288" t="s">
        <v>778</v>
      </c>
      <c r="B268" s="327" t="s">
        <v>704</v>
      </c>
      <c r="C268" s="288">
        <v>3386</v>
      </c>
      <c r="D268" s="288">
        <v>3386</v>
      </c>
      <c r="E268" s="50" t="str">
        <f>VLOOKUP(D268,'Data - CFR 202526'!$B$4:$E$127,4,0)</f>
        <v>30EP3386</v>
      </c>
    </row>
    <row r="269" spans="1:5" hidden="1">
      <c r="A269" s="288" t="s">
        <v>779</v>
      </c>
      <c r="B269" s="327" t="s">
        <v>704</v>
      </c>
      <c r="C269" s="288">
        <v>2449</v>
      </c>
      <c r="D269" s="288">
        <v>2449</v>
      </c>
      <c r="E269" s="50" t="str">
        <f>VLOOKUP(D269,'Data - CFR 202526'!$B$4:$E$127,4,0)</f>
        <v>30EP2449</v>
      </c>
    </row>
    <row r="270" spans="1:5" hidden="1">
      <c r="A270" s="288" t="s">
        <v>780</v>
      </c>
      <c r="B270" s="327" t="s">
        <v>704</v>
      </c>
      <c r="C270" s="288">
        <v>2107</v>
      </c>
      <c r="D270" s="288">
        <v>2107</v>
      </c>
      <c r="E270" s="50" t="str">
        <f>VLOOKUP(D270,'Data - CFR 202526'!$B$4:$E$127,4,0)</f>
        <v>30EP2107</v>
      </c>
    </row>
    <row r="271" spans="1:5" hidden="1">
      <c r="A271" s="288" t="s">
        <v>781</v>
      </c>
      <c r="B271" s="327" t="s">
        <v>704</v>
      </c>
      <c r="C271" s="288">
        <v>2109</v>
      </c>
      <c r="D271" s="288">
        <v>2109</v>
      </c>
      <c r="E271" s="50" t="str">
        <f>VLOOKUP(D271,'Data - CFR 202526'!$B$4:$E$127,4,0)</f>
        <v>30EP2109</v>
      </c>
    </row>
    <row r="272" spans="1:5" hidden="1">
      <c r="A272" s="288" t="s">
        <v>782</v>
      </c>
      <c r="B272" s="327" t="s">
        <v>704</v>
      </c>
      <c r="C272" s="288">
        <v>3390</v>
      </c>
      <c r="D272" s="288">
        <v>3390</v>
      </c>
      <c r="E272" s="50" t="str">
        <f>VLOOKUP(D272,'Data - CFR 202526'!$B$4:$E$127,4,0)</f>
        <v>30EP3390</v>
      </c>
    </row>
    <row r="273" spans="1:5" hidden="1">
      <c r="A273" s="290" t="s">
        <v>783</v>
      </c>
      <c r="B273" s="327" t="s">
        <v>704</v>
      </c>
      <c r="C273" s="290">
        <v>2031</v>
      </c>
      <c r="D273" s="290">
        <v>2031</v>
      </c>
      <c r="E273" s="50" t="str">
        <f>VLOOKUP(D273,'Data - CFR 202526'!$B$4:$E$127,4,0)</f>
        <v>30EP2031</v>
      </c>
    </row>
    <row r="274" spans="1:5" hidden="1">
      <c r="A274" s="288" t="s">
        <v>784</v>
      </c>
      <c r="B274" s="327" t="s">
        <v>704</v>
      </c>
      <c r="C274" s="288">
        <v>3350</v>
      </c>
      <c r="D274" s="288">
        <v>3350</v>
      </c>
      <c r="E274" s="50" t="str">
        <f>VLOOKUP(D274,'Data - CFR 202526'!$B$4:$E$127,4,0)</f>
        <v>30EP3350</v>
      </c>
    </row>
    <row r="275" spans="1:5" hidden="1">
      <c r="A275" s="288" t="s">
        <v>785</v>
      </c>
      <c r="B275" s="327" t="s">
        <v>704</v>
      </c>
      <c r="C275" s="288">
        <v>2033</v>
      </c>
      <c r="D275" s="288">
        <v>2033</v>
      </c>
      <c r="E275" s="50" t="str">
        <f>VLOOKUP(D275,'Data - CFR 202526'!$B$4:$E$127,4,0)</f>
        <v>30EP2033</v>
      </c>
    </row>
    <row r="276" spans="1:5" hidden="1">
      <c r="A276" s="288" t="s">
        <v>786</v>
      </c>
      <c r="B276" s="327" t="s">
        <v>704</v>
      </c>
      <c r="C276" s="288">
        <v>3331</v>
      </c>
      <c r="D276" s="288">
        <v>3331</v>
      </c>
      <c r="E276" s="50" t="str">
        <f>VLOOKUP(D276,'Data - CFR 202526'!$B$4:$E$127,4,0)</f>
        <v>30EP3331</v>
      </c>
    </row>
    <row r="277" spans="1:5" hidden="1">
      <c r="A277" s="288" t="s">
        <v>787</v>
      </c>
      <c r="B277" s="327" t="s">
        <v>704</v>
      </c>
      <c r="C277" s="288">
        <v>2239</v>
      </c>
      <c r="D277" s="288">
        <v>2239</v>
      </c>
      <c r="E277" s="50" t="str">
        <f>VLOOKUP(D277,'Data - CFR 202526'!$B$4:$E$127,4,0)</f>
        <v>30EP2239</v>
      </c>
    </row>
    <row r="278" spans="1:5" hidden="1">
      <c r="A278" s="288" t="s">
        <v>788</v>
      </c>
      <c r="B278" s="327" t="s">
        <v>704</v>
      </c>
      <c r="C278" s="288">
        <v>2219</v>
      </c>
      <c r="D278" s="288">
        <v>2219</v>
      </c>
      <c r="E278" s="50" t="str">
        <f>VLOOKUP(D278,'Data - CFR 202526'!$B$4:$E$127,4,0)</f>
        <v>30EP2219</v>
      </c>
    </row>
    <row r="279" spans="1:5" hidden="1">
      <c r="A279" s="288" t="s">
        <v>789</v>
      </c>
      <c r="B279" s="327" t="s">
        <v>704</v>
      </c>
      <c r="C279" s="288">
        <v>2333</v>
      </c>
      <c r="D279" s="288">
        <v>2333</v>
      </c>
      <c r="E279" s="50" t="str">
        <f>VLOOKUP(D279,'Data - CFR 202526'!$B$4:$E$127,4,0)</f>
        <v>30EP2333</v>
      </c>
    </row>
    <row r="280" spans="1:5" hidden="1">
      <c r="A280" s="288" t="s">
        <v>790</v>
      </c>
      <c r="B280" s="327" t="s">
        <v>704</v>
      </c>
      <c r="C280" s="288">
        <v>3946</v>
      </c>
      <c r="D280" s="288">
        <v>3946</v>
      </c>
      <c r="E280" s="50" t="str">
        <f>VLOOKUP(D280,'Data - CFR 202526'!$B$4:$E$127,4,0)</f>
        <v>30EP3946</v>
      </c>
    </row>
    <row r="281" spans="1:5" hidden="1">
      <c r="A281" s="288" t="s">
        <v>791</v>
      </c>
      <c r="B281" s="327" t="s">
        <v>704</v>
      </c>
      <c r="C281" s="288">
        <v>2453</v>
      </c>
      <c r="D281" s="288">
        <v>2453</v>
      </c>
      <c r="E281" s="50" t="str">
        <f>VLOOKUP(D281,'Data - CFR 202526'!$B$4:$E$127,4,0)</f>
        <v>30EP2453</v>
      </c>
    </row>
    <row r="282" spans="1:5" hidden="1">
      <c r="A282" s="288" t="s">
        <v>792</v>
      </c>
      <c r="B282" s="327" t="s">
        <v>704</v>
      </c>
      <c r="C282" s="288">
        <v>2070</v>
      </c>
      <c r="D282" s="288">
        <v>2070</v>
      </c>
      <c r="E282" s="50" t="str">
        <f>VLOOKUP(D282,'Data - CFR 202526'!$B$4:$E$127,4,0)</f>
        <v>30EP2070</v>
      </c>
    </row>
    <row r="283" spans="1:5" hidden="1">
      <c r="A283" s="288" t="s">
        <v>793</v>
      </c>
      <c r="B283" s="327" t="s">
        <v>726</v>
      </c>
      <c r="C283" s="288">
        <v>7023</v>
      </c>
      <c r="D283" s="288">
        <v>7023</v>
      </c>
      <c r="E283" s="50" t="str">
        <f>VLOOKUP(D283,'Data - CFR 202526'!$B$4:$E$127,4,0)</f>
        <v>30ES7023</v>
      </c>
    </row>
    <row r="284" spans="1:5" hidden="1">
      <c r="A284" s="288" t="s">
        <v>794</v>
      </c>
      <c r="B284" s="327" t="s">
        <v>704</v>
      </c>
      <c r="C284" s="288">
        <v>2255</v>
      </c>
      <c r="D284" s="288">
        <v>2255</v>
      </c>
      <c r="E284" s="50" t="str">
        <f>VLOOKUP(D284,'Data - CFR 202526'!$B$4:$E$127,4,0)</f>
        <v>30EP2255</v>
      </c>
    </row>
    <row r="285" spans="1:5" hidden="1">
      <c r="A285" s="288" t="s">
        <v>795</v>
      </c>
      <c r="B285" s="327" t="s">
        <v>704</v>
      </c>
      <c r="C285" s="288">
        <v>2115</v>
      </c>
      <c r="D285" s="288">
        <v>2115</v>
      </c>
      <c r="E285" s="50" t="str">
        <f>VLOOKUP(D285,'Data - CFR 202526'!$B$4:$E$127,4,0)</f>
        <v>30EP2115</v>
      </c>
    </row>
    <row r="286" spans="1:5" hidden="1">
      <c r="A286" s="288" t="s">
        <v>796</v>
      </c>
      <c r="B286" s="327" t="s">
        <v>704</v>
      </c>
      <c r="C286" s="288">
        <v>2329</v>
      </c>
      <c r="D286" s="288">
        <v>2329</v>
      </c>
      <c r="E286" s="50" t="str">
        <f>VLOOKUP(D286,'Data - CFR 202526'!$B$4:$E$127,4,0)</f>
        <v>30EP2329</v>
      </c>
    </row>
    <row r="287" spans="1:5" hidden="1">
      <c r="A287" s="288" t="s">
        <v>797</v>
      </c>
      <c r="B287" s="327" t="s">
        <v>704</v>
      </c>
      <c r="C287" s="288">
        <v>3384</v>
      </c>
      <c r="D287" s="288">
        <v>3384</v>
      </c>
      <c r="E287" s="50" t="str">
        <f>VLOOKUP(D287,'Data - CFR 202526'!$B$4:$E$127,4,0)</f>
        <v>30EP3384</v>
      </c>
    </row>
    <row r="288" spans="1:5" hidden="1">
      <c r="A288" s="288" t="s">
        <v>798</v>
      </c>
      <c r="B288" s="327" t="s">
        <v>799</v>
      </c>
      <c r="C288" s="288">
        <v>5200</v>
      </c>
      <c r="D288" s="288">
        <v>5200</v>
      </c>
      <c r="E288" s="50" t="str">
        <f>VLOOKUP(D288,'Data - CFR 202526'!$B$4:$E$127,4,0)</f>
        <v>30ES5200</v>
      </c>
    </row>
    <row r="289" spans="1:5" hidden="1">
      <c r="A289" s="288" t="s">
        <v>800</v>
      </c>
      <c r="B289" s="327" t="s">
        <v>704</v>
      </c>
      <c r="C289" s="288">
        <v>2317</v>
      </c>
      <c r="D289" s="288">
        <v>2317</v>
      </c>
      <c r="E289" s="50" t="str">
        <f>VLOOKUP(D289,'Data - CFR 202526'!$B$4:$E$127,4,0)</f>
        <v>30EP2317</v>
      </c>
    </row>
    <row r="290" spans="1:5" hidden="1">
      <c r="A290" s="288" t="s">
        <v>801</v>
      </c>
      <c r="B290" s="327" t="s">
        <v>704</v>
      </c>
      <c r="C290" s="288">
        <v>3356</v>
      </c>
      <c r="D290" s="288">
        <v>3356</v>
      </c>
      <c r="E290" s="50" t="str">
        <f>VLOOKUP(D290,'Data - CFR 202526'!$B$4:$E$127,4,0)</f>
        <v>30EP3356</v>
      </c>
    </row>
    <row r="291" spans="1:5" hidden="1">
      <c r="A291" s="288" t="s">
        <v>802</v>
      </c>
      <c r="B291" s="327" t="s">
        <v>704</v>
      </c>
      <c r="C291" s="288">
        <v>3358</v>
      </c>
      <c r="D291" s="288">
        <v>3358</v>
      </c>
      <c r="E291" s="50" t="str">
        <f>VLOOKUP(D291,'Data - CFR 202526'!$B$4:$E$127,4,0)</f>
        <v>30EP3358</v>
      </c>
    </row>
    <row r="292" spans="1:5" hidden="1">
      <c r="A292" s="288" t="s">
        <v>803</v>
      </c>
      <c r="B292" s="327" t="s">
        <v>704</v>
      </c>
      <c r="C292" s="288">
        <v>3029</v>
      </c>
      <c r="D292" s="288">
        <v>3029</v>
      </c>
      <c r="E292" s="50" t="str">
        <f>VLOOKUP(D292,'Data - CFR 202526'!$B$4:$E$127,4,0)</f>
        <v>30EP3029</v>
      </c>
    </row>
    <row r="293" spans="1:5" hidden="1">
      <c r="A293" s="288" t="s">
        <v>804</v>
      </c>
      <c r="B293" s="327" t="s">
        <v>704</v>
      </c>
      <c r="C293" s="288">
        <v>2084</v>
      </c>
      <c r="D293" s="288">
        <v>2084</v>
      </c>
      <c r="E293" s="50" t="str">
        <f>VLOOKUP(D293,'Data - CFR 202526'!$B$4:$E$127,4,0)</f>
        <v>30EP2084</v>
      </c>
    </row>
    <row r="294" spans="1:5" hidden="1">
      <c r="A294" s="288" t="s">
        <v>805</v>
      </c>
      <c r="B294" s="327" t="s">
        <v>704</v>
      </c>
      <c r="C294" s="288">
        <v>2443</v>
      </c>
      <c r="D294" s="288">
        <v>2443</v>
      </c>
      <c r="E294" s="50" t="str">
        <f>VLOOKUP(D294,'Data - CFR 202526'!$B$4:$E$127,4,0)</f>
        <v>30EP2443</v>
      </c>
    </row>
    <row r="295" spans="1:5" hidden="1">
      <c r="A295" s="288" t="s">
        <v>806</v>
      </c>
      <c r="B295" s="327" t="s">
        <v>704</v>
      </c>
      <c r="C295" s="288">
        <v>3052</v>
      </c>
      <c r="D295" s="288">
        <v>3052</v>
      </c>
      <c r="E295" s="50" t="str">
        <f>VLOOKUP(D295,'Data - CFR 202526'!$B$4:$E$127,4,0)</f>
        <v>30EP3052</v>
      </c>
    </row>
    <row r="296" spans="1:5" hidden="1">
      <c r="A296" s="288" t="s">
        <v>807</v>
      </c>
      <c r="B296" s="327" t="s">
        <v>704</v>
      </c>
      <c r="C296" s="288">
        <v>2046</v>
      </c>
      <c r="D296" s="288">
        <v>2046</v>
      </c>
      <c r="E296" s="50" t="str">
        <f>VLOOKUP(D296,'Data - CFR 202526'!$B$4:$E$127,4,0)</f>
        <v>30EP2046</v>
      </c>
    </row>
    <row r="297" spans="1:5" hidden="1">
      <c r="A297" s="288" t="s">
        <v>808</v>
      </c>
      <c r="B297" s="327" t="s">
        <v>704</v>
      </c>
      <c r="C297" s="288">
        <v>3325</v>
      </c>
      <c r="D297" s="288">
        <v>3325</v>
      </c>
      <c r="E297" s="50" t="str">
        <f>VLOOKUP(D297,'Data - CFR 202526'!$B$4:$E$127,4,0)</f>
        <v>30EP3325</v>
      </c>
    </row>
    <row r="298" spans="1:5" hidden="1">
      <c r="A298" s="288" t="s">
        <v>809</v>
      </c>
      <c r="B298" s="327" t="s">
        <v>720</v>
      </c>
      <c r="C298" s="288">
        <v>1001</v>
      </c>
      <c r="D298" s="288">
        <v>1001</v>
      </c>
      <c r="E298" s="50" t="str">
        <f>VLOOKUP(D298,'Data - CFR 202526'!$B$4:$E$127,4,0)</f>
        <v>30EN1001</v>
      </c>
    </row>
    <row r="299" spans="1:5" hidden="1">
      <c r="A299" s="288" t="s">
        <v>810</v>
      </c>
      <c r="B299" s="327" t="s">
        <v>704</v>
      </c>
      <c r="C299" s="288">
        <v>2123</v>
      </c>
      <c r="D299" s="288">
        <v>2123</v>
      </c>
      <c r="E299" s="50" t="str">
        <f>VLOOKUP(D299,'Data - CFR 202526'!$B$4:$E$127,4,0)</f>
        <v>30EP2123</v>
      </c>
    </row>
    <row r="300" spans="1:5" hidden="1">
      <c r="A300" s="288" t="s">
        <v>811</v>
      </c>
      <c r="B300" s="327" t="s">
        <v>704</v>
      </c>
      <c r="C300" s="288">
        <v>2260</v>
      </c>
      <c r="D300" s="288">
        <v>2260</v>
      </c>
      <c r="E300" s="50" t="str">
        <f>VLOOKUP(D300,'Data - CFR 202526'!$B$4:$E$127,4,0)</f>
        <v>30EP2260</v>
      </c>
    </row>
    <row r="301" spans="1:5" hidden="1">
      <c r="A301" s="288" t="s">
        <v>812</v>
      </c>
      <c r="B301" s="327" t="s">
        <v>704</v>
      </c>
      <c r="C301" s="288">
        <v>3058</v>
      </c>
      <c r="D301" s="288">
        <v>3058</v>
      </c>
      <c r="E301" s="50" t="str">
        <f>VLOOKUP(D301,'Data - CFR 202526'!$B$4:$E$127,4,0)</f>
        <v>30EP3058</v>
      </c>
    </row>
    <row r="302" spans="1:5" hidden="1">
      <c r="A302" s="288" t="s">
        <v>813</v>
      </c>
      <c r="B302" s="327" t="s">
        <v>704</v>
      </c>
      <c r="C302" s="288">
        <v>2335</v>
      </c>
      <c r="D302" s="288">
        <v>2335</v>
      </c>
      <c r="E302" s="50" t="str">
        <f>VLOOKUP(D302,'Data - CFR 202526'!$B$4:$E$127,4,0)</f>
        <v>30EP2335</v>
      </c>
    </row>
    <row r="303" spans="1:5" hidden="1">
      <c r="A303" s="288" t="s">
        <v>814</v>
      </c>
      <c r="B303" s="327" t="s">
        <v>704</v>
      </c>
      <c r="C303" s="288">
        <v>3389</v>
      </c>
      <c r="D303" s="288">
        <v>3389</v>
      </c>
      <c r="E303" s="50" t="str">
        <f>VLOOKUP(D303,'Data - CFR 202526'!$B$4:$E$127,4,0)</f>
        <v>30EP3389</v>
      </c>
    </row>
    <row r="304" spans="1:5" hidden="1">
      <c r="A304" s="290" t="s">
        <v>815</v>
      </c>
      <c r="B304" s="327" t="s">
        <v>704</v>
      </c>
      <c r="C304" s="290">
        <v>2001</v>
      </c>
      <c r="D304" s="290">
        <v>2001</v>
      </c>
      <c r="E304" s="50" t="str">
        <f>VLOOKUP(D304,'Data - CFR 202526'!$B$4:$E$127,4,0)</f>
        <v>30EP2001</v>
      </c>
    </row>
    <row r="305" spans="1:5" hidden="1">
      <c r="A305" s="288" t="s">
        <v>816</v>
      </c>
      <c r="B305" s="327" t="s">
        <v>704</v>
      </c>
      <c r="C305" s="288">
        <v>2064</v>
      </c>
      <c r="D305" s="288">
        <v>2064</v>
      </c>
      <c r="E305" s="50" t="str">
        <f>VLOOKUP(D305,'Data - CFR 202526'!$B$4:$E$127,4,0)</f>
        <v>30EP2064</v>
      </c>
    </row>
    <row r="306" spans="1:5" hidden="1">
      <c r="A306" s="290" t="s">
        <v>817</v>
      </c>
      <c r="B306" s="327" t="s">
        <v>704</v>
      </c>
      <c r="C306" s="290">
        <v>2000</v>
      </c>
      <c r="D306" s="290">
        <v>2000</v>
      </c>
      <c r="E306" s="50">
        <f>VLOOKUP(D306,'Data - CFR 202526'!$B$4:$E$127,4,0)</f>
        <v>0</v>
      </c>
    </row>
    <row r="307" spans="1:5" hidden="1">
      <c r="A307" s="288" t="s">
        <v>818</v>
      </c>
      <c r="B307" s="327" t="s">
        <v>704</v>
      </c>
      <c r="C307" s="288">
        <v>2048</v>
      </c>
      <c r="D307" s="288">
        <v>2048</v>
      </c>
      <c r="E307" s="50" t="str">
        <f>VLOOKUP(D307,'Data - CFR 202526'!$B$4:$E$127,4,0)</f>
        <v>30EP2048</v>
      </c>
    </row>
    <row r="308" spans="1:5" hidden="1">
      <c r="A308" s="288" t="s">
        <v>819</v>
      </c>
      <c r="B308" s="327" t="s">
        <v>704</v>
      </c>
      <c r="C308" s="288">
        <v>2232</v>
      </c>
      <c r="D308" s="288">
        <v>2232</v>
      </c>
      <c r="E308" s="50" t="str">
        <f>VLOOKUP(D308,'Data - CFR 202526'!$B$4:$E$127,4,0)</f>
        <v>30EP2232</v>
      </c>
    </row>
    <row r="309" spans="1:5" hidden="1">
      <c r="A309" s="290" t="s">
        <v>820</v>
      </c>
      <c r="B309" s="327" t="s">
        <v>704</v>
      </c>
      <c r="C309" s="290">
        <v>3392</v>
      </c>
      <c r="D309" s="290">
        <v>3392</v>
      </c>
      <c r="E309" s="50" t="str">
        <f>VLOOKUP(D309,'Data - CFR 202526'!$B$4:$E$127,4,0)</f>
        <v>30EP3392</v>
      </c>
    </row>
    <row r="310" spans="1:5" hidden="1">
      <c r="A310" s="288" t="s">
        <v>821</v>
      </c>
      <c r="B310" s="327" t="s">
        <v>704</v>
      </c>
      <c r="C310" s="288">
        <v>3054</v>
      </c>
      <c r="D310" s="288">
        <v>3054</v>
      </c>
      <c r="E310" s="50" t="str">
        <f>VLOOKUP(D310,'Data - CFR 202526'!$B$4:$E$127,4,0)</f>
        <v>30EP3054</v>
      </c>
    </row>
    <row r="311" spans="1:5" hidden="1">
      <c r="A311" s="288" t="s">
        <v>822</v>
      </c>
      <c r="B311" s="327" t="s">
        <v>704</v>
      </c>
      <c r="C311" s="288">
        <v>3032</v>
      </c>
      <c r="D311" s="288">
        <v>3032</v>
      </c>
      <c r="E311" s="50" t="str">
        <f>VLOOKUP(D311,'Data - CFR 202526'!$B$4:$E$127,4,0)</f>
        <v>30EP3032</v>
      </c>
    </row>
    <row r="312" spans="1:5" hidden="1">
      <c r="A312" s="288" t="s">
        <v>823</v>
      </c>
      <c r="B312" s="327" t="s">
        <v>704</v>
      </c>
      <c r="C312" s="288">
        <v>2054</v>
      </c>
      <c r="D312" s="288">
        <v>2054</v>
      </c>
      <c r="E312" s="50" t="str">
        <f>VLOOKUP(D312,'Data - CFR 202526'!$B$4:$E$127,4,0)</f>
        <v>30EP2054</v>
      </c>
    </row>
    <row r="313" spans="1:5" hidden="1">
      <c r="A313" s="288" t="s">
        <v>824</v>
      </c>
      <c r="B313" s="327" t="s">
        <v>704</v>
      </c>
      <c r="C313" s="288">
        <v>2240</v>
      </c>
      <c r="D313" s="288">
        <v>2240</v>
      </c>
      <c r="E313" s="50" t="str">
        <f>VLOOKUP(D313,'Data - CFR 202526'!$B$4:$E$127,4,0)</f>
        <v>30EP2240</v>
      </c>
    </row>
    <row r="314" spans="1:5" hidden="1">
      <c r="A314" s="288" t="s">
        <v>825</v>
      </c>
      <c r="B314" s="327" t="s">
        <v>704</v>
      </c>
      <c r="C314" s="288">
        <v>2254</v>
      </c>
      <c r="D314" s="288">
        <v>2254</v>
      </c>
      <c r="E314" s="50" t="str">
        <f>VLOOKUP(D314,'Data - CFR 202526'!$B$4:$E$127,4,0)</f>
        <v>30EP2254</v>
      </c>
    </row>
    <row r="315" spans="1:5" hidden="1">
      <c r="B315" s="327"/>
      <c r="C315" s="351"/>
      <c r="D315" s="352"/>
      <c r="E315" s="352"/>
    </row>
    <row r="316" spans="1:5" hidden="1">
      <c r="B316" s="327"/>
      <c r="C316" s="351"/>
      <c r="D316" s="352"/>
      <c r="E316" s="352"/>
    </row>
    <row r="317" spans="1:5" hidden="1">
      <c r="B317" s="327"/>
      <c r="C317" s="351"/>
      <c r="D317" s="352"/>
      <c r="E317" s="352"/>
    </row>
    <row r="318" spans="1:5" hidden="1">
      <c r="B318" s="327"/>
      <c r="C318" s="351"/>
      <c r="D318" s="352"/>
      <c r="E318" s="352"/>
    </row>
    <row r="319" spans="1:5" hidden="1">
      <c r="B319" s="327"/>
      <c r="C319" s="351"/>
      <c r="D319" s="352"/>
      <c r="E319" s="352"/>
    </row>
    <row r="320" spans="1:5" hidden="1">
      <c r="A320" s="350" t="s">
        <v>1363</v>
      </c>
      <c r="B320" s="327"/>
      <c r="C320" s="351"/>
      <c r="D320" s="352"/>
      <c r="E320" s="352"/>
    </row>
    <row r="321" spans="1:1" hidden="1">
      <c r="A321" s="350" t="s">
        <v>1364</v>
      </c>
    </row>
  </sheetData>
  <sheetProtection algorithmName="SHA-512" hashValue="+14dXMofCvObkeGZdeMoH9ztnciuQn5f0Y0p4bG1nGWPB0mDNo78aRQoEL21+7AHfo28CvBZ2eREQZ1rwl+G5A==" saltValue="5a3dD84+pYUa1zWUL+u4Ig==" spinCount="100000" sheet="1" formatCells="0" formatColumns="0"/>
  <sortState xmlns:xlrd2="http://schemas.microsoft.com/office/spreadsheetml/2017/richdata2" ref="A188:E297">
    <sortCondition ref="A188:A297"/>
  </sortState>
  <mergeCells count="12">
    <mergeCell ref="C86:M86"/>
    <mergeCell ref="C122:M122"/>
    <mergeCell ref="A1:O1"/>
    <mergeCell ref="C14:M14"/>
    <mergeCell ref="C38:M38"/>
    <mergeCell ref="D5:H5"/>
    <mergeCell ref="D3:H3"/>
    <mergeCell ref="D4:H4"/>
    <mergeCell ref="K3:N3"/>
    <mergeCell ref="A12:P12"/>
    <mergeCell ref="A84:P84"/>
    <mergeCell ref="A120:P120"/>
  </mergeCells>
  <phoneticPr fontId="16" type="noConversion"/>
  <conditionalFormatting sqref="C8:C10">
    <cfRule type="cellIs" dxfId="56" priority="55" stopIfTrue="1" operator="equal">
      <formula>0</formula>
    </cfRule>
  </conditionalFormatting>
  <conditionalFormatting sqref="J16:J35 J40:J71 J88:J90 J93:J95 J124:J127 J130:J134">
    <cfRule type="cellIs" dxfId="55" priority="1" operator="greaterThan">
      <formula>($K$5/100)</formula>
    </cfRule>
  </conditionalFormatting>
  <conditionalFormatting sqref="K80 K103 K109">
    <cfRule type="cellIs" dxfId="54" priority="73" stopIfTrue="1" operator="lessThan">
      <formula>0</formula>
    </cfRule>
  </conditionalFormatting>
  <dataValidations count="2">
    <dataValidation type="list" allowBlank="1" showInputMessage="1" showErrorMessage="1" sqref="B3" xr:uid="{00000000-0002-0000-0400-000000000000}">
      <formula1>$A$192:$A$314</formula1>
    </dataValidation>
    <dataValidation type="list" allowBlank="1" showInputMessage="1" showErrorMessage="1" sqref="O3" xr:uid="{7000AA9C-7CEB-4FF8-96BB-536DBA926015}">
      <formula1>A320:A321</formula1>
    </dataValidation>
  </dataValidations>
  <printOptions horizontalCentered="1"/>
  <pageMargins left="0.35433070866141736" right="0.35433070866141736" top="0.39370078740157483" bottom="0.39370078740157483" header="0.51181102362204722" footer="0.23622047244094491"/>
  <pageSetup paperSize="9" scale="52" fitToHeight="6" orientation="landscape" r:id="rId1"/>
  <headerFooter alignWithMargins="0">
    <oddFooter>&amp;L&amp;8&amp;P of &amp;N&amp;R&amp;D</oddFooter>
  </headerFooter>
  <rowBreaks count="3" manualBreakCount="3">
    <brk id="36" max="14" man="1"/>
    <brk id="82" max="14" man="1"/>
    <brk id="119" max="14"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73A8E46-179A-432F-AB92-2B4820C8AC4D}">
          <x14:formula1>
            <xm:f>'a) School Summary'!$A$95:$A$105</xm:f>
          </x14:formula1>
          <xm:sqref>I5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indexed="37"/>
    <pageSetUpPr fitToPage="1"/>
  </sheetPr>
  <dimension ref="A1:J39"/>
  <sheetViews>
    <sheetView zoomScaleNormal="100" workbookViewId="0">
      <selection activeCell="A2" sqref="A2:J2"/>
    </sheetView>
  </sheetViews>
  <sheetFormatPr defaultColWidth="9.21875" defaultRowHeight="12.6"/>
  <cols>
    <col min="1" max="3" width="9.21875" style="184"/>
    <col min="4" max="4" width="59.77734375" style="184" customWidth="1"/>
    <col min="5" max="6" width="12.5546875" style="184" customWidth="1"/>
    <col min="7" max="7" width="12.77734375" style="184" customWidth="1"/>
    <col min="8" max="8" width="12" style="184" customWidth="1"/>
    <col min="9" max="9" width="29.44140625" style="184" customWidth="1"/>
    <col min="10" max="16384" width="9.21875" style="184"/>
  </cols>
  <sheetData>
    <row r="1" spans="1:10">
      <c r="A1" s="98" t="str">
        <f>'b) Template'!B3</f>
        <v>Please Click on Arrow to Choose School</v>
      </c>
      <c r="B1" s="98"/>
      <c r="C1" s="98"/>
      <c r="D1" s="98"/>
      <c r="E1" s="223">
        <f>'b) Template'!I3</f>
        <v>0</v>
      </c>
      <c r="F1" s="98"/>
      <c r="G1" s="98"/>
      <c r="H1" s="98"/>
      <c r="I1" s="98"/>
      <c r="J1" s="98"/>
    </row>
    <row r="2" spans="1:10" ht="21">
      <c r="A2" s="599" t="s">
        <v>826</v>
      </c>
      <c r="B2" s="599"/>
      <c r="C2" s="599"/>
      <c r="D2" s="599"/>
      <c r="E2" s="599"/>
      <c r="F2" s="599"/>
      <c r="G2" s="599"/>
      <c r="H2" s="599"/>
      <c r="I2" s="599"/>
      <c r="J2" s="599"/>
    </row>
    <row r="3" spans="1:10" ht="9" customHeight="1">
      <c r="A3" s="600"/>
      <c r="B3" s="601"/>
      <c r="C3" s="601"/>
      <c r="D3" s="601"/>
      <c r="E3" s="601"/>
      <c r="F3" s="601"/>
      <c r="G3" s="601"/>
      <c r="H3" s="601"/>
      <c r="I3" s="601"/>
      <c r="J3" s="66"/>
    </row>
    <row r="4" spans="1:10" ht="13.8">
      <c r="A4" s="249" t="s">
        <v>827</v>
      </c>
      <c r="B4" s="185"/>
      <c r="C4" s="185"/>
      <c r="D4" s="185"/>
      <c r="E4" s="185"/>
      <c r="F4" s="185"/>
      <c r="G4" s="185"/>
      <c r="H4" s="185"/>
      <c r="I4" s="185"/>
      <c r="J4" s="66"/>
    </row>
    <row r="5" spans="1:10" ht="13.8">
      <c r="A5" s="249" t="s">
        <v>828</v>
      </c>
      <c r="B5" s="185"/>
      <c r="C5" s="185"/>
      <c r="D5" s="185"/>
      <c r="E5" s="185"/>
      <c r="F5" s="185"/>
      <c r="G5" s="185"/>
      <c r="H5" s="185"/>
      <c r="I5" s="185"/>
      <c r="J5" s="66"/>
    </row>
    <row r="6" spans="1:10" ht="13.8">
      <c r="A6" s="249" t="s">
        <v>829</v>
      </c>
      <c r="B6" s="185"/>
      <c r="C6" s="185"/>
      <c r="D6" s="185"/>
      <c r="E6" s="185"/>
      <c r="F6" s="185"/>
      <c r="G6" s="185"/>
      <c r="H6" s="185"/>
      <c r="I6" s="185"/>
      <c r="J6" s="66"/>
    </row>
    <row r="7" spans="1:10" ht="8.25" customHeight="1">
      <c r="A7" s="249"/>
      <c r="B7" s="185"/>
      <c r="C7" s="185"/>
      <c r="D7" s="185"/>
      <c r="E7" s="185"/>
      <c r="F7" s="185"/>
      <c r="G7" s="185"/>
      <c r="H7" s="185"/>
      <c r="I7" s="185"/>
      <c r="J7" s="66"/>
    </row>
    <row r="8" spans="1:10" ht="15">
      <c r="A8" s="249" t="s">
        <v>830</v>
      </c>
      <c r="B8" s="378"/>
      <c r="C8" s="67"/>
      <c r="D8" s="67"/>
      <c r="E8" s="67"/>
      <c r="F8" s="66"/>
      <c r="G8" s="67"/>
      <c r="H8" s="66"/>
      <c r="I8" s="67"/>
      <c r="J8" s="66"/>
    </row>
    <row r="9" spans="1:10" ht="15.6" thickBot="1">
      <c r="A9" s="249"/>
      <c r="B9" s="378"/>
      <c r="C9" s="67"/>
      <c r="D9" s="67"/>
      <c r="E9" s="67"/>
      <c r="F9" s="66"/>
      <c r="G9" s="67"/>
      <c r="H9" s="66"/>
      <c r="I9" s="67"/>
      <c r="J9" s="66"/>
    </row>
    <row r="10" spans="1:10" ht="40.200000000000003" thickBot="1">
      <c r="A10" s="602" t="s">
        <v>831</v>
      </c>
      <c r="B10" s="603"/>
      <c r="C10" s="603"/>
      <c r="D10" s="603"/>
      <c r="E10" s="225" t="s">
        <v>832</v>
      </c>
      <c r="F10" s="213" t="s">
        <v>833</v>
      </c>
      <c r="G10" s="213" t="s">
        <v>834</v>
      </c>
      <c r="H10" s="212"/>
      <c r="I10" s="212"/>
      <c r="J10" s="66"/>
    </row>
    <row r="11" spans="1:10" ht="14.4">
      <c r="A11" s="228" t="s">
        <v>835</v>
      </c>
      <c r="B11" s="186"/>
      <c r="C11" s="186"/>
      <c r="D11" s="186"/>
      <c r="E11" s="235" t="e">
        <f>VLOOKUP($E$1,'Data - IUB March 2024'!$B$5:$V$163,4,FALSE)</f>
        <v>#N/A</v>
      </c>
      <c r="F11" s="224" t="e">
        <f>VLOOKUP($E$1,'Data - IUB March 2024'!$B$5:$V$163,5,FALSE)</f>
        <v>#N/A</v>
      </c>
      <c r="G11" s="229" t="e">
        <f>VLOOKUP($E$1,'Data - IUB March 2024'!$B$5:$V$163,6,FALSE)</f>
        <v>#N/A</v>
      </c>
      <c r="H11" s="211"/>
      <c r="I11" s="211"/>
      <c r="J11" s="66"/>
    </row>
    <row r="12" spans="1:10" ht="14.4">
      <c r="A12" s="230" t="s">
        <v>836</v>
      </c>
      <c r="B12" s="187"/>
      <c r="C12" s="187"/>
      <c r="D12" s="187"/>
      <c r="E12" s="235" t="e">
        <f>VLOOKUP($E$1,'Data - IUB March 2024'!$B$5:$V$163,8,FALSE)</f>
        <v>#N/A</v>
      </c>
      <c r="F12" s="224" t="e">
        <f>VLOOKUP($E$1,'Data - IUB March 2024'!$B$5:$V$163,9,FALSE)</f>
        <v>#N/A</v>
      </c>
      <c r="G12" s="229" t="e">
        <f>VLOOKUP($E$1,'Data - IUB March 2024'!$B$5:$V$163,10,FALSE)</f>
        <v>#N/A</v>
      </c>
      <c r="H12" s="211"/>
      <c r="I12" s="211"/>
      <c r="J12" s="66"/>
    </row>
    <row r="13" spans="1:10" ht="14.4">
      <c r="A13" s="230" t="s">
        <v>837</v>
      </c>
      <c r="B13" s="187"/>
      <c r="C13" s="187"/>
      <c r="D13" s="187"/>
      <c r="E13" s="235" t="e">
        <f>VLOOKUP($E$1,'Data - IUB March 2024'!$B$5:$V$163,12,FALSE)</f>
        <v>#N/A</v>
      </c>
      <c r="F13" s="224" t="e">
        <f>VLOOKUP($E$1,'Data - IUB March 2024'!$B$5:$V$163,13,FALSE)</f>
        <v>#N/A</v>
      </c>
      <c r="G13" s="229" t="e">
        <f>VLOOKUP($E$1,'Data - IUB March 2024'!$B$5:$V$163,14,FALSE)</f>
        <v>#N/A</v>
      </c>
      <c r="H13" s="211"/>
      <c r="I13" s="211"/>
      <c r="J13" s="66"/>
    </row>
    <row r="14" spans="1:10" ht="14.4">
      <c r="A14" s="230" t="s">
        <v>838</v>
      </c>
      <c r="B14" s="187"/>
      <c r="C14" s="187"/>
      <c r="D14" s="187"/>
      <c r="E14" s="235" t="e">
        <f>VLOOKUP($E$1,'Data - IUB March 2024'!$B$5:$V$163,16,FALSE)</f>
        <v>#N/A</v>
      </c>
      <c r="F14" s="224" t="e">
        <f>VLOOKUP($E$1,'Data - IUB March 2024'!$B$5:$V$163,17,FALSE)</f>
        <v>#N/A</v>
      </c>
      <c r="G14" s="229" t="e">
        <f>VLOOKUP($E$1,'Data - IUB March 2024'!$B$5:$V$163,18,FALSE)</f>
        <v>#N/A</v>
      </c>
      <c r="H14" s="211"/>
      <c r="I14" s="211"/>
      <c r="J14" s="66"/>
    </row>
    <row r="15" spans="1:10" ht="14.4">
      <c r="A15" s="230" t="s">
        <v>839</v>
      </c>
      <c r="B15" s="187"/>
      <c r="C15" s="187"/>
      <c r="D15" s="187"/>
      <c r="E15" s="235" t="e">
        <f>VLOOKUP($E$1,'Data - IUB March 2024'!$B$5:$V$163,20,FALSE)</f>
        <v>#N/A</v>
      </c>
      <c r="F15" s="224" t="e">
        <f>VLOOKUP($E$1,'Data - IUB March 2024'!$B$5:$V$163,21,FALSE)</f>
        <v>#N/A</v>
      </c>
      <c r="G15" s="229" t="e">
        <f>VLOOKUP($E$1,'Data - IUB March 2024'!$B$5:$AC$163,22,FALSE)</f>
        <v>#N/A</v>
      </c>
      <c r="H15" s="211"/>
      <c r="I15" s="211"/>
      <c r="J15" s="66"/>
    </row>
    <row r="16" spans="1:10" ht="15" thickBot="1">
      <c r="A16" s="231" t="s">
        <v>840</v>
      </c>
      <c r="B16" s="232"/>
      <c r="C16" s="232"/>
      <c r="D16" s="232"/>
      <c r="E16" s="236" t="e">
        <f>VLOOKUP($E$1,'Data - IUB March 2024'!$B$5:$AC$163,24,FALSE)</f>
        <v>#N/A</v>
      </c>
      <c r="F16" s="233" t="e">
        <f>VLOOKUP($E$1,'Data - IUB March 2024'!$B$5:$AC$163,25,FALSE)</f>
        <v>#N/A</v>
      </c>
      <c r="G16" s="234" t="e">
        <f>VLOOKUP($E$1,'Data - IUB March 2024'!$B$5:$AC$163,26,FALSE)</f>
        <v>#N/A</v>
      </c>
      <c r="H16" s="211"/>
      <c r="I16" s="211"/>
      <c r="J16" s="66"/>
    </row>
    <row r="17" spans="1:10" ht="16.2" thickBot="1">
      <c r="A17" s="249"/>
      <c r="B17" s="68"/>
      <c r="C17" s="64"/>
      <c r="D17" s="67"/>
      <c r="E17" s="226" t="e">
        <f>SUM(E11:E16)</f>
        <v>#N/A</v>
      </c>
      <c r="F17" s="227" t="e">
        <f>SUM(F11:F16)</f>
        <v>#N/A</v>
      </c>
      <c r="G17" s="227" t="e">
        <f>SUM(G11:G16)</f>
        <v>#N/A</v>
      </c>
      <c r="H17" s="66"/>
      <c r="I17" s="67"/>
      <c r="J17" s="66"/>
    </row>
    <row r="18" spans="1:10" ht="8.25" customHeight="1">
      <c r="A18" s="249"/>
      <c r="B18" s="68"/>
      <c r="C18" s="69"/>
      <c r="D18" s="67"/>
      <c r="E18" s="69"/>
      <c r="F18" s="66"/>
      <c r="G18" s="67"/>
      <c r="H18" s="66"/>
      <c r="I18" s="67"/>
      <c r="J18" s="66"/>
    </row>
    <row r="19" spans="1:10" ht="15">
      <c r="A19" s="250" t="s">
        <v>841</v>
      </c>
      <c r="B19" s="188"/>
      <c r="C19" s="50"/>
      <c r="D19" s="62"/>
      <c r="E19" s="50"/>
      <c r="F19" s="66"/>
      <c r="G19" s="67"/>
      <c r="H19" s="66"/>
      <c r="I19" s="67"/>
      <c r="J19" s="66"/>
    </row>
    <row r="20" spans="1:10" ht="7.5" customHeight="1">
      <c r="A20" s="249"/>
      <c r="B20" s="378"/>
      <c r="C20" s="67"/>
      <c r="D20" s="67"/>
      <c r="E20" s="67"/>
      <c r="F20" s="66"/>
      <c r="G20" s="67"/>
      <c r="H20" s="66"/>
      <c r="I20" s="67"/>
      <c r="J20" s="66"/>
    </row>
    <row r="21" spans="1:10" ht="39.6">
      <c r="A21" s="189" t="s">
        <v>487</v>
      </c>
      <c r="B21" s="604" t="s">
        <v>842</v>
      </c>
      <c r="C21" s="604"/>
      <c r="D21" s="604"/>
      <c r="E21" s="109" t="s">
        <v>843</v>
      </c>
      <c r="F21" s="109" t="s">
        <v>844</v>
      </c>
      <c r="G21" s="109" t="s">
        <v>845</v>
      </c>
      <c r="H21" s="595" t="s">
        <v>846</v>
      </c>
      <c r="I21" s="596"/>
      <c r="J21" s="597"/>
    </row>
    <row r="22" spans="1:10" ht="13.8">
      <c r="A22" s="210"/>
      <c r="B22" s="598"/>
      <c r="C22" s="598"/>
      <c r="D22" s="598"/>
      <c r="E22" s="94"/>
      <c r="F22" s="94"/>
      <c r="G22" s="178">
        <f>E22-F22</f>
        <v>0</v>
      </c>
      <c r="H22" s="592"/>
      <c r="I22" s="593"/>
      <c r="J22" s="594"/>
    </row>
    <row r="23" spans="1:10" ht="13.8">
      <c r="A23" s="210"/>
      <c r="B23" s="598"/>
      <c r="C23" s="598"/>
      <c r="D23" s="598"/>
      <c r="E23" s="94"/>
      <c r="F23" s="94"/>
      <c r="G23" s="178">
        <f t="shared" ref="G23:G36" si="0">E23-F23</f>
        <v>0</v>
      </c>
      <c r="H23" s="592"/>
      <c r="I23" s="593"/>
      <c r="J23" s="594"/>
    </row>
    <row r="24" spans="1:10" ht="13.8">
      <c r="A24" s="210"/>
      <c r="B24" s="598"/>
      <c r="C24" s="598"/>
      <c r="D24" s="598"/>
      <c r="E24" s="94"/>
      <c r="F24" s="94"/>
      <c r="G24" s="178">
        <f t="shared" si="0"/>
        <v>0</v>
      </c>
      <c r="H24" s="592"/>
      <c r="I24" s="593"/>
      <c r="J24" s="594"/>
    </row>
    <row r="25" spans="1:10" ht="13.8">
      <c r="A25" s="210"/>
      <c r="B25" s="598"/>
      <c r="C25" s="598"/>
      <c r="D25" s="598"/>
      <c r="E25" s="94"/>
      <c r="F25" s="94"/>
      <c r="G25" s="178">
        <f t="shared" si="0"/>
        <v>0</v>
      </c>
      <c r="H25" s="592"/>
      <c r="I25" s="593"/>
      <c r="J25" s="594"/>
    </row>
    <row r="26" spans="1:10" ht="13.8">
      <c r="A26" s="210"/>
      <c r="B26" s="598"/>
      <c r="C26" s="598"/>
      <c r="D26" s="598"/>
      <c r="E26" s="94"/>
      <c r="F26" s="94"/>
      <c r="G26" s="178">
        <f t="shared" si="0"/>
        <v>0</v>
      </c>
      <c r="H26" s="592"/>
      <c r="I26" s="593"/>
      <c r="J26" s="594"/>
    </row>
    <row r="27" spans="1:10" ht="13.8">
      <c r="A27" s="210"/>
      <c r="B27" s="598"/>
      <c r="C27" s="598"/>
      <c r="D27" s="598"/>
      <c r="E27" s="94"/>
      <c r="F27" s="94"/>
      <c r="G27" s="178">
        <f t="shared" si="0"/>
        <v>0</v>
      </c>
      <c r="H27" s="592"/>
      <c r="I27" s="593"/>
      <c r="J27" s="594"/>
    </row>
    <row r="28" spans="1:10" ht="13.8">
      <c r="A28" s="210"/>
      <c r="B28" s="598"/>
      <c r="C28" s="598"/>
      <c r="D28" s="598"/>
      <c r="E28" s="94"/>
      <c r="F28" s="94"/>
      <c r="G28" s="178">
        <f t="shared" si="0"/>
        <v>0</v>
      </c>
      <c r="H28" s="592"/>
      <c r="I28" s="593"/>
      <c r="J28" s="594"/>
    </row>
    <row r="29" spans="1:10" ht="13.8">
      <c r="A29" s="210"/>
      <c r="B29" s="598"/>
      <c r="C29" s="598"/>
      <c r="D29" s="598"/>
      <c r="E29" s="94"/>
      <c r="F29" s="94"/>
      <c r="G29" s="178">
        <f t="shared" si="0"/>
        <v>0</v>
      </c>
      <c r="H29" s="592"/>
      <c r="I29" s="593"/>
      <c r="J29" s="594"/>
    </row>
    <row r="30" spans="1:10" ht="13.8">
      <c r="A30" s="210"/>
      <c r="B30" s="598"/>
      <c r="C30" s="598"/>
      <c r="D30" s="598"/>
      <c r="E30" s="94"/>
      <c r="F30" s="94"/>
      <c r="G30" s="178">
        <f t="shared" si="0"/>
        <v>0</v>
      </c>
      <c r="H30" s="592"/>
      <c r="I30" s="593"/>
      <c r="J30" s="594"/>
    </row>
    <row r="31" spans="1:10" ht="13.8">
      <c r="A31" s="210"/>
      <c r="B31" s="598"/>
      <c r="C31" s="598"/>
      <c r="D31" s="598"/>
      <c r="E31" s="94"/>
      <c r="F31" s="94"/>
      <c r="G31" s="178">
        <f t="shared" si="0"/>
        <v>0</v>
      </c>
      <c r="H31" s="592"/>
      <c r="I31" s="593"/>
      <c r="J31" s="594"/>
    </row>
    <row r="32" spans="1:10" ht="13.8">
      <c r="A32" s="210"/>
      <c r="B32" s="598"/>
      <c r="C32" s="598"/>
      <c r="D32" s="598"/>
      <c r="E32" s="94"/>
      <c r="F32" s="94"/>
      <c r="G32" s="178">
        <f t="shared" si="0"/>
        <v>0</v>
      </c>
      <c r="H32" s="592"/>
      <c r="I32" s="593"/>
      <c r="J32" s="594"/>
    </row>
    <row r="33" spans="1:10" ht="13.8">
      <c r="A33" s="210"/>
      <c r="B33" s="598"/>
      <c r="C33" s="598"/>
      <c r="D33" s="598"/>
      <c r="E33" s="94"/>
      <c r="F33" s="94"/>
      <c r="G33" s="178">
        <f t="shared" si="0"/>
        <v>0</v>
      </c>
      <c r="H33" s="592"/>
      <c r="I33" s="593"/>
      <c r="J33" s="594"/>
    </row>
    <row r="34" spans="1:10" ht="13.8">
      <c r="A34" s="210"/>
      <c r="B34" s="598"/>
      <c r="C34" s="598"/>
      <c r="D34" s="598"/>
      <c r="E34" s="94"/>
      <c r="F34" s="94"/>
      <c r="G34" s="178">
        <f t="shared" si="0"/>
        <v>0</v>
      </c>
      <c r="H34" s="592"/>
      <c r="I34" s="593"/>
      <c r="J34" s="594"/>
    </row>
    <row r="35" spans="1:10" ht="13.8">
      <c r="A35" s="210"/>
      <c r="B35" s="598"/>
      <c r="C35" s="598"/>
      <c r="D35" s="598"/>
      <c r="E35" s="94"/>
      <c r="F35" s="94"/>
      <c r="G35" s="178">
        <f t="shared" si="0"/>
        <v>0</v>
      </c>
      <c r="H35" s="592"/>
      <c r="I35" s="593"/>
      <c r="J35" s="594"/>
    </row>
    <row r="36" spans="1:10" ht="14.4" thickBot="1">
      <c r="A36" s="210"/>
      <c r="B36" s="605"/>
      <c r="C36" s="605"/>
      <c r="D36" s="605"/>
      <c r="E36" s="94"/>
      <c r="F36" s="94"/>
      <c r="G36" s="178">
        <f t="shared" si="0"/>
        <v>0</v>
      </c>
      <c r="H36" s="592"/>
      <c r="I36" s="593"/>
      <c r="J36" s="594"/>
    </row>
    <row r="37" spans="1:10" ht="16.2" thickBot="1">
      <c r="A37" s="70"/>
      <c r="B37" s="86" t="s">
        <v>847</v>
      </c>
      <c r="C37" s="87"/>
      <c r="D37" s="88"/>
      <c r="E37" s="1">
        <f>SUM(E22:E36)</f>
        <v>0</v>
      </c>
      <c r="F37" s="1">
        <f>SUM(F22:F36)</f>
        <v>0</v>
      </c>
      <c r="G37" s="1">
        <f>SUM(G22:G36)</f>
        <v>0</v>
      </c>
      <c r="H37" s="66"/>
      <c r="I37" s="67"/>
      <c r="J37" s="66"/>
    </row>
    <row r="38" spans="1:10" ht="15">
      <c r="A38" s="72"/>
      <c r="B38" s="67"/>
      <c r="C38" s="67"/>
      <c r="D38" s="67"/>
      <c r="E38" s="67"/>
      <c r="F38" s="66"/>
      <c r="G38" s="67"/>
      <c r="H38" s="66"/>
      <c r="I38" s="67"/>
      <c r="J38" s="66"/>
    </row>
    <row r="39" spans="1:10" ht="15">
      <c r="A39" s="249" t="s">
        <v>848</v>
      </c>
      <c r="B39" s="67"/>
      <c r="C39" s="67"/>
      <c r="D39" s="67"/>
      <c r="E39" s="67"/>
      <c r="F39" s="66"/>
      <c r="G39" s="67"/>
      <c r="H39" s="66"/>
      <c r="I39" s="67"/>
      <c r="J39" s="66"/>
    </row>
  </sheetData>
  <mergeCells count="35">
    <mergeCell ref="B35:D35"/>
    <mergeCell ref="B36:D36"/>
    <mergeCell ref="B29:D29"/>
    <mergeCell ref="B30:D30"/>
    <mergeCell ref="B31:D31"/>
    <mergeCell ref="B34:D34"/>
    <mergeCell ref="B32:D32"/>
    <mergeCell ref="B33:D33"/>
    <mergeCell ref="B22:D22"/>
    <mergeCell ref="B23:D23"/>
    <mergeCell ref="B28:D28"/>
    <mergeCell ref="A2:J2"/>
    <mergeCell ref="A3:I3"/>
    <mergeCell ref="A10:D10"/>
    <mergeCell ref="B21:D21"/>
    <mergeCell ref="B25:D25"/>
    <mergeCell ref="B26:D26"/>
    <mergeCell ref="B27:D27"/>
    <mergeCell ref="B24:D24"/>
    <mergeCell ref="H31:J31"/>
    <mergeCell ref="H21:J21"/>
    <mergeCell ref="H22:J22"/>
    <mergeCell ref="H23:J23"/>
    <mergeCell ref="H24:J24"/>
    <mergeCell ref="H25:J25"/>
    <mergeCell ref="H26:J26"/>
    <mergeCell ref="H27:J27"/>
    <mergeCell ref="H28:J28"/>
    <mergeCell ref="H29:J29"/>
    <mergeCell ref="H30:J30"/>
    <mergeCell ref="H32:J32"/>
    <mergeCell ref="H33:J33"/>
    <mergeCell ref="H34:J34"/>
    <mergeCell ref="H35:J35"/>
    <mergeCell ref="H36:J36"/>
  </mergeCells>
  <phoneticPr fontId="16" type="noConversion"/>
  <conditionalFormatting sqref="E11:G16">
    <cfRule type="expression" dxfId="53" priority="1" stopIfTrue="1">
      <formula>LEFT(OFFSET(E11,0,16))="W"</formula>
    </cfRule>
    <cfRule type="expression" dxfId="52" priority="2" stopIfTrue="1">
      <formula>LEFT(OFFSET(E11,0,16))="E"</formula>
    </cfRule>
  </conditionalFormatting>
  <pageMargins left="0.15748031496062992" right="0.15748031496062992" top="0.39370078740157483" bottom="0.39370078740157483" header="0.51181102362204722" footer="0.51181102362204722"/>
  <pageSetup paperSize="9" scale="8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indexed="47"/>
    <pageSetUpPr fitToPage="1"/>
  </sheetPr>
  <dimension ref="A1:J96"/>
  <sheetViews>
    <sheetView workbookViewId="0">
      <selection activeCell="A2" sqref="A2:J2"/>
    </sheetView>
  </sheetViews>
  <sheetFormatPr defaultColWidth="9.21875" defaultRowHeight="12.6"/>
  <cols>
    <col min="1" max="1" width="5.77734375" style="184" customWidth="1"/>
    <col min="2" max="3" width="9.21875" style="184"/>
    <col min="4" max="4" width="69.21875" style="184" customWidth="1"/>
    <col min="5" max="5" width="17" style="184" customWidth="1"/>
    <col min="6" max="6" width="17.21875" style="184" customWidth="1"/>
    <col min="7" max="8" width="9.21875" style="184"/>
    <col min="9" max="9" width="29.44140625" style="184" customWidth="1"/>
    <col min="10" max="10" width="10.21875" style="184" bestFit="1" customWidth="1"/>
    <col min="11" max="16384" width="9.21875" style="184"/>
  </cols>
  <sheetData>
    <row r="1" spans="1:10">
      <c r="A1" s="98" t="str">
        <f>'c) IUB reporting March 2024'!A1</f>
        <v>Please Click on Arrow to Choose School</v>
      </c>
      <c r="B1" s="98"/>
      <c r="C1" s="98"/>
      <c r="D1" s="98"/>
      <c r="E1" s="98"/>
      <c r="F1" s="98"/>
      <c r="G1" s="98"/>
      <c r="H1" s="98"/>
      <c r="I1" s="98"/>
      <c r="J1" s="209">
        <f ca="1">TODAY()</f>
        <v>46197</v>
      </c>
    </row>
    <row r="2" spans="1:10" ht="21">
      <c r="A2" s="599" t="s">
        <v>849</v>
      </c>
      <c r="B2" s="599"/>
      <c r="C2" s="599"/>
      <c r="D2" s="599"/>
      <c r="E2" s="599"/>
      <c r="F2" s="599"/>
      <c r="G2" s="599"/>
      <c r="H2" s="599"/>
      <c r="I2" s="599"/>
      <c r="J2" s="599"/>
    </row>
    <row r="3" spans="1:10" ht="9" customHeight="1">
      <c r="A3" s="600"/>
      <c r="B3" s="601"/>
      <c r="C3" s="601"/>
      <c r="D3" s="601"/>
      <c r="E3" s="601"/>
      <c r="F3" s="601"/>
      <c r="G3" s="601"/>
      <c r="H3" s="601"/>
      <c r="I3" s="601"/>
      <c r="J3" s="66"/>
    </row>
    <row r="4" spans="1:10" ht="13.8">
      <c r="A4" s="249" t="s">
        <v>850</v>
      </c>
      <c r="B4" s="185"/>
      <c r="C4" s="185"/>
      <c r="D4" s="185"/>
      <c r="E4" s="185"/>
      <c r="F4" s="185"/>
      <c r="G4" s="185"/>
      <c r="H4" s="185"/>
      <c r="I4" s="185"/>
      <c r="J4" s="66"/>
    </row>
    <row r="5" spans="1:10" ht="13.8">
      <c r="A5" s="249" t="s">
        <v>851</v>
      </c>
      <c r="B5" s="185"/>
      <c r="C5" s="185"/>
      <c r="D5" s="185"/>
      <c r="E5" s="185"/>
      <c r="F5" s="185"/>
      <c r="G5" s="185"/>
      <c r="H5" s="185"/>
      <c r="I5" s="185"/>
      <c r="J5" s="66"/>
    </row>
    <row r="6" spans="1:10" ht="13.8">
      <c r="A6" s="249" t="s">
        <v>852</v>
      </c>
      <c r="B6" s="185"/>
      <c r="C6" s="185"/>
      <c r="D6" s="185"/>
      <c r="E6" s="185"/>
      <c r="F6" s="185"/>
      <c r="G6" s="185"/>
      <c r="H6" s="185"/>
      <c r="I6" s="185"/>
      <c r="J6" s="66"/>
    </row>
    <row r="7" spans="1:10" ht="13.8" hidden="1">
      <c r="A7" s="249"/>
      <c r="B7" s="185"/>
      <c r="C7" s="185"/>
      <c r="D7" s="185"/>
      <c r="E7" s="185"/>
      <c r="F7" s="185"/>
      <c r="G7" s="185"/>
      <c r="H7" s="185"/>
      <c r="I7" s="185"/>
      <c r="J7" s="66"/>
    </row>
    <row r="8" spans="1:10" ht="6.75" hidden="1" customHeight="1">
      <c r="A8" s="249"/>
      <c r="B8" s="185"/>
      <c r="C8" s="185"/>
      <c r="D8" s="185"/>
      <c r="E8" s="185"/>
      <c r="F8" s="185"/>
      <c r="G8" s="185"/>
      <c r="H8" s="185"/>
      <c r="I8" s="185"/>
      <c r="J8" s="66"/>
    </row>
    <row r="9" spans="1:10" ht="13.8" hidden="1">
      <c r="A9" s="249" t="s">
        <v>853</v>
      </c>
      <c r="B9" s="185"/>
      <c r="C9" s="185"/>
      <c r="D9" s="185"/>
      <c r="E9" s="185"/>
      <c r="F9" s="185"/>
      <c r="G9" s="185"/>
      <c r="H9" s="185"/>
      <c r="I9" s="185"/>
      <c r="J9" s="66"/>
    </row>
    <row r="10" spans="1:10" ht="4.5" hidden="1" customHeight="1">
      <c r="A10" s="249"/>
      <c r="B10" s="185"/>
      <c r="C10" s="185"/>
      <c r="D10" s="185"/>
      <c r="E10" s="185"/>
      <c r="F10" s="185"/>
      <c r="G10" s="185"/>
      <c r="H10" s="185"/>
      <c r="I10" s="185"/>
      <c r="J10" s="66"/>
    </row>
    <row r="11" spans="1:10" ht="13.8" hidden="1">
      <c r="A11" s="249" t="s">
        <v>854</v>
      </c>
      <c r="B11" s="185"/>
      <c r="C11" s="185"/>
      <c r="D11" s="185"/>
      <c r="E11" s="185"/>
      <c r="F11" s="185"/>
      <c r="G11" s="185"/>
      <c r="H11" s="185"/>
      <c r="I11" s="185"/>
      <c r="J11" s="66"/>
    </row>
    <row r="12" spans="1:10" ht="5.25" hidden="1" customHeight="1">
      <c r="A12" s="249"/>
      <c r="B12" s="185"/>
      <c r="C12" s="185"/>
      <c r="D12" s="185"/>
      <c r="E12" s="185"/>
      <c r="F12" s="185"/>
      <c r="G12" s="185"/>
      <c r="H12" s="185"/>
      <c r="I12" s="185"/>
      <c r="J12" s="66"/>
    </row>
    <row r="13" spans="1:10" ht="13.8" hidden="1">
      <c r="A13" s="249" t="s">
        <v>855</v>
      </c>
      <c r="B13" s="185"/>
      <c r="C13" s="185"/>
      <c r="D13" s="185"/>
      <c r="E13" s="185"/>
      <c r="F13" s="185"/>
      <c r="G13" s="185"/>
      <c r="H13" s="185"/>
      <c r="I13" s="185"/>
      <c r="J13" s="66"/>
    </row>
    <row r="14" spans="1:10" ht="14.4" thickBot="1">
      <c r="A14" s="249"/>
      <c r="B14" s="185"/>
      <c r="C14" s="185"/>
      <c r="D14" s="185"/>
      <c r="E14" s="185"/>
      <c r="F14" s="185"/>
      <c r="G14" s="185"/>
      <c r="H14" s="185"/>
      <c r="I14" s="185"/>
      <c r="J14" s="66"/>
    </row>
    <row r="15" spans="1:10" ht="14.4" thickBot="1">
      <c r="A15" s="249" t="s">
        <v>856</v>
      </c>
      <c r="B15" s="77"/>
      <c r="C15" s="185"/>
      <c r="D15" s="185"/>
      <c r="E15" s="185"/>
      <c r="F15" s="165" t="e">
        <f>'b) Template'!K109</f>
        <v>#N/A</v>
      </c>
      <c r="G15" s="185"/>
      <c r="H15" s="208">
        <f>'b) Template'!I3</f>
        <v>0</v>
      </c>
      <c r="I15" s="185"/>
      <c r="J15" s="66"/>
    </row>
    <row r="16" spans="1:10" ht="7.5" customHeight="1" thickBot="1">
      <c r="A16" s="249"/>
      <c r="B16" s="77"/>
      <c r="C16" s="185"/>
      <c r="D16" s="185"/>
      <c r="E16" s="185"/>
      <c r="F16" s="166"/>
      <c r="G16" s="185"/>
      <c r="H16" s="185"/>
      <c r="I16" s="185"/>
      <c r="J16" s="66"/>
    </row>
    <row r="17" spans="1:10" ht="14.4" thickBot="1">
      <c r="A17" s="77" t="s">
        <v>857</v>
      </c>
      <c r="B17" s="77"/>
      <c r="C17" s="185"/>
      <c r="D17" s="185"/>
      <c r="E17" s="185"/>
      <c r="F17" s="165" t="e">
        <f>VLOOKUP($H$15,'Data - IUB Thresholds Mar 25'!A4:C70,3,FALSE)</f>
        <v>#N/A</v>
      </c>
      <c r="G17" s="185"/>
      <c r="H17" s="185"/>
      <c r="I17" s="185"/>
      <c r="J17" s="66"/>
    </row>
    <row r="18" spans="1:10" ht="13.8" hidden="1">
      <c r="A18" s="92" t="s">
        <v>858</v>
      </c>
      <c r="B18" s="77"/>
      <c r="C18" s="185"/>
      <c r="D18" s="185"/>
      <c r="E18" s="185"/>
      <c r="F18" s="166"/>
      <c r="G18" s="185"/>
      <c r="H18" s="185"/>
      <c r="I18" s="185"/>
      <c r="J18" s="66"/>
    </row>
    <row r="19" spans="1:10" ht="7.5" customHeight="1" thickBot="1">
      <c r="A19" s="249"/>
      <c r="B19" s="77"/>
      <c r="C19" s="185"/>
      <c r="D19" s="185"/>
      <c r="E19" s="185"/>
      <c r="F19" s="190"/>
      <c r="G19" s="185"/>
      <c r="H19" s="185"/>
      <c r="I19" s="185"/>
      <c r="J19" s="66"/>
    </row>
    <row r="20" spans="1:10" ht="14.4" thickBot="1">
      <c r="A20" s="93" t="s">
        <v>859</v>
      </c>
      <c r="B20" s="379"/>
      <c r="C20" s="191"/>
      <c r="D20" s="191"/>
      <c r="E20" s="191"/>
      <c r="F20" s="167" t="e">
        <f>F15-F17</f>
        <v>#N/A</v>
      </c>
      <c r="G20" s="185"/>
      <c r="H20" s="185"/>
      <c r="I20" s="185"/>
      <c r="J20" s="66"/>
    </row>
    <row r="21" spans="1:10" ht="13.8">
      <c r="A21" s="92" t="s">
        <v>860</v>
      </c>
      <c r="B21" s="77"/>
      <c r="C21" s="185"/>
      <c r="D21" s="185"/>
      <c r="E21" s="185"/>
      <c r="F21" s="91"/>
      <c r="G21" s="185"/>
      <c r="H21" s="185"/>
      <c r="I21" s="185"/>
      <c r="J21" s="66"/>
    </row>
    <row r="22" spans="1:10" ht="6" customHeight="1">
      <c r="A22" s="92"/>
      <c r="B22" s="77"/>
      <c r="C22" s="185"/>
      <c r="D22" s="185"/>
      <c r="E22" s="185"/>
      <c r="F22" s="91"/>
      <c r="G22" s="185"/>
      <c r="H22" s="185"/>
      <c r="I22" s="185"/>
      <c r="J22" s="66"/>
    </row>
    <row r="23" spans="1:10" ht="13.8" hidden="1">
      <c r="A23" s="249" t="s">
        <v>861</v>
      </c>
      <c r="B23" s="77"/>
      <c r="C23" s="185"/>
      <c r="D23" s="185"/>
      <c r="E23" s="185"/>
      <c r="F23" s="91"/>
      <c r="G23" s="185"/>
      <c r="H23" s="185"/>
      <c r="I23" s="185"/>
      <c r="J23" s="66"/>
    </row>
    <row r="24" spans="1:10" ht="13.8" hidden="1">
      <c r="A24" s="249" t="s">
        <v>862</v>
      </c>
      <c r="B24" s="77"/>
      <c r="C24" s="185"/>
      <c r="D24" s="185"/>
      <c r="E24" s="185"/>
      <c r="F24" s="91"/>
      <c r="G24" s="185"/>
      <c r="H24" s="185"/>
      <c r="I24" s="185"/>
      <c r="J24" s="66"/>
    </row>
    <row r="25" spans="1:10" ht="13.8" hidden="1">
      <c r="A25" s="249" t="s">
        <v>863</v>
      </c>
      <c r="B25" s="185"/>
      <c r="C25" s="185"/>
      <c r="D25" s="185"/>
      <c r="E25" s="185"/>
      <c r="F25" s="185"/>
      <c r="G25" s="185"/>
      <c r="H25" s="185"/>
      <c r="I25" s="185"/>
      <c r="J25" s="66"/>
    </row>
    <row r="26" spans="1:10" ht="13.8">
      <c r="A26" s="249" t="s">
        <v>864</v>
      </c>
      <c r="B26" s="185"/>
      <c r="C26" s="185"/>
      <c r="D26" s="185"/>
      <c r="E26" s="185"/>
      <c r="F26" s="185"/>
      <c r="G26" s="185"/>
      <c r="H26" s="185"/>
      <c r="I26" s="185"/>
      <c r="J26" s="66"/>
    </row>
    <row r="27" spans="1:10" ht="13.8">
      <c r="A27" s="249" t="s">
        <v>865</v>
      </c>
      <c r="B27" s="185"/>
      <c r="C27" s="185"/>
      <c r="D27" s="185"/>
      <c r="E27" s="185"/>
      <c r="F27" s="185"/>
      <c r="G27" s="185"/>
      <c r="H27" s="185"/>
      <c r="I27" s="185"/>
      <c r="J27" s="66"/>
    </row>
    <row r="28" spans="1:10" ht="13.8">
      <c r="A28" s="249" t="s">
        <v>866</v>
      </c>
      <c r="B28" s="185"/>
      <c r="C28" s="185"/>
      <c r="D28" s="185"/>
      <c r="E28" s="185"/>
      <c r="F28" s="185"/>
      <c r="G28" s="185"/>
      <c r="H28" s="185"/>
      <c r="I28" s="185"/>
      <c r="J28" s="66"/>
    </row>
    <row r="29" spans="1:10" ht="7.5" customHeight="1" thickBot="1">
      <c r="A29" s="249"/>
      <c r="B29" s="378"/>
      <c r="C29" s="67"/>
      <c r="D29" s="67"/>
      <c r="E29" s="67"/>
      <c r="F29" s="66"/>
      <c r="G29" s="67"/>
      <c r="H29" s="66"/>
      <c r="I29" s="67"/>
      <c r="J29" s="66"/>
    </row>
    <row r="30" spans="1:10" s="193" customFormat="1" ht="39" customHeight="1" thickBot="1">
      <c r="A30" s="83"/>
      <c r="B30" s="615" t="s">
        <v>867</v>
      </c>
      <c r="C30" s="616"/>
      <c r="D30" s="617"/>
      <c r="E30" s="85" t="s">
        <v>868</v>
      </c>
      <c r="F30" s="192" t="s">
        <v>869</v>
      </c>
      <c r="G30" s="618" t="s">
        <v>870</v>
      </c>
      <c r="H30" s="619"/>
      <c r="I30" s="620"/>
      <c r="J30" s="621"/>
    </row>
    <row r="31" spans="1:10" ht="15" customHeight="1">
      <c r="A31" s="89"/>
      <c r="B31" s="194" t="s">
        <v>871</v>
      </c>
      <c r="C31" s="194"/>
      <c r="D31" s="195"/>
      <c r="E31" s="84"/>
      <c r="F31" s="196"/>
      <c r="G31" s="612"/>
      <c r="H31" s="613"/>
      <c r="I31" s="613"/>
      <c r="J31" s="614"/>
    </row>
    <row r="32" spans="1:10" ht="15">
      <c r="A32" s="90"/>
      <c r="B32" s="194" t="s">
        <v>835</v>
      </c>
      <c r="C32" s="197"/>
      <c r="D32" s="195"/>
      <c r="E32" s="84"/>
      <c r="F32" s="196"/>
      <c r="G32" s="609"/>
      <c r="H32" s="610"/>
      <c r="I32" s="610"/>
      <c r="J32" s="611"/>
    </row>
    <row r="33" spans="1:10" ht="15">
      <c r="A33" s="90"/>
      <c r="B33" s="194" t="s">
        <v>836</v>
      </c>
      <c r="C33" s="198"/>
      <c r="D33" s="198"/>
      <c r="E33" s="84"/>
      <c r="F33" s="196"/>
      <c r="G33" s="609"/>
      <c r="H33" s="610"/>
      <c r="I33" s="610"/>
      <c r="J33" s="611"/>
    </row>
    <row r="34" spans="1:10" ht="15">
      <c r="A34" s="90"/>
      <c r="B34" s="194" t="s">
        <v>837</v>
      </c>
      <c r="C34" s="198"/>
      <c r="D34" s="198"/>
      <c r="E34" s="84"/>
      <c r="F34" s="196"/>
      <c r="G34" s="609"/>
      <c r="H34" s="610"/>
      <c r="I34" s="610"/>
      <c r="J34" s="611"/>
    </row>
    <row r="35" spans="1:10" ht="15">
      <c r="A35" s="90"/>
      <c r="B35" s="194" t="s">
        <v>838</v>
      </c>
      <c r="C35" s="197"/>
      <c r="D35" s="195"/>
      <c r="E35" s="84"/>
      <c r="F35" s="196"/>
      <c r="G35" s="609"/>
      <c r="H35" s="610"/>
      <c r="I35" s="610"/>
      <c r="J35" s="611"/>
    </row>
    <row r="36" spans="1:10" ht="15">
      <c r="A36" s="90"/>
      <c r="B36" s="194" t="s">
        <v>839</v>
      </c>
      <c r="C36" s="197"/>
      <c r="D36" s="195"/>
      <c r="E36" s="84"/>
      <c r="F36" s="196"/>
      <c r="G36" s="609"/>
      <c r="H36" s="610"/>
      <c r="I36" s="610"/>
      <c r="J36" s="611"/>
    </row>
    <row r="37" spans="1:10" ht="15.6" thickBot="1">
      <c r="A37" s="90"/>
      <c r="B37" s="199" t="s">
        <v>840</v>
      </c>
      <c r="C37" s="200"/>
      <c r="D37" s="201"/>
      <c r="E37" s="177"/>
      <c r="F37" s="202"/>
      <c r="G37" s="606"/>
      <c r="H37" s="607"/>
      <c r="I37" s="607"/>
      <c r="J37" s="608"/>
    </row>
    <row r="38" spans="1:10" ht="16.2" thickBot="1">
      <c r="A38" s="70"/>
      <c r="B38" s="173" t="s">
        <v>847</v>
      </c>
      <c r="C38" s="174"/>
      <c r="D38" s="175"/>
      <c r="E38" s="176">
        <f>SUM(E31:E37)</f>
        <v>0</v>
      </c>
      <c r="F38" s="71"/>
      <c r="G38" s="67"/>
      <c r="H38" s="66"/>
      <c r="I38" s="67"/>
      <c r="J38" s="66"/>
    </row>
    <row r="39" spans="1:10" ht="15">
      <c r="A39" s="72"/>
      <c r="B39" s="67"/>
      <c r="C39" s="67"/>
      <c r="D39" s="67"/>
      <c r="E39" s="67"/>
      <c r="F39" s="66"/>
      <c r="G39" s="67"/>
      <c r="H39" s="66"/>
      <c r="I39" s="67"/>
      <c r="J39" s="66"/>
    </row>
    <row r="40" spans="1:10" ht="15">
      <c r="A40" s="249" t="s">
        <v>848</v>
      </c>
      <c r="B40" s="67"/>
      <c r="C40" s="67"/>
      <c r="D40" s="67"/>
      <c r="E40" s="67"/>
      <c r="F40" s="66"/>
      <c r="G40" s="67"/>
      <c r="H40" s="66"/>
      <c r="I40" s="67"/>
      <c r="J40" s="66"/>
    </row>
    <row r="41" spans="1:10" s="98" customFormat="1" hidden="1"/>
    <row r="42" spans="1:10" s="98" customFormat="1" ht="13.2" hidden="1" thickBot="1">
      <c r="E42" s="98" t="s">
        <v>872</v>
      </c>
      <c r="F42" s="203" t="e">
        <v>#N/A</v>
      </c>
    </row>
    <row r="43" spans="1:10" s="98" customFormat="1" ht="13.2" hidden="1" thickBot="1">
      <c r="E43" s="98" t="s">
        <v>873</v>
      </c>
      <c r="F43" s="204">
        <v>0</v>
      </c>
    </row>
    <row r="44" spans="1:10" s="98" customFormat="1" ht="13.2" hidden="1" thickBot="1">
      <c r="E44" s="98" t="s">
        <v>874</v>
      </c>
      <c r="F44" s="203" t="e">
        <v>#N/A</v>
      </c>
    </row>
    <row r="45" spans="1:10" s="98" customFormat="1" ht="13.2" hidden="1" thickBot="1">
      <c r="E45" s="98" t="s">
        <v>875</v>
      </c>
      <c r="F45" s="203" t="e">
        <v>#N/A</v>
      </c>
    </row>
    <row r="46" spans="1:10" s="98" customFormat="1" hidden="1"/>
    <row r="47" spans="1:10" s="98" customFormat="1"/>
    <row r="48" spans="1:10" s="98" customFormat="1"/>
    <row r="49" s="98" customFormat="1"/>
    <row r="50" s="98" customFormat="1"/>
    <row r="51" s="98" customFormat="1"/>
    <row r="52" s="98" customFormat="1"/>
    <row r="53" s="98" customFormat="1"/>
    <row r="54" s="98" customFormat="1"/>
    <row r="55" s="98" customFormat="1"/>
    <row r="56" s="98" customFormat="1"/>
    <row r="57" s="98" customFormat="1"/>
    <row r="58" s="98" customFormat="1"/>
    <row r="59" s="98" customFormat="1"/>
    <row r="60" s="98" customFormat="1"/>
    <row r="61" s="98" customFormat="1"/>
    <row r="62" s="98" customFormat="1"/>
    <row r="63" s="98" customFormat="1"/>
    <row r="64" s="98" customFormat="1"/>
    <row r="65" s="98" customFormat="1"/>
    <row r="66" s="98" customFormat="1"/>
    <row r="67" s="98" customFormat="1"/>
    <row r="68" s="98" customFormat="1"/>
    <row r="69" s="98" customFormat="1"/>
    <row r="70" s="98" customFormat="1"/>
    <row r="71" s="98" customFormat="1"/>
    <row r="72" s="98" customFormat="1"/>
    <row r="73" s="98" customFormat="1"/>
    <row r="74" s="98" customFormat="1"/>
    <row r="75" s="98" customFormat="1"/>
    <row r="76" s="98" customFormat="1"/>
    <row r="77" s="98" customFormat="1"/>
    <row r="78" s="98" customFormat="1"/>
    <row r="79" s="98" customFormat="1"/>
    <row r="80" s="98" customFormat="1"/>
    <row r="81" s="98" customFormat="1"/>
    <row r="82" s="98" customFormat="1"/>
    <row r="83" s="98" customFormat="1"/>
    <row r="84" s="98" customFormat="1"/>
    <row r="85" s="98" customFormat="1"/>
    <row r="86" s="98" customFormat="1"/>
    <row r="87" s="98" customFormat="1"/>
    <row r="88" s="98" customFormat="1"/>
    <row r="89" s="98" customFormat="1"/>
    <row r="90" s="98" customFormat="1"/>
    <row r="91" s="98" customFormat="1"/>
    <row r="92" s="98" customFormat="1"/>
    <row r="93" s="98" customFormat="1"/>
    <row r="94" s="98" customFormat="1"/>
    <row r="95" s="98" customFormat="1"/>
    <row r="96" s="98" customFormat="1"/>
  </sheetData>
  <mergeCells count="11">
    <mergeCell ref="G31:J31"/>
    <mergeCell ref="A2:J2"/>
    <mergeCell ref="A3:I3"/>
    <mergeCell ref="B30:D30"/>
    <mergeCell ref="G30:J30"/>
    <mergeCell ref="G37:J37"/>
    <mergeCell ref="G32:J32"/>
    <mergeCell ref="G33:J33"/>
    <mergeCell ref="G34:J34"/>
    <mergeCell ref="G35:J35"/>
    <mergeCell ref="G36:J36"/>
  </mergeCells>
  <phoneticPr fontId="16" type="noConversion"/>
  <pageMargins left="0.15748031496062992" right="0.15748031496062992" top="0.39370078740157483" bottom="0.39370078740157483" header="0.51181102362204722" footer="0.51181102362204722"/>
  <pageSetup paperSize="9" scale="7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9b21f7a-5c23-465e-9456-167c464d9d38">
      <Terms xmlns="http://schemas.microsoft.com/office/infopath/2007/PartnerControls"/>
    </lcf76f155ced4ddcb4097134ff3c332f>
    <TaxCatchAll xmlns="914b8805-347d-4649-b025-7bc68f6e747d" xsi:nil="true"/>
    <School xmlns="09b21f7a-5c23-465e-9456-167c464d9d38" xsi:nil="true"/>
    <Period xmlns="09b21f7a-5c23-465e-9456-167c464d9d38" xsi:nil="true"/>
    <Document xmlns="09b21f7a-5c23-465e-9456-167c464d9d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17F14F15A7C6E4E94B433EBEA75847E" ma:contentTypeVersion="27" ma:contentTypeDescription="Create a new document." ma:contentTypeScope="" ma:versionID="6fa1acf55f472e96d4b29642156d9aff">
  <xsd:schema xmlns:xsd="http://www.w3.org/2001/XMLSchema" xmlns:xs="http://www.w3.org/2001/XMLSchema" xmlns:p="http://schemas.microsoft.com/office/2006/metadata/properties" xmlns:ns2="09b21f7a-5c23-465e-9456-167c464d9d38" xmlns:ns3="914b8805-347d-4649-b025-7bc68f6e747d" targetNamespace="http://schemas.microsoft.com/office/2006/metadata/properties" ma:root="true" ma:fieldsID="7c8d8024c06fc66996d610a21c7ae44b" ns2:_="" ns3:_="">
    <xsd:import namespace="09b21f7a-5c23-465e-9456-167c464d9d38"/>
    <xsd:import namespace="914b8805-347d-4649-b025-7bc68f6e747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LengthInSeconds" minOccurs="0"/>
                <xsd:element ref="ns2:MediaServiceSearchProperties" minOccurs="0"/>
                <xsd:element ref="ns2:Period" minOccurs="0"/>
                <xsd:element ref="ns2:School" minOccurs="0"/>
                <xsd:element ref="ns2:Documen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b21f7a-5c23-465e-9456-167c464d9d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a33aaf0-d2be-4910-a308-718f043c109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hidden="true" ma:internalName="MediaServiceOCR"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hidden="true"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Period" ma:index="25" nillable="true" ma:displayName="Period" ma:format="Dropdown" ma:hidden="true" ma:internalName="Period" ma:readOnly="false">
      <xsd:simpleType>
        <xsd:restriction base="dms:Choice">
          <xsd:enumeration value="01 Apr"/>
          <xsd:enumeration value="02 May"/>
          <xsd:enumeration value="03 June"/>
          <xsd:enumeration value="04 July"/>
          <xsd:enumeration value="05 Aug"/>
          <xsd:enumeration value="06 Sep"/>
          <xsd:enumeration value="07 Oct"/>
          <xsd:enumeration value="08 Nov"/>
          <xsd:enumeration value="09 Dec"/>
          <xsd:enumeration value="10 Jan"/>
          <xsd:enumeration value="11 Feb"/>
          <xsd:enumeration value="12 Mar"/>
        </xsd:restriction>
      </xsd:simpleType>
    </xsd:element>
    <xsd:element name="School" ma:index="26" nillable="true" ma:displayName="School" ma:format="Dropdown" ma:hidden="true" ma:internalName="School" ma:readOnly="false">
      <xsd:simpleType>
        <xsd:restriction base="dms:Choice">
          <xsd:enumeration value="Abbots Ripton"/>
          <xsd:enumeration value="Alconbury"/>
          <xsd:enumeration value="Alderman Payne"/>
          <xsd:enumeration value="Arbury"/>
          <xsd:enumeration value="Barnabas Oley"/>
          <xsd:enumeration value="Barrington"/>
          <xsd:enumeration value="Barton"/>
          <xsd:enumeration value="Bassingbourn"/>
          <xsd:enumeration value="Beaupre"/>
          <xsd:enumeration value="Benwick"/>
          <xsd:enumeration value="Bewick Bridge"/>
          <xsd:enumeration value="Brampton"/>
          <xsd:enumeration value="Brington"/>
          <xsd:enumeration value="Brunswick"/>
          <xsd:enumeration value="Burwell"/>
          <xsd:enumeration value="Bushmead"/>
          <xsd:enumeration value="Caldecote"/>
          <xsd:enumeration value="Castle Camps"/>
          <xsd:enumeration value="Castle School"/>
          <xsd:enumeration value="Cherry Hinton"/>
          <xsd:enumeration value="Cheveley"/>
          <xsd:enumeration value="Clarkson"/>
          <xsd:enumeration value="Coates"/>
          <xsd:enumeration value="Colleges"/>
          <xsd:enumeration value="Colville"/>
          <xsd:enumeration value="Coton"/>
          <xsd:enumeration value="Cottenham"/>
          <xsd:enumeration value="Dry Drayton"/>
          <xsd:enumeration value="Duxford"/>
          <xsd:enumeration value="Eastfield"/>
          <xsd:enumeration value="Elsworth"/>
          <xsd:enumeration value="Ely St John"/>
          <xsd:enumeration value="Eynesbury"/>
          <xsd:enumeration value="Fawcett"/>
          <xsd:enumeration value="Fen Drayton"/>
          <xsd:enumeration value="Fenstanton and Hilton"/>
          <xsd:enumeration value="Folksworth"/>
          <xsd:enumeration value="Fordham"/>
          <xsd:enumeration value="Fourfields"/>
          <xsd:enumeration value="Fowlmere"/>
          <xsd:enumeration value="Foxton"/>
          <xsd:enumeration value="Friday Bridge"/>
          <xsd:enumeration value="Fulbourn"/>
          <xsd:enumeration value="Granta"/>
          <xsd:enumeration value="Gt and Lt Shelford"/>
          <xsd:enumeration value="Great Abington"/>
          <xsd:enumeration value="Great Paxton"/>
          <xsd:enumeration value="Hardwick and Cambourne"/>
          <xsd:enumeration value="Harston and Newton"/>
          <xsd:enumeration value="Haslingfield"/>
          <xsd:enumeration value="Hauxton"/>
          <xsd:enumeration value="Hemingford Grey"/>
          <xsd:enumeration value="Histon"/>
          <xsd:enumeration value="Holywell"/>
          <xsd:enumeration value="Homerton"/>
          <xsd:enumeration value="Houghton"/>
          <xsd:enumeration value="Huntingdon Nursery"/>
          <xsd:enumeration value="Huntingdon Primary"/>
          <xsd:enumeration value="Isleham"/>
          <xsd:enumeration value="Kettlefields"/>
          <xsd:enumeration value="Kings Hedges"/>
          <xsd:enumeration value="Linton"/>
          <xsd:enumeration value="Lionel Walden"/>
          <xsd:enumeration value="Little Paxton"/>
          <xsd:enumeration value="Littleport"/>
          <xsd:enumeration value="Manea"/>
          <xsd:enumeration value="Mayfield"/>
          <xsd:enumeration value="Melbourn"/>
          <xsd:enumeration value="Meldreth"/>
          <xsd:enumeration value="Meridian"/>
          <xsd:enumeration value="Milton Road"/>
          <xsd:enumeration value="Monkfield"/>
          <xsd:enumeration value="Morley"/>
          <xsd:enumeration value="Newnham Croft"/>
          <xsd:enumeration value="Orchard Park"/>
          <xsd:enumeration value="Over"/>
          <xsd:enumeration value="Park Street"/>
          <xsd:enumeration value="Pendragon"/>
          <xsd:enumeration value="Peterfield"/>
          <xsd:enumeration value="Priory Junior"/>
          <xsd:enumeration value="Priory Park"/>
          <xsd:enumeration value="Queens Fed"/>
          <xsd:enumeration value="Ridgefield"/>
          <xsd:enumeration value="Robert Arkenstall"/>
          <xsd:enumeration value="Samuel Pepys"/>
          <xsd:enumeration value="Sawtry"/>
          <xsd:enumeration value="Shirley"/>
          <xsd:enumeration value="The Spinney"/>
          <xsd:enumeration value="Spring Meadow"/>
          <xsd:enumeration value="St Annes"/>
          <xsd:enumeration value="St Helens"/>
          <xsd:enumeration value="St Matthews"/>
          <xsd:enumeration value="St Pauls"/>
          <xsd:enumeration value="St Philips"/>
          <xsd:enumeration value="Steeple Morden"/>
          <xsd:enumeration value="Stretham"/>
          <xsd:enumeration value="Stukeley Meadows"/>
          <xsd:enumeration value="Sutton"/>
          <xsd:enumeration value="Swavesey"/>
          <xsd:enumeration value="Teversham"/>
          <xsd:enumeration value="Asbeach"/>
          <xsd:enumeration value="Bellbird"/>
          <xsd:enumeration value="Elton"/>
          <xsd:enumeration value="The Fields"/>
          <xsd:enumeration value="The Grove"/>
          <xsd:enumeration value="The Newton"/>
          <xsd:enumeration value="The Rackham"/>
          <xsd:enumeration value="The Vine"/>
          <xsd:enumeration value="Thorndown"/>
          <xsd:enumeration value="Townley"/>
          <xsd:enumeration value="Trumpington Fed"/>
          <xsd:enumeration value="Waterbeach"/>
          <xsd:enumeration value="Westfield"/>
          <xsd:enumeration value="Wilburton"/>
          <xsd:enumeration value="William Westley"/>
          <xsd:enumeration value="Willingham"/>
          <xsd:enumeration value="Wyton"/>
          <xsd:enumeration value="Yaxley"/>
        </xsd:restriction>
      </xsd:simpleType>
    </xsd:element>
    <xsd:element name="Document" ma:index="27" nillable="true" ma:displayName="Category" ma:format="Dropdown" ma:hidden="true" ma:internalName="Document" ma:readOnly="false">
      <xsd:simpleType>
        <xsd:restriction base="dms:Choice">
          <xsd:enumeration value="Email"/>
          <xsd:enumeration value="SMER"/>
          <xsd:enumeration value="Feedback"/>
          <xsd:enumeration value="Other Correspondence"/>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4b8805-347d-4649-b025-7bc68f6e747d"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6c1ef83e-2c86-4c42-a104-653a0638da21}" ma:internalName="TaxCatchAll" ma:readOnly="false" ma:showField="CatchAllData" ma:web="914b8805-347d-4649-b025-7bc68f6e74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B539AD-B3F9-4AC3-99A1-6A77FFCFEBB7}">
  <ds:schemaRefs>
    <ds:schemaRef ds:uri="http://purl.org/dc/dcmitype/"/>
    <ds:schemaRef ds:uri="http://schemas.microsoft.com/office/2006/documentManagement/types"/>
    <ds:schemaRef ds:uri="http://www.w3.org/XML/1998/namespace"/>
    <ds:schemaRef ds:uri="09b21f7a-5c23-465e-9456-167c464d9d38"/>
    <ds:schemaRef ds:uri="http://schemas.openxmlformats.org/package/2006/metadata/core-properties"/>
    <ds:schemaRef ds:uri="http://purl.org/dc/elements/1.1/"/>
    <ds:schemaRef ds:uri="http://purl.org/dc/terms/"/>
    <ds:schemaRef ds:uri="http://schemas.microsoft.com/office/infopath/2007/PartnerControls"/>
    <ds:schemaRef ds:uri="914b8805-347d-4649-b025-7bc68f6e747d"/>
    <ds:schemaRef ds:uri="http://schemas.microsoft.com/office/2006/metadata/properties"/>
  </ds:schemaRefs>
</ds:datastoreItem>
</file>

<file path=customXml/itemProps2.xml><?xml version="1.0" encoding="utf-8"?>
<ds:datastoreItem xmlns:ds="http://schemas.openxmlformats.org/officeDocument/2006/customXml" ds:itemID="{1BA4A5F3-4A88-47B8-825E-E0348BF14FA8}">
  <ds:schemaRefs>
    <ds:schemaRef ds:uri="http://schemas.microsoft.com/sharepoint/v3/contenttype/forms"/>
  </ds:schemaRefs>
</ds:datastoreItem>
</file>

<file path=customXml/itemProps3.xml><?xml version="1.0" encoding="utf-8"?>
<ds:datastoreItem xmlns:ds="http://schemas.openxmlformats.org/officeDocument/2006/customXml" ds:itemID="{0A189ACA-EAA8-4C15-88BC-02D85722FC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b21f7a-5c23-465e-9456-167c464d9d38"/>
    <ds:schemaRef ds:uri="914b8805-347d-4649-b025-7bc68f6e74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Sheet1</vt:lpstr>
      <vt:lpstr>EXAMPLE COPY</vt:lpstr>
      <vt:lpstr>Instructions</vt:lpstr>
      <vt:lpstr>a) School Summary</vt:lpstr>
      <vt:lpstr>b) Template</vt:lpstr>
      <vt:lpstr>SBS BvA Report (Table)</vt:lpstr>
      <vt:lpstr>"Alerts"</vt:lpstr>
      <vt:lpstr>Rev Income Spend B'mark Metrics</vt:lpstr>
      <vt:lpstr>ICFP Data Entry</vt:lpstr>
      <vt:lpstr>SSCT</vt:lpstr>
      <vt:lpstr>'Letter PLEASE READ'!OLE_LINK1</vt:lpstr>
      <vt:lpstr>'"Alerts"'!Print_Area</vt:lpstr>
      <vt:lpstr>'a) School Summary'!Print_Area</vt:lpstr>
      <vt:lpstr>'b) Template'!Print_Area</vt:lpstr>
      <vt:lpstr>'c) IUB reporting March 2024'!Print_Area</vt:lpstr>
      <vt:lpstr>'d) IUB reporting March 2025'!Print_Area</vt:lpstr>
      <vt:lpstr>'EXAMPLE COPY'!Print_Area</vt:lpstr>
      <vt:lpstr>'Rev Income Spend B''mark Metrics'!Print_Area</vt:lpstr>
    </vt:vector>
  </TitlesOfParts>
  <Manager/>
  <Company>Education Bradford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Janet.taylor</dc:creator>
  <cp:keywords/>
  <dc:description/>
  <cp:lastModifiedBy>Jonty Holden</cp:lastModifiedBy>
  <cp:revision/>
  <cp:lastPrinted>2025-07-08T10:43:24Z</cp:lastPrinted>
  <dcterms:created xsi:type="dcterms:W3CDTF">2005-02-15T13:39:22Z</dcterms:created>
  <dcterms:modified xsi:type="dcterms:W3CDTF">2026-06-24T09:26:31Z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-207755002</vt:i4>
  </property>
  <property fmtid="{D5CDD505-2E9C-101B-9397-08002B2CF9AE}" pid="3" name="_EmailSubject">
    <vt:lpwstr>budget template</vt:lpwstr>
  </property>
  <property fmtid="{D5CDD505-2E9C-101B-9397-08002B2CF9AE}" pid="4" name="_AuthorEmail">
    <vt:lpwstr>Andrew.Redding@bradford.gov.uk</vt:lpwstr>
  </property>
  <property fmtid="{D5CDD505-2E9C-101B-9397-08002B2CF9AE}" pid="5" name="_AuthorEmailDisplayName">
    <vt:lpwstr>Andrew Redding</vt:lpwstr>
  </property>
  <property fmtid="{D5CDD505-2E9C-101B-9397-08002B2CF9AE}" pid="6" name="_ReviewingToolsShownOnce">
    <vt:lpwstr/>
  </property>
  <property fmtid="{D5CDD505-2E9C-101B-9397-08002B2CF9AE}" pid="7" name="ContentTypeId">
    <vt:lpwstr>0x010100F17F14F15A7C6E4E94B433EBEA75847E</vt:lpwstr>
  </property>
  <property fmtid="{D5CDD505-2E9C-101B-9397-08002B2CF9AE}" pid="8" name="MediaServiceImageTags">
    <vt:lpwstr/>
  </property>
  <property fmtid="{D5CDD505-2E9C-101B-9397-08002B2CF9AE}" pid="9" name="Posted0">
    <vt:bool>false</vt:bool>
  </property>
  <property fmtid="{D5CDD505-2E9C-101B-9397-08002B2CF9AE}" pid="10" name="Posted">
    <vt:bool>true</vt:bool>
  </property>
</Properties>
</file>