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cccandpcc.sharepoint.com/sites/CCCFinanceTeam/Shared Documents/CCC Finance Team – Work/Schools/SSCT/2025-26/Quarterly Monitoring Template/Q1/"/>
    </mc:Choice>
  </mc:AlternateContent>
  <xr:revisionPtr revIDLastSave="218" documentId="8_{2084C9AC-8BF8-497E-96B4-953173CD6C8A}" xr6:coauthVersionLast="47" xr6:coauthVersionMax="47" xr10:uidLastSave="{C689AFBC-3B80-4FB1-B778-DCF6F437F95F}"/>
  <workbookProtection lockStructure="1"/>
  <bookViews>
    <workbookView xWindow="47895" yWindow="75" windowWidth="19410" windowHeight="15585" tabRatio="863" firstSheet="3" activeTab="6" xr2:uid="{00000000-000D-0000-FFFF-FFFF00000000}"/>
  </bookViews>
  <sheets>
    <sheet name="Sheet1" sheetId="21" state="hidden" r:id="rId1"/>
    <sheet name="Letter PLEASE READ" sheetId="7" state="veryHidden" r:id="rId2"/>
    <sheet name="PRINT SCREEN CFR" sheetId="15" state="veryHidden" r:id="rId3"/>
    <sheet name="EXAMPLE COPY" sheetId="24" r:id="rId4"/>
    <sheet name="Instructions" sheetId="23" r:id="rId5"/>
    <sheet name="a) School Summary" sheetId="2" r:id="rId6"/>
    <sheet name="b) Template" sheetId="1" r:id="rId7"/>
    <sheet name="c) IUB reporting March 2024" sheetId="13" state="veryHidden" r:id="rId8"/>
    <sheet name="d) IUB reporting March 2025" sheetId="14" state="veryHidden" r:id="rId9"/>
    <sheet name="SBS BvA Report (Table)" sheetId="22" r:id="rId10"/>
    <sheet name="&quot;Alerts&quot;" sheetId="8" r:id="rId11"/>
    <sheet name="SSCT" sheetId="3" r:id="rId12"/>
    <sheet name="Data - CFR 2024-25" sheetId="16" state="veryHidden" r:id="rId13"/>
    <sheet name="Data - 2025-26 Approved Budget" sheetId="17" state="veryHidden" r:id="rId14"/>
    <sheet name="Data - Revenue Balances Mar 25" sheetId="12" state="veryHidden" r:id="rId15"/>
    <sheet name="Data - Capital Balances Mar 24" sheetId="19" state="veryHidden" r:id="rId16"/>
    <sheet name="Data - IUB March 2024" sheetId="18" state="veryHidden" r:id="rId17"/>
    <sheet name="Data - IUB Thresholds Mar 25" sheetId="20" state="veryHidden" r:id="rId18"/>
  </sheets>
  <externalReferences>
    <externalReference r:id="rId19"/>
    <externalReference r:id="rId20"/>
  </externalReferences>
  <definedNames>
    <definedName name="_xlnm._FilterDatabase" localSheetId="12" hidden="1">'Data - CFR 2024-25'!$A$3:$CO$127</definedName>
    <definedName name="OLE_LINK1" localSheetId="1">'Letter PLEASE READ'!$B$1</definedName>
    <definedName name="_xlnm.Print_Area" localSheetId="10">'"Alerts"'!$A$5:$L$45</definedName>
    <definedName name="_xlnm.Print_Area" localSheetId="5">'a) School Summary'!$A$1:$I$76</definedName>
    <definedName name="_xlnm.Print_Area" localSheetId="6">'b) Template'!$A$1:$O$139</definedName>
    <definedName name="_xlnm.Print_Area" localSheetId="7">'c) IUB reporting March 2024'!$A$1:$J$39</definedName>
    <definedName name="_xlnm.Print_Area" localSheetId="8">'d) IUB reporting March 2025'!$A$1:$J$40</definedName>
    <definedName name="_xlnm.Print_Area" localSheetId="3">'EXAMPLE COPY'!$A$1:$O$139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K40" i="1"/>
  <c r="I40" i="1"/>
  <c r="G40" i="1"/>
  <c r="E314" i="24"/>
  <c r="E313" i="24"/>
  <c r="E312" i="24"/>
  <c r="E311" i="24"/>
  <c r="E310" i="24"/>
  <c r="E309" i="24"/>
  <c r="E308" i="24"/>
  <c r="E307" i="24"/>
  <c r="E306" i="24"/>
  <c r="E305" i="24"/>
  <c r="E304" i="24"/>
  <c r="E303" i="24"/>
  <c r="E302" i="24"/>
  <c r="E301" i="24"/>
  <c r="E300" i="24"/>
  <c r="E299" i="24"/>
  <c r="E298" i="24"/>
  <c r="E297" i="24"/>
  <c r="E296" i="24"/>
  <c r="E295" i="24"/>
  <c r="E294" i="24"/>
  <c r="E293" i="24"/>
  <c r="E292" i="24"/>
  <c r="E291" i="24"/>
  <c r="E290" i="24"/>
  <c r="E289" i="24"/>
  <c r="E288" i="24"/>
  <c r="E287" i="24"/>
  <c r="E286" i="24"/>
  <c r="E285" i="24"/>
  <c r="E284" i="24"/>
  <c r="E283" i="24"/>
  <c r="E282" i="24"/>
  <c r="E281" i="24"/>
  <c r="E280" i="24"/>
  <c r="E279" i="24"/>
  <c r="E278" i="24"/>
  <c r="E277" i="24"/>
  <c r="E276" i="24"/>
  <c r="E275" i="24"/>
  <c r="E274" i="24"/>
  <c r="E273" i="24"/>
  <c r="E272" i="24"/>
  <c r="E271" i="24"/>
  <c r="E270" i="24"/>
  <c r="E269" i="24"/>
  <c r="E268" i="24"/>
  <c r="E267" i="24"/>
  <c r="E266" i="24"/>
  <c r="E265" i="24"/>
  <c r="E264" i="24"/>
  <c r="E263" i="24"/>
  <c r="E262" i="24"/>
  <c r="E261" i="24"/>
  <c r="E260" i="24"/>
  <c r="E259" i="24"/>
  <c r="E258" i="24"/>
  <c r="E257" i="24"/>
  <c r="E256" i="24"/>
  <c r="E255" i="24"/>
  <c r="E254" i="24"/>
  <c r="E253" i="24"/>
  <c r="E252" i="24"/>
  <c r="E251" i="24"/>
  <c r="E250" i="24"/>
  <c r="E249" i="24"/>
  <c r="E248" i="24"/>
  <c r="E247" i="24"/>
  <c r="E246" i="24"/>
  <c r="E245" i="24"/>
  <c r="E244" i="24"/>
  <c r="E243" i="24"/>
  <c r="E242" i="24"/>
  <c r="E241" i="24"/>
  <c r="E240" i="24"/>
  <c r="E239" i="24"/>
  <c r="E238" i="24"/>
  <c r="E237" i="24"/>
  <c r="E236" i="24"/>
  <c r="E235" i="24"/>
  <c r="E234" i="24"/>
  <c r="E233" i="24"/>
  <c r="E232" i="24"/>
  <c r="E231" i="24"/>
  <c r="E230" i="24"/>
  <c r="E229" i="24"/>
  <c r="E228" i="24"/>
  <c r="E227" i="24"/>
  <c r="E226" i="24"/>
  <c r="E225" i="24"/>
  <c r="E224" i="24"/>
  <c r="E223" i="24"/>
  <c r="E222" i="24"/>
  <c r="E221" i="24"/>
  <c r="E220" i="24"/>
  <c r="E219" i="24"/>
  <c r="E218" i="24"/>
  <c r="E217" i="24"/>
  <c r="E216" i="24"/>
  <c r="E215" i="24"/>
  <c r="E214" i="24"/>
  <c r="E213" i="24"/>
  <c r="E212" i="24"/>
  <c r="E211" i="24"/>
  <c r="E210" i="24"/>
  <c r="E209" i="24"/>
  <c r="E208" i="24"/>
  <c r="E207" i="24"/>
  <c r="E206" i="24"/>
  <c r="E205" i="24"/>
  <c r="E204" i="24"/>
  <c r="E203" i="24"/>
  <c r="E202" i="24"/>
  <c r="E201" i="24"/>
  <c r="E200" i="24"/>
  <c r="E199" i="24"/>
  <c r="E198" i="24"/>
  <c r="E197" i="24"/>
  <c r="E196" i="24"/>
  <c r="E195" i="24"/>
  <c r="E194" i="24"/>
  <c r="E193" i="24"/>
  <c r="G137" i="24"/>
  <c r="K137" i="24" s="1"/>
  <c r="K134" i="24"/>
  <c r="E134" i="24"/>
  <c r="C134" i="24"/>
  <c r="I133" i="24"/>
  <c r="J133" i="24" s="1"/>
  <c r="M132" i="24"/>
  <c r="K132" i="24"/>
  <c r="I132" i="24"/>
  <c r="I134" i="24" s="1"/>
  <c r="J134" i="24" s="1"/>
  <c r="G132" i="24"/>
  <c r="J131" i="24"/>
  <c r="K130" i="24"/>
  <c r="J130" i="24"/>
  <c r="I130" i="24"/>
  <c r="G130" i="24"/>
  <c r="G134" i="24" s="1"/>
  <c r="G127" i="24"/>
  <c r="G136" i="24" s="1"/>
  <c r="G138" i="24" s="1"/>
  <c r="E127" i="24"/>
  <c r="E136" i="24" s="1"/>
  <c r="E138" i="24" s="1"/>
  <c r="C127" i="24"/>
  <c r="C136" i="24" s="1"/>
  <c r="C138" i="24" s="1"/>
  <c r="K126" i="24"/>
  <c r="I126" i="24"/>
  <c r="J126" i="24" s="1"/>
  <c r="G126" i="24"/>
  <c r="M126" i="24" s="1"/>
  <c r="K125" i="24"/>
  <c r="K127" i="24" s="1"/>
  <c r="K136" i="24" s="1"/>
  <c r="I125" i="24"/>
  <c r="I127" i="24" s="1"/>
  <c r="G125" i="24"/>
  <c r="M124" i="24"/>
  <c r="J124" i="24"/>
  <c r="A121" i="24"/>
  <c r="K117" i="24"/>
  <c r="B117" i="24"/>
  <c r="B116" i="24"/>
  <c r="E111" i="24"/>
  <c r="E109" i="24"/>
  <c r="K102" i="24"/>
  <c r="C100" i="24"/>
  <c r="G99" i="24"/>
  <c r="G101" i="24" s="1"/>
  <c r="G103" i="24" s="1"/>
  <c r="G108" i="24" s="1"/>
  <c r="K95" i="24"/>
  <c r="K100" i="24" s="1"/>
  <c r="J95" i="24"/>
  <c r="I95" i="24"/>
  <c r="G95" i="24"/>
  <c r="G100" i="24" s="1"/>
  <c r="E95" i="24"/>
  <c r="E100" i="24" s="1"/>
  <c r="C95" i="24"/>
  <c r="M94" i="24"/>
  <c r="J94" i="24"/>
  <c r="M93" i="24"/>
  <c r="M95" i="24" s="1"/>
  <c r="J93" i="24"/>
  <c r="K90" i="24"/>
  <c r="K99" i="24" s="1"/>
  <c r="K101" i="24" s="1"/>
  <c r="K103" i="24" s="1"/>
  <c r="K108" i="24" s="1"/>
  <c r="J90" i="24"/>
  <c r="I90" i="24"/>
  <c r="G90" i="24"/>
  <c r="E90" i="24"/>
  <c r="E99" i="24" s="1"/>
  <c r="E101" i="24" s="1"/>
  <c r="E103" i="24" s="1"/>
  <c r="C90" i="24"/>
  <c r="C99" i="24" s="1"/>
  <c r="C101" i="24" s="1"/>
  <c r="C103" i="24" s="1"/>
  <c r="C108" i="24" s="1"/>
  <c r="M89" i="24"/>
  <c r="J89" i="24"/>
  <c r="M88" i="24"/>
  <c r="M90" i="24" s="1"/>
  <c r="J88" i="24"/>
  <c r="A85" i="24"/>
  <c r="K79" i="24"/>
  <c r="K77" i="24"/>
  <c r="G77" i="24"/>
  <c r="K76" i="24"/>
  <c r="K78" i="24" s="1"/>
  <c r="K80" i="24" s="1"/>
  <c r="G76" i="24"/>
  <c r="G78" i="24" s="1"/>
  <c r="G80" i="24" s="1"/>
  <c r="E76" i="24"/>
  <c r="C76" i="24"/>
  <c r="C78" i="24" s="1"/>
  <c r="C80" i="24" s="1"/>
  <c r="K71" i="24"/>
  <c r="I71" i="24"/>
  <c r="J71" i="24" s="1"/>
  <c r="G71" i="24"/>
  <c r="E71" i="24"/>
  <c r="D71" i="24" s="1"/>
  <c r="C71" i="24"/>
  <c r="C77" i="24" s="1"/>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71" i="24" s="1"/>
  <c r="O71" i="24" s="1"/>
  <c r="M45" i="24"/>
  <c r="M44" i="24"/>
  <c r="M43" i="24"/>
  <c r="M42" i="24"/>
  <c r="M41" i="24"/>
  <c r="M40" i="24"/>
  <c r="A37" i="24"/>
  <c r="M34" i="24"/>
  <c r="M33" i="24"/>
  <c r="M32" i="24"/>
  <c r="M31" i="24"/>
  <c r="M30" i="24"/>
  <c r="M29" i="24"/>
  <c r="M28" i="24"/>
  <c r="M27" i="24"/>
  <c r="M26" i="24"/>
  <c r="M25" i="24"/>
  <c r="M24" i="24"/>
  <c r="M23" i="24"/>
  <c r="M22" i="24"/>
  <c r="M21" i="24"/>
  <c r="M20" i="24"/>
  <c r="M19" i="24"/>
  <c r="M18" i="24"/>
  <c r="M17" i="24"/>
  <c r="M16" i="24"/>
  <c r="M35" i="24" s="1"/>
  <c r="O35" i="24" s="1"/>
  <c r="E10" i="24"/>
  <c r="E9" i="24"/>
  <c r="E8" i="24"/>
  <c r="O2" i="24"/>
  <c r="BV33" i="17"/>
  <c r="BE33" i="17"/>
  <c r="Y33" i="17"/>
  <c r="C107" i="24" l="1"/>
  <c r="C109" i="24" s="1"/>
  <c r="C111" i="24" s="1"/>
  <c r="C82" i="24"/>
  <c r="J127" i="24"/>
  <c r="M127" i="24"/>
  <c r="K138" i="24"/>
  <c r="G82" i="24"/>
  <c r="G107" i="24"/>
  <c r="G109" i="24" s="1"/>
  <c r="G111" i="24" s="1"/>
  <c r="K107" i="24"/>
  <c r="K109" i="24" s="1"/>
  <c r="K82" i="24"/>
  <c r="J132" i="24"/>
  <c r="E77" i="24"/>
  <c r="E78" i="24" s="1"/>
  <c r="E80" i="24" s="1"/>
  <c r="E82" i="24" s="1"/>
  <c r="J125" i="24"/>
  <c r="M125" i="24"/>
  <c r="M130" i="24"/>
  <c r="M134" i="24" s="1"/>
  <c r="K27" i="1"/>
  <c r="I27" i="1"/>
  <c r="P4" i="3" s="1"/>
  <c r="K16" i="1"/>
  <c r="K17" i="1"/>
  <c r="K18" i="1"/>
  <c r="K19" i="1"/>
  <c r="K20" i="1"/>
  <c r="K21" i="1"/>
  <c r="K22" i="1"/>
  <c r="K23" i="1"/>
  <c r="J23" i="1" s="1"/>
  <c r="K24" i="1"/>
  <c r="K25" i="1"/>
  <c r="K26" i="1"/>
  <c r="K28" i="1"/>
  <c r="K29" i="1"/>
  <c r="K30" i="1"/>
  <c r="K31" i="1"/>
  <c r="K32" i="1"/>
  <c r="K33" i="1"/>
  <c r="K34" i="1"/>
  <c r="K41" i="1"/>
  <c r="K42" i="1"/>
  <c r="K43" i="1"/>
  <c r="K44" i="1"/>
  <c r="K45" i="1"/>
  <c r="K46" i="1"/>
  <c r="AE3" i="3" s="1"/>
  <c r="K47" i="1"/>
  <c r="K48" i="1"/>
  <c r="K49" i="1"/>
  <c r="K50" i="1"/>
  <c r="K51" i="1"/>
  <c r="K52" i="1"/>
  <c r="K53" i="1"/>
  <c r="K54" i="1"/>
  <c r="K55" i="1"/>
  <c r="K56" i="1"/>
  <c r="K57" i="1"/>
  <c r="K58" i="1"/>
  <c r="K59" i="1"/>
  <c r="K60" i="1"/>
  <c r="K61" i="1"/>
  <c r="K62" i="1"/>
  <c r="AU3" i="3" s="1"/>
  <c r="K63" i="1"/>
  <c r="K64" i="1"/>
  <c r="K65" i="1"/>
  <c r="K66" i="1"/>
  <c r="K67" i="1"/>
  <c r="K68" i="1"/>
  <c r="K69" i="1"/>
  <c r="K70" i="1"/>
  <c r="I3" i="1"/>
  <c r="G79" i="1" s="1"/>
  <c r="K88" i="1"/>
  <c r="K89" i="1"/>
  <c r="K90" i="1"/>
  <c r="K99" i="1" s="1"/>
  <c r="K93" i="1"/>
  <c r="K94" i="1"/>
  <c r="I126" i="1"/>
  <c r="I125" i="1"/>
  <c r="J125" i="1" s="1"/>
  <c r="I124" i="1"/>
  <c r="I89" i="1"/>
  <c r="I88" i="1"/>
  <c r="I17" i="1"/>
  <c r="I18" i="1"/>
  <c r="I19" i="1"/>
  <c r="J19" i="1" s="1"/>
  <c r="I20" i="1"/>
  <c r="I21" i="1"/>
  <c r="I22" i="1"/>
  <c r="I23" i="1"/>
  <c r="I24" i="1"/>
  <c r="I25" i="1"/>
  <c r="I26" i="1"/>
  <c r="I28" i="1"/>
  <c r="I29" i="1"/>
  <c r="I30" i="1"/>
  <c r="J30" i="1" s="1"/>
  <c r="I31" i="1"/>
  <c r="I32" i="1"/>
  <c r="I33" i="1"/>
  <c r="I34" i="1"/>
  <c r="I16" i="1"/>
  <c r="K132" i="1"/>
  <c r="K131" i="1"/>
  <c r="K130" i="1"/>
  <c r="J130" i="1" s="1"/>
  <c r="K125" i="1"/>
  <c r="K126" i="1"/>
  <c r="K124" i="1"/>
  <c r="G119" i="16"/>
  <c r="H119" i="16"/>
  <c r="I119" i="16"/>
  <c r="J119" i="16"/>
  <c r="K119" i="16"/>
  <c r="L119" i="16"/>
  <c r="M119" i="16"/>
  <c r="N119" i="16"/>
  <c r="O119" i="16"/>
  <c r="P119" i="16"/>
  <c r="Q119" i="16"/>
  <c r="R119" i="16"/>
  <c r="S119" i="16"/>
  <c r="T119" i="16"/>
  <c r="U119" i="16"/>
  <c r="V119" i="16"/>
  <c r="W119" i="16"/>
  <c r="X119" i="16"/>
  <c r="Y119" i="16"/>
  <c r="Z119" i="16"/>
  <c r="AA119" i="16"/>
  <c r="AB119" i="16"/>
  <c r="AC119" i="16"/>
  <c r="AD119" i="16"/>
  <c r="AE119" i="16"/>
  <c r="AF119" i="16"/>
  <c r="AG119" i="16"/>
  <c r="AH119" i="16"/>
  <c r="AI119" i="16"/>
  <c r="AJ119" i="16"/>
  <c r="AK119" i="16"/>
  <c r="AL119" i="16"/>
  <c r="AM119" i="16"/>
  <c r="AN119" i="16"/>
  <c r="AO119" i="16"/>
  <c r="AP119" i="16"/>
  <c r="AQ119" i="16"/>
  <c r="AR119" i="16"/>
  <c r="AS119" i="16"/>
  <c r="AT119" i="16"/>
  <c r="AU119" i="16"/>
  <c r="AV119" i="16"/>
  <c r="AW119" i="16"/>
  <c r="AX119" i="16"/>
  <c r="AY119" i="16"/>
  <c r="AZ119" i="16"/>
  <c r="BA119" i="16"/>
  <c r="BB119" i="16"/>
  <c r="BC119" i="16"/>
  <c r="BD119" i="16"/>
  <c r="BE119" i="16"/>
  <c r="BF119" i="16"/>
  <c r="BG119" i="16"/>
  <c r="BH119" i="16"/>
  <c r="BI119" i="16"/>
  <c r="BJ119" i="16"/>
  <c r="BK119" i="16"/>
  <c r="BL119" i="16"/>
  <c r="BM119" i="16"/>
  <c r="BN119" i="16"/>
  <c r="BO119" i="16"/>
  <c r="BP119" i="16"/>
  <c r="BQ119" i="16"/>
  <c r="BR119" i="16"/>
  <c r="BS119" i="16"/>
  <c r="BT119" i="16"/>
  <c r="BU119" i="16"/>
  <c r="BV119" i="16"/>
  <c r="BW119" i="16"/>
  <c r="BX119" i="16"/>
  <c r="BY119" i="16"/>
  <c r="BZ119" i="16"/>
  <c r="CA119" i="16"/>
  <c r="CB119" i="16"/>
  <c r="CC119" i="16"/>
  <c r="CD119" i="16"/>
  <c r="CE119" i="16"/>
  <c r="CF119" i="16"/>
  <c r="CG119" i="16"/>
  <c r="CH119" i="16"/>
  <c r="CI119" i="16"/>
  <c r="CJ119" i="16"/>
  <c r="F119" i="16"/>
  <c r="CJ68" i="17"/>
  <c r="E70" i="16"/>
  <c r="G70" i="16"/>
  <c r="H70" i="16"/>
  <c r="I70" i="16"/>
  <c r="J70" i="16"/>
  <c r="K70" i="16"/>
  <c r="L70" i="16"/>
  <c r="M70" i="16"/>
  <c r="N70" i="16"/>
  <c r="O70" i="16"/>
  <c r="P70" i="16"/>
  <c r="Q70" i="16"/>
  <c r="R70" i="16"/>
  <c r="S70" i="16"/>
  <c r="T70" i="16"/>
  <c r="U70" i="16"/>
  <c r="V70" i="16"/>
  <c r="W70" i="16"/>
  <c r="X70" i="16"/>
  <c r="Y70" i="16"/>
  <c r="Z70" i="16"/>
  <c r="AA70" i="16"/>
  <c r="AB70" i="16"/>
  <c r="AC70" i="16"/>
  <c r="AD70" i="16"/>
  <c r="AE70" i="16"/>
  <c r="AF70" i="16"/>
  <c r="AG70" i="16"/>
  <c r="AH70" i="16"/>
  <c r="AI70" i="16"/>
  <c r="AJ70" i="16"/>
  <c r="AK70" i="16"/>
  <c r="AL70" i="16"/>
  <c r="AM70" i="16"/>
  <c r="AN70" i="16"/>
  <c r="AO70" i="16"/>
  <c r="AP70" i="16"/>
  <c r="AQ70" i="16"/>
  <c r="AR70" i="16"/>
  <c r="AS70" i="16"/>
  <c r="AT70" i="16"/>
  <c r="AU70" i="16"/>
  <c r="AV70" i="16"/>
  <c r="AW70" i="16"/>
  <c r="AX70" i="16"/>
  <c r="AY70" i="16"/>
  <c r="AZ70" i="16"/>
  <c r="BA70" i="16"/>
  <c r="BB70" i="16"/>
  <c r="BC70" i="16"/>
  <c r="BD70" i="16"/>
  <c r="BE70" i="16"/>
  <c r="BF70" i="16"/>
  <c r="BG70" i="16"/>
  <c r="BH70" i="16"/>
  <c r="BI70" i="16"/>
  <c r="BJ70" i="16"/>
  <c r="BK70" i="16"/>
  <c r="BL70" i="16"/>
  <c r="BM70" i="16"/>
  <c r="BN70" i="16"/>
  <c r="BO70" i="16"/>
  <c r="BP70" i="16"/>
  <c r="BQ70" i="16"/>
  <c r="BR70" i="16"/>
  <c r="BS70" i="16"/>
  <c r="BT70" i="16"/>
  <c r="BU70" i="16"/>
  <c r="BV70" i="16"/>
  <c r="BW70" i="16"/>
  <c r="BX70" i="16"/>
  <c r="BY70" i="16"/>
  <c r="BZ70" i="16"/>
  <c r="CA70" i="16"/>
  <c r="CB70" i="16"/>
  <c r="CC70" i="16"/>
  <c r="CD70" i="16"/>
  <c r="CE70" i="16"/>
  <c r="CF70" i="16"/>
  <c r="CG70" i="16"/>
  <c r="CH70" i="16"/>
  <c r="CH68" i="17"/>
  <c r="CI70" i="16"/>
  <c r="CJ70" i="16"/>
  <c r="F70" i="16"/>
  <c r="K117" i="1"/>
  <c r="B117" i="1" s="1"/>
  <c r="K133" i="1"/>
  <c r="G133" i="1"/>
  <c r="CB6" i="3" s="1"/>
  <c r="I133" i="1"/>
  <c r="CB4" i="3" s="1"/>
  <c r="I131" i="1"/>
  <c r="I132" i="1"/>
  <c r="I130" i="1"/>
  <c r="G131" i="1"/>
  <c r="G132" i="1"/>
  <c r="G130" i="1"/>
  <c r="G125" i="1"/>
  <c r="G127" i="1" s="1"/>
  <c r="G126" i="1"/>
  <c r="G124" i="1"/>
  <c r="I94" i="1"/>
  <c r="I93" i="1"/>
  <c r="G93" i="1"/>
  <c r="G94" i="1"/>
  <c r="G89" i="1"/>
  <c r="BI6" i="3" s="1"/>
  <c r="G88" i="1"/>
  <c r="G59" i="1"/>
  <c r="AR6" i="3" s="1"/>
  <c r="I59" i="1"/>
  <c r="J59" i="1" s="1"/>
  <c r="G61" i="1"/>
  <c r="AT6" i="3" s="1"/>
  <c r="I61" i="1"/>
  <c r="G62" i="1"/>
  <c r="I62" i="1"/>
  <c r="G63" i="1"/>
  <c r="I63" i="1"/>
  <c r="AV4" i="3" s="1"/>
  <c r="G64" i="1"/>
  <c r="I64" i="1"/>
  <c r="J64" i="1" s="1"/>
  <c r="G65" i="1"/>
  <c r="AX6" i="3" s="1"/>
  <c r="I65" i="1"/>
  <c r="G66" i="1"/>
  <c r="I66" i="1"/>
  <c r="G67" i="1"/>
  <c r="I67" i="1"/>
  <c r="G68" i="1"/>
  <c r="BA6" i="3" s="1"/>
  <c r="I68" i="1"/>
  <c r="BA4" i="3" s="1"/>
  <c r="G69" i="1"/>
  <c r="BB6" i="3" s="1"/>
  <c r="I69" i="1"/>
  <c r="J69" i="1" s="1"/>
  <c r="G70" i="1"/>
  <c r="I70" i="1"/>
  <c r="I60" i="1"/>
  <c r="G60" i="1"/>
  <c r="G41" i="1"/>
  <c r="I41" i="1"/>
  <c r="J41" i="1" s="1"/>
  <c r="G42" i="1"/>
  <c r="AA6" i="3" s="1"/>
  <c r="I42" i="1"/>
  <c r="AA4" i="3" s="1"/>
  <c r="G43" i="1"/>
  <c r="AB6" i="3" s="1"/>
  <c r="I43" i="1"/>
  <c r="G44" i="1"/>
  <c r="I44" i="1"/>
  <c r="J44" i="1" s="1"/>
  <c r="G45" i="1"/>
  <c r="AD6" i="3" s="1"/>
  <c r="I45" i="1"/>
  <c r="J45" i="1" s="1"/>
  <c r="G46" i="1"/>
  <c r="AE6" i="3" s="1"/>
  <c r="I46" i="1"/>
  <c r="J46" i="1" s="1"/>
  <c r="G47" i="1"/>
  <c r="AF6" i="3" s="1"/>
  <c r="I47" i="1"/>
  <c r="G48" i="1"/>
  <c r="I48" i="1"/>
  <c r="J48" i="1" s="1"/>
  <c r="G49" i="1"/>
  <c r="AH6" i="3" s="1"/>
  <c r="I49" i="1"/>
  <c r="J49" i="1" s="1"/>
  <c r="G50" i="1"/>
  <c r="AI6" i="3" s="1"/>
  <c r="I50" i="1"/>
  <c r="J50" i="1" s="1"/>
  <c r="G51" i="1"/>
  <c r="AJ6" i="3" s="1"/>
  <c r="I51" i="1"/>
  <c r="G52" i="1"/>
  <c r="I52" i="1"/>
  <c r="AK4" i="3" s="1"/>
  <c r="G53" i="1"/>
  <c r="I53" i="1"/>
  <c r="J53" i="1" s="1"/>
  <c r="G54" i="1"/>
  <c r="AM6" i="3" s="1"/>
  <c r="I54" i="1"/>
  <c r="G55" i="1"/>
  <c r="AN6" i="3" s="1"/>
  <c r="I55" i="1"/>
  <c r="G56" i="1"/>
  <c r="AO6" i="3" s="1"/>
  <c r="I56" i="1"/>
  <c r="J56" i="1" s="1"/>
  <c r="G57" i="1"/>
  <c r="I57" i="1"/>
  <c r="J57" i="1" s="1"/>
  <c r="G58" i="1"/>
  <c r="AQ6" i="3" s="1"/>
  <c r="I58" i="1"/>
  <c r="AQ4" i="3" s="1"/>
  <c r="G17" i="1"/>
  <c r="D20" i="3" s="1"/>
  <c r="G18" i="1"/>
  <c r="G19" i="1"/>
  <c r="G20" i="1"/>
  <c r="I6" i="3" s="1"/>
  <c r="G22" i="1"/>
  <c r="K6" i="3" s="1"/>
  <c r="G23" i="1"/>
  <c r="L6" i="3" s="1"/>
  <c r="G24" i="1"/>
  <c r="G25" i="1"/>
  <c r="G26" i="1"/>
  <c r="O6" i="3" s="1"/>
  <c r="G27" i="1"/>
  <c r="G28" i="1"/>
  <c r="G29" i="1"/>
  <c r="R6" i="3" s="1"/>
  <c r="G30" i="1"/>
  <c r="S6" i="3" s="1"/>
  <c r="G31" i="1"/>
  <c r="T6" i="3" s="1"/>
  <c r="G32" i="1"/>
  <c r="U6" i="3" s="1"/>
  <c r="G33" i="1"/>
  <c r="V6" i="3" s="1"/>
  <c r="G34" i="1"/>
  <c r="W6" i="3" s="1"/>
  <c r="G16" i="1"/>
  <c r="CH4" i="17"/>
  <c r="CI4" i="17"/>
  <c r="CJ4" i="17"/>
  <c r="CH5" i="17"/>
  <c r="CI5" i="17"/>
  <c r="CJ5" i="17"/>
  <c r="CH6" i="17"/>
  <c r="CI6" i="17"/>
  <c r="CJ6" i="17"/>
  <c r="CH7" i="17"/>
  <c r="CI7" i="17"/>
  <c r="CJ7" i="17"/>
  <c r="CH8" i="17"/>
  <c r="CI8" i="17"/>
  <c r="CJ8" i="17"/>
  <c r="CH9" i="17"/>
  <c r="CI9" i="17"/>
  <c r="CJ9" i="17"/>
  <c r="CH10" i="17"/>
  <c r="CI10" i="17"/>
  <c r="CJ10" i="17"/>
  <c r="CH11" i="17"/>
  <c r="CI11" i="17"/>
  <c r="CJ11" i="17"/>
  <c r="CH12" i="17"/>
  <c r="CI12" i="17"/>
  <c r="CJ12" i="17"/>
  <c r="CH13" i="17"/>
  <c r="CI13" i="17"/>
  <c r="CJ13" i="17"/>
  <c r="CH14" i="17"/>
  <c r="CI14" i="17"/>
  <c r="CJ14" i="17"/>
  <c r="CH15" i="17"/>
  <c r="CI15" i="17"/>
  <c r="CJ15" i="17"/>
  <c r="CH16" i="17"/>
  <c r="CI16" i="17"/>
  <c r="CJ16" i="17"/>
  <c r="CH17" i="17"/>
  <c r="CI17" i="17"/>
  <c r="CJ17" i="17"/>
  <c r="CH18" i="17"/>
  <c r="CI18" i="17"/>
  <c r="CJ18" i="17"/>
  <c r="CH19" i="17"/>
  <c r="CI19" i="17"/>
  <c r="CJ19" i="17"/>
  <c r="CH20" i="17"/>
  <c r="CI20" i="17"/>
  <c r="CJ20" i="17"/>
  <c r="CH21" i="17"/>
  <c r="CI21" i="17"/>
  <c r="CJ21" i="17"/>
  <c r="CH22" i="17"/>
  <c r="CI22" i="17"/>
  <c r="CJ22" i="17"/>
  <c r="CH23" i="17"/>
  <c r="CI23" i="17"/>
  <c r="CJ23" i="17"/>
  <c r="CH24" i="17"/>
  <c r="CI24" i="17"/>
  <c r="CJ24" i="17"/>
  <c r="CH25" i="17"/>
  <c r="CI25" i="17"/>
  <c r="CJ25" i="17"/>
  <c r="CH26" i="17"/>
  <c r="CI26" i="17"/>
  <c r="CJ26" i="17"/>
  <c r="CH27" i="17"/>
  <c r="CI27" i="17"/>
  <c r="CJ27" i="17"/>
  <c r="CH28" i="17"/>
  <c r="CI28" i="17"/>
  <c r="CJ28" i="17"/>
  <c r="CH29" i="17"/>
  <c r="CI29" i="17"/>
  <c r="CJ29" i="17"/>
  <c r="CH30" i="17"/>
  <c r="CI30" i="17"/>
  <c r="CJ30" i="17"/>
  <c r="CH31" i="17"/>
  <c r="CI31" i="17"/>
  <c r="CJ31" i="17"/>
  <c r="CH32" i="17"/>
  <c r="CI32" i="17"/>
  <c r="CJ32" i="17"/>
  <c r="CH33" i="17"/>
  <c r="CI33" i="17"/>
  <c r="CJ33" i="17"/>
  <c r="CH34" i="17"/>
  <c r="CI34" i="17"/>
  <c r="CJ34" i="17"/>
  <c r="CH35" i="17"/>
  <c r="CI35" i="17"/>
  <c r="CJ35" i="17"/>
  <c r="CH36" i="17"/>
  <c r="CI36" i="17"/>
  <c r="CJ36" i="17"/>
  <c r="CH37" i="17"/>
  <c r="CI37" i="17"/>
  <c r="CJ37" i="17"/>
  <c r="CH38" i="17"/>
  <c r="CI38" i="17"/>
  <c r="CJ38" i="17"/>
  <c r="CH39" i="17"/>
  <c r="CI39" i="17"/>
  <c r="CJ39" i="17"/>
  <c r="CH40" i="17"/>
  <c r="CI40" i="17"/>
  <c r="CJ40" i="17"/>
  <c r="CH41" i="17"/>
  <c r="CI41" i="17"/>
  <c r="CJ41" i="17"/>
  <c r="CH42" i="17"/>
  <c r="CI42" i="17"/>
  <c r="CJ42" i="17"/>
  <c r="CH43" i="17"/>
  <c r="CI43" i="17"/>
  <c r="CJ43" i="17"/>
  <c r="CH44" i="17"/>
  <c r="CI44" i="17"/>
  <c r="CJ44" i="17"/>
  <c r="CH45" i="17"/>
  <c r="CI45" i="17"/>
  <c r="CJ45" i="17"/>
  <c r="CH46" i="17"/>
  <c r="CI46" i="17"/>
  <c r="CJ46" i="17"/>
  <c r="CH47" i="17"/>
  <c r="CI47" i="17"/>
  <c r="CJ47" i="17"/>
  <c r="CH48" i="17"/>
  <c r="CI48" i="17"/>
  <c r="CJ48" i="17"/>
  <c r="CH49" i="17"/>
  <c r="CI49" i="17"/>
  <c r="CJ49" i="17"/>
  <c r="CH50" i="17"/>
  <c r="CI50" i="17"/>
  <c r="CJ50" i="17"/>
  <c r="CH51" i="17"/>
  <c r="CI51" i="17"/>
  <c r="CJ51" i="17"/>
  <c r="CH52" i="17"/>
  <c r="CI52" i="17"/>
  <c r="CJ52" i="17"/>
  <c r="CH53" i="17"/>
  <c r="CI53" i="17"/>
  <c r="CJ53" i="17"/>
  <c r="CH54" i="17"/>
  <c r="CI54" i="17"/>
  <c r="CJ54" i="17"/>
  <c r="CH55" i="17"/>
  <c r="CI55" i="17"/>
  <c r="CJ55" i="17"/>
  <c r="CH56" i="17"/>
  <c r="CI56" i="17"/>
  <c r="CJ56" i="17"/>
  <c r="CH57" i="17"/>
  <c r="CI57" i="17"/>
  <c r="CJ57" i="17"/>
  <c r="CH58" i="17"/>
  <c r="CI58" i="17"/>
  <c r="CJ58" i="17"/>
  <c r="CH59" i="17"/>
  <c r="CI59" i="17"/>
  <c r="CJ59" i="17"/>
  <c r="CH60" i="17"/>
  <c r="CI60" i="17"/>
  <c r="CJ60" i="17"/>
  <c r="CH61" i="17"/>
  <c r="CI61" i="17"/>
  <c r="CJ61" i="17"/>
  <c r="CH62" i="17"/>
  <c r="CI62" i="17"/>
  <c r="CJ62" i="17"/>
  <c r="CH63" i="17"/>
  <c r="CI63" i="17"/>
  <c r="CJ63" i="17"/>
  <c r="CH64" i="17"/>
  <c r="CI64" i="17"/>
  <c r="CJ64" i="17"/>
  <c r="CH65" i="17"/>
  <c r="CI65" i="17"/>
  <c r="CJ65" i="17"/>
  <c r="CH66" i="17"/>
  <c r="CI66" i="17"/>
  <c r="CJ66" i="17"/>
  <c r="CH67" i="17"/>
  <c r="CI67" i="17"/>
  <c r="CJ67" i="17"/>
  <c r="CI68" i="17"/>
  <c r="CH69" i="17"/>
  <c r="CI69" i="17"/>
  <c r="CJ69" i="17"/>
  <c r="CH70" i="17"/>
  <c r="CI70" i="17"/>
  <c r="CJ70" i="17"/>
  <c r="CH71" i="17"/>
  <c r="CI71" i="17"/>
  <c r="CJ71" i="17"/>
  <c r="CH72" i="17"/>
  <c r="CI72" i="17"/>
  <c r="CJ72" i="17"/>
  <c r="CH73" i="17"/>
  <c r="CI73" i="17"/>
  <c r="CJ73" i="17"/>
  <c r="CH74" i="17"/>
  <c r="CI74" i="17"/>
  <c r="CJ74" i="17"/>
  <c r="CH75" i="17"/>
  <c r="CI75" i="17"/>
  <c r="CJ75" i="17"/>
  <c r="CH76" i="17"/>
  <c r="CI76" i="17"/>
  <c r="CJ76" i="17"/>
  <c r="CH77" i="17"/>
  <c r="CI77" i="17"/>
  <c r="CJ77" i="17"/>
  <c r="CH78" i="17"/>
  <c r="CI78" i="17"/>
  <c r="CJ78" i="17"/>
  <c r="CH79" i="17"/>
  <c r="CI79" i="17"/>
  <c r="CJ79" i="17"/>
  <c r="CH80" i="17"/>
  <c r="CI80" i="17"/>
  <c r="CJ80" i="17"/>
  <c r="CH81" i="17"/>
  <c r="CI81" i="17"/>
  <c r="CJ81" i="17"/>
  <c r="CH82" i="17"/>
  <c r="CI82" i="17"/>
  <c r="CJ82" i="17"/>
  <c r="CH83" i="17"/>
  <c r="CI83" i="17"/>
  <c r="CJ83" i="17"/>
  <c r="CH84" i="17"/>
  <c r="CI84" i="17"/>
  <c r="CJ84" i="17"/>
  <c r="CH85" i="17"/>
  <c r="CI85" i="17"/>
  <c r="CJ85" i="17"/>
  <c r="CH86" i="17"/>
  <c r="CI86" i="17"/>
  <c r="CJ86" i="17"/>
  <c r="CH87" i="17"/>
  <c r="CI87" i="17"/>
  <c r="CJ87" i="17"/>
  <c r="CH88" i="17"/>
  <c r="CI88" i="17"/>
  <c r="CJ88" i="17"/>
  <c r="CH89" i="17"/>
  <c r="CI89" i="17"/>
  <c r="CJ89" i="17"/>
  <c r="CH90" i="17"/>
  <c r="CI90" i="17"/>
  <c r="CJ90" i="17"/>
  <c r="CH91" i="17"/>
  <c r="CI91" i="17"/>
  <c r="CJ91" i="17"/>
  <c r="CH92" i="17"/>
  <c r="CI92" i="17"/>
  <c r="CJ92" i="17"/>
  <c r="CH93" i="17"/>
  <c r="CI93" i="17"/>
  <c r="CJ93" i="17"/>
  <c r="CH94" i="17"/>
  <c r="CI94" i="17"/>
  <c r="CJ94" i="17"/>
  <c r="CH95" i="17"/>
  <c r="CI95" i="17"/>
  <c r="CJ95" i="17"/>
  <c r="CH96" i="17"/>
  <c r="CI96" i="17"/>
  <c r="CJ96" i="17"/>
  <c r="CH97" i="17"/>
  <c r="CI97" i="17"/>
  <c r="CJ97" i="17"/>
  <c r="CH98" i="17"/>
  <c r="CI98" i="17"/>
  <c r="CJ98" i="17"/>
  <c r="CH99" i="17"/>
  <c r="CI99" i="17"/>
  <c r="CJ99" i="17"/>
  <c r="CH100" i="17"/>
  <c r="CI100" i="17"/>
  <c r="CJ100" i="17"/>
  <c r="CH101" i="17"/>
  <c r="CI101" i="17"/>
  <c r="CJ101" i="17"/>
  <c r="CH102" i="17"/>
  <c r="CI102" i="17"/>
  <c r="CJ102" i="17"/>
  <c r="CH103" i="17"/>
  <c r="CI103" i="17"/>
  <c r="CJ103" i="17"/>
  <c r="CH104" i="17"/>
  <c r="CI104" i="17"/>
  <c r="CJ104" i="17"/>
  <c r="CH105" i="17"/>
  <c r="CI105" i="17"/>
  <c r="CJ105" i="17"/>
  <c r="CH106" i="17"/>
  <c r="CI106" i="17"/>
  <c r="CJ106" i="17"/>
  <c r="CH107" i="17"/>
  <c r="CI107" i="17"/>
  <c r="CJ107" i="17"/>
  <c r="CH108" i="17"/>
  <c r="CI108" i="17"/>
  <c r="CJ108" i="17"/>
  <c r="CH109" i="17"/>
  <c r="CI109" i="17"/>
  <c r="CJ109" i="17"/>
  <c r="CH110" i="17"/>
  <c r="CI110" i="17"/>
  <c r="CJ110" i="17"/>
  <c r="CH111" i="17"/>
  <c r="CI111" i="17"/>
  <c r="CJ111" i="17"/>
  <c r="CH112" i="17"/>
  <c r="CI112" i="17"/>
  <c r="CJ112" i="17"/>
  <c r="CH113" i="17"/>
  <c r="CI113" i="17"/>
  <c r="CJ113" i="17"/>
  <c r="CH114" i="17"/>
  <c r="CI114" i="17"/>
  <c r="CJ114" i="17"/>
  <c r="CH115" i="17"/>
  <c r="CI115" i="17"/>
  <c r="CJ115" i="17"/>
  <c r="CH116" i="17"/>
  <c r="CI116" i="17"/>
  <c r="CJ116" i="17"/>
  <c r="CH117" i="17"/>
  <c r="CI117" i="17"/>
  <c r="CJ117" i="17"/>
  <c r="CH118" i="17"/>
  <c r="CI118" i="17"/>
  <c r="CJ118" i="17"/>
  <c r="CH119" i="17"/>
  <c r="CI119" i="17"/>
  <c r="CJ119" i="17"/>
  <c r="CH120" i="17"/>
  <c r="CI120" i="17"/>
  <c r="CJ120" i="17"/>
  <c r="CH121" i="17"/>
  <c r="CI121" i="17"/>
  <c r="CJ121" i="17"/>
  <c r="CH122" i="17"/>
  <c r="CI122" i="17"/>
  <c r="CJ122" i="17"/>
  <c r="CH123" i="17"/>
  <c r="CI123" i="17"/>
  <c r="CJ123" i="17"/>
  <c r="CH124" i="17"/>
  <c r="CI124" i="17"/>
  <c r="CJ124" i="17"/>
  <c r="CJ3" i="17"/>
  <c r="CI3" i="17"/>
  <c r="CH3" i="17"/>
  <c r="J133" i="1"/>
  <c r="J126" i="1"/>
  <c r="J132" i="1"/>
  <c r="J131" i="1"/>
  <c r="J124" i="1"/>
  <c r="J94" i="1"/>
  <c r="J93" i="1"/>
  <c r="J89" i="1"/>
  <c r="J88" i="1"/>
  <c r="K134" i="1"/>
  <c r="G72" i="2" s="1"/>
  <c r="J52" i="1"/>
  <c r="J60" i="1"/>
  <c r="J61" i="1"/>
  <c r="J65" i="1"/>
  <c r="J66" i="1"/>
  <c r="J34" i="1"/>
  <c r="J16" i="1"/>
  <c r="J20" i="1"/>
  <c r="J17" i="1"/>
  <c r="J21" i="1"/>
  <c r="J22" i="1"/>
  <c r="J25" i="1"/>
  <c r="J29" i="1"/>
  <c r="J33" i="1"/>
  <c r="B4" i="1"/>
  <c r="C3" i="3" s="1"/>
  <c r="J63" i="1"/>
  <c r="J70" i="1"/>
  <c r="J62" i="1"/>
  <c r="J28" i="1"/>
  <c r="J26" i="1"/>
  <c r="J18" i="1"/>
  <c r="J40" i="1"/>
  <c r="J68" i="1"/>
  <c r="J51" i="1"/>
  <c r="J43" i="1"/>
  <c r="J24" i="1"/>
  <c r="J31" i="1"/>
  <c r="J67" i="1"/>
  <c r="J55" i="1"/>
  <c r="J47" i="1"/>
  <c r="J32" i="1"/>
  <c r="J54" i="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3" i="19"/>
  <c r="E6" i="12"/>
  <c r="F6" i="12"/>
  <c r="E7" i="12"/>
  <c r="F7" i="12"/>
  <c r="E8" i="12"/>
  <c r="F8" i="12"/>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F5" i="12"/>
  <c r="E5" i="12"/>
  <c r="E5" i="16"/>
  <c r="E194" i="1"/>
  <c r="E6" i="16"/>
  <c r="E195" i="1"/>
  <c r="E7" i="16"/>
  <c r="E196" i="1"/>
  <c r="E8" i="16"/>
  <c r="E197" i="1"/>
  <c r="E9" i="16"/>
  <c r="E198" i="1"/>
  <c r="E10" i="16"/>
  <c r="E199" i="1"/>
  <c r="E11" i="16"/>
  <c r="E200" i="1"/>
  <c r="E12" i="16"/>
  <c r="E201" i="1"/>
  <c r="E13" i="16"/>
  <c r="E202" i="1"/>
  <c r="E14" i="16"/>
  <c r="E203" i="1"/>
  <c r="E15" i="16"/>
  <c r="E204" i="1"/>
  <c r="E16" i="16"/>
  <c r="E205" i="1"/>
  <c r="E17" i="16"/>
  <c r="E206" i="1"/>
  <c r="E18" i="16"/>
  <c r="E207" i="1"/>
  <c r="E19" i="16"/>
  <c r="E208" i="1"/>
  <c r="E20" i="16"/>
  <c r="E209" i="1"/>
  <c r="E21" i="16"/>
  <c r="E210" i="1"/>
  <c r="E22" i="16"/>
  <c r="E211" i="1"/>
  <c r="E23" i="16"/>
  <c r="E212" i="1"/>
  <c r="E24" i="16"/>
  <c r="E213" i="1"/>
  <c r="E25" i="16"/>
  <c r="E214" i="1"/>
  <c r="E26" i="16"/>
  <c r="E215" i="1"/>
  <c r="E27" i="16"/>
  <c r="E216" i="1"/>
  <c r="E28" i="16"/>
  <c r="E217" i="1"/>
  <c r="E29" i="16"/>
  <c r="E218" i="1"/>
  <c r="E30" i="16"/>
  <c r="E219" i="1"/>
  <c r="E31" i="16"/>
  <c r="E220" i="1"/>
  <c r="E32" i="16"/>
  <c r="E221" i="1"/>
  <c r="E33" i="16"/>
  <c r="E222" i="1"/>
  <c r="E34" i="16"/>
  <c r="E223" i="1"/>
  <c r="E35" i="16"/>
  <c r="E224" i="1"/>
  <c r="E36" i="16"/>
  <c r="E225" i="1"/>
  <c r="E37" i="16"/>
  <c r="E226" i="1"/>
  <c r="E38" i="16"/>
  <c r="E227" i="1"/>
  <c r="E39" i="16"/>
  <c r="E228" i="1"/>
  <c r="E40" i="16"/>
  <c r="E229" i="1"/>
  <c r="E41" i="16"/>
  <c r="E230" i="1"/>
  <c r="E42" i="16"/>
  <c r="E231" i="1"/>
  <c r="E43" i="16"/>
  <c r="E232" i="1"/>
  <c r="E44" i="16"/>
  <c r="E233" i="1"/>
  <c r="E45" i="16"/>
  <c r="E234" i="1"/>
  <c r="E46" i="16"/>
  <c r="E235" i="1"/>
  <c r="E47" i="16"/>
  <c r="E236" i="1"/>
  <c r="E48" i="16"/>
  <c r="E237" i="1"/>
  <c r="E49" i="16"/>
  <c r="E238" i="1"/>
  <c r="E50" i="16"/>
  <c r="E239" i="1"/>
  <c r="E51" i="16"/>
  <c r="E240" i="1"/>
  <c r="E52" i="16"/>
  <c r="E241" i="1"/>
  <c r="E53" i="16"/>
  <c r="E242" i="1"/>
  <c r="E54" i="16"/>
  <c r="E243" i="1"/>
  <c r="E55" i="16"/>
  <c r="E244" i="1"/>
  <c r="E56" i="16"/>
  <c r="E245" i="1"/>
  <c r="E57" i="16"/>
  <c r="E246" i="1"/>
  <c r="E58" i="16"/>
  <c r="E247" i="1"/>
  <c r="E59" i="16"/>
  <c r="E248" i="1"/>
  <c r="E60" i="16"/>
  <c r="E249" i="1"/>
  <c r="E61" i="16"/>
  <c r="E250" i="1"/>
  <c r="E62" i="16"/>
  <c r="E251" i="1"/>
  <c r="E63" i="16"/>
  <c r="E252" i="1"/>
  <c r="E64" i="16"/>
  <c r="E253" i="1"/>
  <c r="E65" i="16"/>
  <c r="E254" i="1"/>
  <c r="E66" i="16"/>
  <c r="E255" i="1"/>
  <c r="E67" i="16"/>
  <c r="E256" i="1"/>
  <c r="E68" i="16"/>
  <c r="E257" i="1"/>
  <c r="E69" i="16"/>
  <c r="E258" i="1"/>
  <c r="E71" i="16"/>
  <c r="E259" i="1"/>
  <c r="E72" i="16"/>
  <c r="E260" i="1"/>
  <c r="E73" i="16"/>
  <c r="E261" i="1"/>
  <c r="E74" i="16"/>
  <c r="E262" i="1"/>
  <c r="E75" i="16"/>
  <c r="E263" i="1"/>
  <c r="E76" i="16"/>
  <c r="E264" i="1"/>
  <c r="E77" i="16"/>
  <c r="E265" i="1"/>
  <c r="E78" i="16"/>
  <c r="E266" i="1"/>
  <c r="E79" i="16"/>
  <c r="E267" i="1"/>
  <c r="E80" i="16"/>
  <c r="E268" i="1"/>
  <c r="E81" i="16"/>
  <c r="E269" i="1"/>
  <c r="E82" i="16"/>
  <c r="E270" i="1"/>
  <c r="E83" i="16"/>
  <c r="E271" i="1"/>
  <c r="E84" i="16"/>
  <c r="E272" i="1"/>
  <c r="E85" i="16"/>
  <c r="E273" i="1"/>
  <c r="E86" i="16"/>
  <c r="E274" i="1"/>
  <c r="E87" i="16"/>
  <c r="E275" i="1"/>
  <c r="E88" i="16"/>
  <c r="E276" i="1"/>
  <c r="E89" i="16"/>
  <c r="E277" i="1"/>
  <c r="E90" i="16"/>
  <c r="E278" i="1"/>
  <c r="E91" i="16"/>
  <c r="E279" i="1"/>
  <c r="E92" i="16"/>
  <c r="E280" i="1"/>
  <c r="E93" i="16"/>
  <c r="E281" i="1"/>
  <c r="E94" i="16"/>
  <c r="E282" i="1"/>
  <c r="E95" i="16"/>
  <c r="E283" i="1"/>
  <c r="E96" i="16"/>
  <c r="E284" i="1"/>
  <c r="E97" i="16"/>
  <c r="E285" i="1"/>
  <c r="E98" i="16"/>
  <c r="E286" i="1"/>
  <c r="E99" i="16"/>
  <c r="E287" i="1"/>
  <c r="E100" i="16"/>
  <c r="E288" i="1"/>
  <c r="E101" i="16"/>
  <c r="E289" i="1"/>
  <c r="E102" i="16"/>
  <c r="E290" i="1"/>
  <c r="E103" i="16"/>
  <c r="E291" i="1"/>
  <c r="E104" i="16"/>
  <c r="E292" i="1"/>
  <c r="E105" i="16"/>
  <c r="E293" i="1"/>
  <c r="E106" i="16"/>
  <c r="E294" i="1"/>
  <c r="E107" i="16"/>
  <c r="E295" i="1"/>
  <c r="E108" i="16"/>
  <c r="E296" i="1"/>
  <c r="E109" i="16"/>
  <c r="E297" i="1"/>
  <c r="E110" i="16"/>
  <c r="E298" i="1"/>
  <c r="E111" i="16"/>
  <c r="E299" i="1"/>
  <c r="E112" i="16"/>
  <c r="E300" i="1"/>
  <c r="E113" i="16"/>
  <c r="E301" i="1"/>
  <c r="E114" i="16"/>
  <c r="E302" i="1"/>
  <c r="E115" i="16"/>
  <c r="E303" i="1"/>
  <c r="E116" i="16"/>
  <c r="E304" i="1"/>
  <c r="E117" i="16"/>
  <c r="E305" i="1"/>
  <c r="E118" i="16"/>
  <c r="E306" i="1"/>
  <c r="E120" i="16"/>
  <c r="E307" i="1"/>
  <c r="E121" i="16"/>
  <c r="E308" i="1"/>
  <c r="E122" i="16"/>
  <c r="E309" i="1"/>
  <c r="E123" i="16"/>
  <c r="E310" i="1"/>
  <c r="E124" i="16"/>
  <c r="E311" i="1"/>
  <c r="E125" i="16"/>
  <c r="E312" i="1"/>
  <c r="E126" i="16"/>
  <c r="E313" i="1"/>
  <c r="E127" i="16"/>
  <c r="E314" i="1"/>
  <c r="E4" i="16"/>
  <c r="E193" i="1"/>
  <c r="I4" i="1"/>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G65" i="12"/>
  <c r="G66" i="12"/>
  <c r="G67" i="12"/>
  <c r="G68" i="12"/>
  <c r="G74" i="12"/>
  <c r="G76" i="12"/>
  <c r="G80" i="12"/>
  <c r="G82" i="12"/>
  <c r="G84" i="12"/>
  <c r="G88" i="12"/>
  <c r="G90" i="12"/>
  <c r="G92" i="12"/>
  <c r="G96" i="12"/>
  <c r="G98" i="12"/>
  <c r="G100" i="12"/>
  <c r="G104" i="12"/>
  <c r="G106" i="12"/>
  <c r="G108" i="12"/>
  <c r="G112" i="12"/>
  <c r="G116" i="12"/>
  <c r="G120" i="12"/>
  <c r="G122" i="12"/>
  <c r="G12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5" i="12"/>
  <c r="G5" i="12"/>
  <c r="G123" i="12"/>
  <c r="G119" i="12"/>
  <c r="G115" i="12"/>
  <c r="G111" i="12"/>
  <c r="G107" i="12"/>
  <c r="G103" i="12"/>
  <c r="G99" i="12"/>
  <c r="G95" i="12"/>
  <c r="G91" i="12"/>
  <c r="G87" i="12"/>
  <c r="G83" i="12"/>
  <c r="G79" i="12"/>
  <c r="G75" i="12"/>
  <c r="G125" i="12"/>
  <c r="G121" i="12"/>
  <c r="G117" i="12"/>
  <c r="G113" i="12"/>
  <c r="G109" i="12"/>
  <c r="G105" i="12"/>
  <c r="G101" i="12"/>
  <c r="G97" i="12"/>
  <c r="G93" i="12"/>
  <c r="G89" i="12"/>
  <c r="G85" i="12"/>
  <c r="G81" i="12"/>
  <c r="G77" i="12"/>
  <c r="G73" i="12"/>
  <c r="G69" i="12"/>
  <c r="G72" i="12"/>
  <c r="G114" i="12"/>
  <c r="G71" i="12"/>
  <c r="G126" i="12"/>
  <c r="G118" i="12"/>
  <c r="G110" i="12"/>
  <c r="G102" i="12"/>
  <c r="G94" i="12"/>
  <c r="G86" i="12"/>
  <c r="G78" i="12"/>
  <c r="G70" i="12"/>
  <c r="AZ3" i="3"/>
  <c r="V4" i="3"/>
  <c r="V3" i="3"/>
  <c r="U4" i="3"/>
  <c r="U3" i="3"/>
  <c r="T4" i="3"/>
  <c r="T3" i="3"/>
  <c r="L4" i="3"/>
  <c r="AZ6" i="3"/>
  <c r="D8" i="8"/>
  <c r="C66" i="1"/>
  <c r="C126" i="1"/>
  <c r="AF4" i="3"/>
  <c r="F37" i="13"/>
  <c r="K127" i="1"/>
  <c r="G71" i="2" s="1"/>
  <c r="BX3" i="3"/>
  <c r="G64" i="12"/>
  <c r="J64" i="12"/>
  <c r="G63" i="12"/>
  <c r="J63" i="12"/>
  <c r="G62" i="12"/>
  <c r="J62" i="12"/>
  <c r="G61" i="12"/>
  <c r="J61" i="12"/>
  <c r="G60" i="12"/>
  <c r="J60" i="12"/>
  <c r="G59" i="12"/>
  <c r="J59" i="12"/>
  <c r="G58" i="12"/>
  <c r="J58" i="12"/>
  <c r="G57" i="12"/>
  <c r="J57" i="12"/>
  <c r="G56" i="12"/>
  <c r="J56" i="12"/>
  <c r="G55" i="12"/>
  <c r="J55" i="12"/>
  <c r="G54" i="12"/>
  <c r="J54" i="12"/>
  <c r="G53" i="12"/>
  <c r="J53" i="12"/>
  <c r="G52" i="12"/>
  <c r="J52" i="12"/>
  <c r="G51" i="12"/>
  <c r="J51" i="12"/>
  <c r="G50" i="12"/>
  <c r="J50" i="12"/>
  <c r="G49" i="12"/>
  <c r="J49" i="12"/>
  <c r="G48" i="12"/>
  <c r="J48" i="12"/>
  <c r="G47" i="12"/>
  <c r="J47" i="12"/>
  <c r="G46" i="12"/>
  <c r="J46" i="12"/>
  <c r="G45" i="12"/>
  <c r="J45" i="12"/>
  <c r="G44" i="12"/>
  <c r="J44" i="12"/>
  <c r="G43" i="12"/>
  <c r="J43" i="12"/>
  <c r="G42" i="12"/>
  <c r="J42" i="12"/>
  <c r="G41" i="12"/>
  <c r="J41" i="12"/>
  <c r="G40" i="12"/>
  <c r="J40" i="12"/>
  <c r="G39" i="12"/>
  <c r="J39" i="12"/>
  <c r="G38" i="12"/>
  <c r="J38" i="12"/>
  <c r="G37" i="12"/>
  <c r="J37" i="12"/>
  <c r="G36" i="12"/>
  <c r="J36" i="12"/>
  <c r="G35" i="12"/>
  <c r="J35" i="12"/>
  <c r="G34" i="12"/>
  <c r="J34" i="12"/>
  <c r="G33" i="12"/>
  <c r="J33" i="12"/>
  <c r="G32" i="12"/>
  <c r="J32" i="12"/>
  <c r="G31" i="12"/>
  <c r="J31" i="12"/>
  <c r="G30" i="12"/>
  <c r="J30" i="12"/>
  <c r="G29" i="12"/>
  <c r="J29" i="12"/>
  <c r="G28" i="12"/>
  <c r="J28" i="12"/>
  <c r="G27" i="12"/>
  <c r="J27" i="12"/>
  <c r="G26" i="12"/>
  <c r="J26" i="12"/>
  <c r="G25" i="12"/>
  <c r="J25" i="12"/>
  <c r="G24" i="12"/>
  <c r="J24" i="12"/>
  <c r="G23" i="12"/>
  <c r="J23" i="12"/>
  <c r="G22" i="12"/>
  <c r="J22" i="12"/>
  <c r="G21" i="12"/>
  <c r="J21" i="12"/>
  <c r="G20" i="12"/>
  <c r="J20" i="12"/>
  <c r="G19" i="12"/>
  <c r="J19" i="12"/>
  <c r="G18" i="12"/>
  <c r="J18" i="12"/>
  <c r="G17" i="12"/>
  <c r="J17" i="12"/>
  <c r="G16" i="12"/>
  <c r="J16" i="12"/>
  <c r="G15" i="12"/>
  <c r="J15" i="12"/>
  <c r="G14" i="12"/>
  <c r="J14" i="12"/>
  <c r="G13" i="12"/>
  <c r="J13" i="12"/>
  <c r="G12" i="12"/>
  <c r="J12" i="12"/>
  <c r="G11" i="12"/>
  <c r="J11" i="12"/>
  <c r="G10" i="12"/>
  <c r="J10" i="12"/>
  <c r="G9" i="12"/>
  <c r="J9" i="12"/>
  <c r="G8" i="12"/>
  <c r="J8" i="12"/>
  <c r="G7" i="12"/>
  <c r="J7" i="12"/>
  <c r="G6" i="12"/>
  <c r="J6" i="12"/>
  <c r="J5" i="12"/>
  <c r="DY3" i="3"/>
  <c r="DU3" i="3"/>
  <c r="DQ3" i="3"/>
  <c r="DM3" i="3"/>
  <c r="DI3" i="3"/>
  <c r="DE3" i="3"/>
  <c r="DA3" i="3"/>
  <c r="J1" i="14"/>
  <c r="CP3" i="3"/>
  <c r="CL3" i="3"/>
  <c r="E38" i="14"/>
  <c r="HW3" i="3"/>
  <c r="G36" i="13"/>
  <c r="HV3" i="3"/>
  <c r="HU3" i="3"/>
  <c r="HT3" i="3"/>
  <c r="HS3" i="3"/>
  <c r="HR3" i="3"/>
  <c r="HQ3" i="3"/>
  <c r="G35" i="13"/>
  <c r="HP3" i="3"/>
  <c r="HO3" i="3"/>
  <c r="HN3" i="3"/>
  <c r="HM3" i="3"/>
  <c r="HL3" i="3"/>
  <c r="HK3" i="3"/>
  <c r="G34" i="13"/>
  <c r="HJ3" i="3"/>
  <c r="HI3" i="3"/>
  <c r="HH3" i="3"/>
  <c r="HG3" i="3"/>
  <c r="HF3" i="3"/>
  <c r="HE3" i="3"/>
  <c r="G33" i="13"/>
  <c r="HD3" i="3"/>
  <c r="HC3" i="3"/>
  <c r="HB3" i="3"/>
  <c r="HA3" i="3"/>
  <c r="GZ3" i="3"/>
  <c r="GY3" i="3"/>
  <c r="G32" i="13"/>
  <c r="GX3" i="3"/>
  <c r="GW3" i="3"/>
  <c r="GV3" i="3"/>
  <c r="GU3" i="3"/>
  <c r="GT3" i="3"/>
  <c r="GS3" i="3"/>
  <c r="G31" i="13"/>
  <c r="GR3" i="3"/>
  <c r="GQ3" i="3"/>
  <c r="GP3" i="3"/>
  <c r="GO3" i="3"/>
  <c r="GN3" i="3"/>
  <c r="GM3" i="3"/>
  <c r="G30" i="13"/>
  <c r="GL3" i="3"/>
  <c r="GK3" i="3"/>
  <c r="GJ3" i="3"/>
  <c r="GI3" i="3"/>
  <c r="GH3" i="3"/>
  <c r="GG3" i="3"/>
  <c r="G29" i="13"/>
  <c r="GF3" i="3"/>
  <c r="GE3" i="3"/>
  <c r="GD3" i="3"/>
  <c r="GC3" i="3"/>
  <c r="GB3" i="3"/>
  <c r="GA3" i="3"/>
  <c r="G28" i="13"/>
  <c r="FZ3" i="3"/>
  <c r="FY3" i="3"/>
  <c r="FX3" i="3"/>
  <c r="FW3" i="3"/>
  <c r="FV3" i="3"/>
  <c r="FU3" i="3"/>
  <c r="G27" i="13"/>
  <c r="FT3" i="3"/>
  <c r="FS3" i="3"/>
  <c r="FR3" i="3"/>
  <c r="FQ3" i="3"/>
  <c r="FP3" i="3"/>
  <c r="FO3" i="3"/>
  <c r="G26" i="13"/>
  <c r="FN3" i="3"/>
  <c r="FM3" i="3"/>
  <c r="FL3" i="3"/>
  <c r="FK3" i="3"/>
  <c r="FJ3" i="3"/>
  <c r="FI3" i="3"/>
  <c r="G25" i="13"/>
  <c r="FH3" i="3"/>
  <c r="FG3" i="3"/>
  <c r="FF3" i="3"/>
  <c r="FE3" i="3"/>
  <c r="FD3" i="3"/>
  <c r="FC3" i="3"/>
  <c r="G24" i="13"/>
  <c r="FB3" i="3"/>
  <c r="FA3" i="3"/>
  <c r="EZ3" i="3"/>
  <c r="EY3" i="3"/>
  <c r="EX3" i="3"/>
  <c r="EW3" i="3"/>
  <c r="G23" i="13"/>
  <c r="EV3" i="3"/>
  <c r="EU3" i="3"/>
  <c r="ET3" i="3"/>
  <c r="ES3" i="3"/>
  <c r="ER3" i="3"/>
  <c r="EQ3" i="3"/>
  <c r="G22" i="13"/>
  <c r="EP3" i="3"/>
  <c r="EO3" i="3"/>
  <c r="EN3" i="3"/>
  <c r="EM3" i="3"/>
  <c r="EL3" i="3"/>
  <c r="E37" i="13"/>
  <c r="DX3" i="3"/>
  <c r="DW3" i="3"/>
  <c r="DV3" i="3"/>
  <c r="DT3" i="3"/>
  <c r="DS3" i="3"/>
  <c r="DR3" i="3"/>
  <c r="A1" i="13"/>
  <c r="A1" i="14" s="1"/>
  <c r="G95" i="1"/>
  <c r="G100" i="1"/>
  <c r="B6" i="2"/>
  <c r="B8" i="8" s="1"/>
  <c r="EK3" i="3"/>
  <c r="D34" i="8"/>
  <c r="EH3" i="3"/>
  <c r="D10" i="8"/>
  <c r="DZ3" i="3"/>
  <c r="DP3" i="3"/>
  <c r="DO3" i="3"/>
  <c r="DN3" i="3"/>
  <c r="DL3" i="3"/>
  <c r="DK3" i="3"/>
  <c r="DJ3" i="3"/>
  <c r="DH3" i="3"/>
  <c r="DG3" i="3"/>
  <c r="DF3" i="3"/>
  <c r="DD3" i="3"/>
  <c r="DC3" i="3"/>
  <c r="DB3" i="3"/>
  <c r="CZ3" i="3"/>
  <c r="CY3" i="3"/>
  <c r="CX3" i="3"/>
  <c r="CH3" i="3"/>
  <c r="CG3" i="3"/>
  <c r="CS3" i="3"/>
  <c r="CR3" i="3"/>
  <c r="CQ3" i="3"/>
  <c r="CO3" i="3"/>
  <c r="CN3" i="3"/>
  <c r="CM3" i="3"/>
  <c r="CK3" i="3"/>
  <c r="CJ3" i="3"/>
  <c r="CI3" i="3"/>
  <c r="CF4" i="3"/>
  <c r="CE4" i="3"/>
  <c r="CD4" i="3"/>
  <c r="I134" i="1"/>
  <c r="CC4" i="3" s="1"/>
  <c r="CB3" i="3"/>
  <c r="CA6" i="3"/>
  <c r="CA4" i="3"/>
  <c r="BZ6" i="3"/>
  <c r="BZ4" i="3"/>
  <c r="BZ3" i="3"/>
  <c r="BY6" i="3"/>
  <c r="BY4" i="3"/>
  <c r="BY3" i="3"/>
  <c r="I127" i="1"/>
  <c r="BX4" i="3"/>
  <c r="BW6" i="3"/>
  <c r="BW4" i="3"/>
  <c r="BW3" i="3"/>
  <c r="BV3" i="3"/>
  <c r="BU6" i="3"/>
  <c r="BU4" i="3"/>
  <c r="BU3" i="3"/>
  <c r="BT4" i="3"/>
  <c r="BS4" i="3"/>
  <c r="BR4" i="3"/>
  <c r="BQ6" i="3"/>
  <c r="BQ4" i="3"/>
  <c r="BQ3" i="3"/>
  <c r="BP4" i="3"/>
  <c r="BO4" i="3"/>
  <c r="BN4" i="3"/>
  <c r="I95" i="1"/>
  <c r="BM4" i="3"/>
  <c r="BL6" i="3"/>
  <c r="BL4" i="3"/>
  <c r="BL3" i="3"/>
  <c r="BK6" i="3"/>
  <c r="BK4" i="3"/>
  <c r="BK3" i="3"/>
  <c r="I90" i="1"/>
  <c r="J90" i="1" s="1"/>
  <c r="BJ4" i="3"/>
  <c r="BI4" i="3"/>
  <c r="BI3" i="3"/>
  <c r="BH6" i="3"/>
  <c r="BH4" i="3"/>
  <c r="BH3" i="3"/>
  <c r="BG4" i="3"/>
  <c r="BF4" i="3"/>
  <c r="BE4" i="3"/>
  <c r="BC6" i="3"/>
  <c r="BC3" i="3"/>
  <c r="BB3" i="3"/>
  <c r="BA3" i="3"/>
  <c r="AY6" i="3"/>
  <c r="AY3" i="3"/>
  <c r="AX3" i="3"/>
  <c r="AW6" i="3"/>
  <c r="AW3" i="3"/>
  <c r="AV6" i="3"/>
  <c r="AV3" i="3"/>
  <c r="AU6" i="3"/>
  <c r="AT3" i="3"/>
  <c r="AS6" i="3"/>
  <c r="AS3" i="3"/>
  <c r="AR3" i="3"/>
  <c r="AQ3" i="3"/>
  <c r="AP6" i="3"/>
  <c r="AP3" i="3"/>
  <c r="AO3" i="3"/>
  <c r="AN3" i="3"/>
  <c r="AM3" i="3"/>
  <c r="AL6" i="3"/>
  <c r="AL3" i="3"/>
  <c r="AK6" i="3"/>
  <c r="AK3" i="3"/>
  <c r="AJ3" i="3"/>
  <c r="AI3" i="3"/>
  <c r="AH3" i="3"/>
  <c r="AG6" i="3"/>
  <c r="AG3" i="3"/>
  <c r="AF3" i="3"/>
  <c r="AE4" i="3"/>
  <c r="AD3" i="3"/>
  <c r="AC6" i="3"/>
  <c r="AC4" i="3"/>
  <c r="AC3" i="3"/>
  <c r="AB4" i="3"/>
  <c r="AB3" i="3"/>
  <c r="AA3" i="3"/>
  <c r="Z3" i="3"/>
  <c r="Y6" i="3"/>
  <c r="Y4" i="3"/>
  <c r="Y3" i="3"/>
  <c r="W4" i="3"/>
  <c r="W3" i="3"/>
  <c r="S4" i="3"/>
  <c r="S3" i="3"/>
  <c r="R4" i="3"/>
  <c r="R3" i="3"/>
  <c r="Q6" i="3"/>
  <c r="Q4" i="3"/>
  <c r="Q3" i="3"/>
  <c r="P6" i="3"/>
  <c r="O4" i="3"/>
  <c r="O3" i="3"/>
  <c r="N6" i="3"/>
  <c r="N4" i="3"/>
  <c r="N3" i="3"/>
  <c r="M4" i="3"/>
  <c r="M3" i="3"/>
  <c r="K4" i="3"/>
  <c r="K3" i="3"/>
  <c r="J6" i="3"/>
  <c r="J4" i="3"/>
  <c r="J3" i="3"/>
  <c r="I4" i="3"/>
  <c r="I3" i="3"/>
  <c r="H6" i="3"/>
  <c r="H4" i="3"/>
  <c r="H3" i="3"/>
  <c r="G6" i="3"/>
  <c r="G4" i="3"/>
  <c r="G3" i="3"/>
  <c r="F4" i="3"/>
  <c r="F3" i="3"/>
  <c r="E6" i="3"/>
  <c r="E4" i="3"/>
  <c r="E3" i="3"/>
  <c r="B3" i="3"/>
  <c r="B4" i="3" s="1"/>
  <c r="B5" i="3" s="1"/>
  <c r="B6" i="3" s="1"/>
  <c r="A121" i="1"/>
  <c r="A85" i="1"/>
  <c r="A37" i="1"/>
  <c r="E10" i="1"/>
  <c r="E9" i="1"/>
  <c r="E8" i="1"/>
  <c r="F14" i="2"/>
  <c r="F11" i="3"/>
  <c r="D11" i="3"/>
  <c r="F20" i="3"/>
  <c r="F14" i="3"/>
  <c r="F13" i="3"/>
  <c r="F17" i="3"/>
  <c r="F16" i="3"/>
  <c r="F12" i="3"/>
  <c r="F10" i="3"/>
  <c r="D10" i="3"/>
  <c r="A1" i="8"/>
  <c r="BJ3" i="3"/>
  <c r="C5" i="3"/>
  <c r="J127" i="1"/>
  <c r="BM6" i="3"/>
  <c r="G37" i="13"/>
  <c r="M132" i="1"/>
  <c r="M131" i="1"/>
  <c r="AH4" i="3"/>
  <c r="AJ4" i="3"/>
  <c r="AM4" i="3"/>
  <c r="AN4" i="3"/>
  <c r="AS4" i="3"/>
  <c r="AT4" i="3"/>
  <c r="AU4" i="3"/>
  <c r="AX4" i="3"/>
  <c r="AY4" i="3"/>
  <c r="AZ4" i="3"/>
  <c r="BC4" i="3"/>
  <c r="O2" i="1"/>
  <c r="E8" i="2" s="1"/>
  <c r="A3" i="8" s="1"/>
  <c r="BX6" i="3" l="1"/>
  <c r="K35" i="1"/>
  <c r="X3" i="3" s="1"/>
  <c r="I71" i="1"/>
  <c r="BD4" i="3" s="1"/>
  <c r="BB4" i="3"/>
  <c r="AI4" i="3"/>
  <c r="J58" i="1"/>
  <c r="G35" i="1"/>
  <c r="G76" i="1" s="1"/>
  <c r="AR4" i="3"/>
  <c r="J134" i="1"/>
  <c r="Z4" i="3"/>
  <c r="J42" i="1"/>
  <c r="G71" i="1"/>
  <c r="G77" i="1" s="1"/>
  <c r="AP4" i="3"/>
  <c r="M133" i="1"/>
  <c r="BV4" i="3"/>
  <c r="G134" i="1"/>
  <c r="CC6" i="3" s="1"/>
  <c r="L3" i="3"/>
  <c r="G90" i="1"/>
  <c r="AW4" i="3"/>
  <c r="AO4" i="3"/>
  <c r="F6" i="3"/>
  <c r="AD4" i="3"/>
  <c r="BV6" i="3"/>
  <c r="AG4" i="3"/>
  <c r="K95" i="1"/>
  <c r="K71" i="1"/>
  <c r="K77" i="1" s="1"/>
  <c r="E28" i="1"/>
  <c r="Q5" i="3" s="1"/>
  <c r="C17" i="1"/>
  <c r="C46" i="1"/>
  <c r="E67" i="1"/>
  <c r="M67" i="1" s="1"/>
  <c r="E54" i="1"/>
  <c r="M54" i="1" s="1"/>
  <c r="E23" i="1"/>
  <c r="C49" i="1"/>
  <c r="E60" i="1"/>
  <c r="M60" i="1" s="1"/>
  <c r="G99" i="1"/>
  <c r="G101" i="1" s="1"/>
  <c r="BJ6" i="3"/>
  <c r="BM3" i="3"/>
  <c r="K100" i="1"/>
  <c r="G61" i="2" s="1"/>
  <c r="J95" i="1"/>
  <c r="G60" i="2"/>
  <c r="M6" i="3"/>
  <c r="D21" i="3"/>
  <c r="Z6" i="3"/>
  <c r="AL4" i="3"/>
  <c r="M23" i="1"/>
  <c r="J27" i="1"/>
  <c r="CC3" i="3"/>
  <c r="K136" i="1"/>
  <c r="G54" i="2"/>
  <c r="BD3" i="3"/>
  <c r="J71" i="1"/>
  <c r="C6" i="3"/>
  <c r="C26" i="1"/>
  <c r="E94" i="1"/>
  <c r="BL5" i="3" s="1"/>
  <c r="E137" i="1"/>
  <c r="G137" i="1" s="1"/>
  <c r="E47" i="1"/>
  <c r="M47" i="1" s="1"/>
  <c r="E50" i="1"/>
  <c r="M50" i="1" s="1"/>
  <c r="E68" i="1"/>
  <c r="M68" i="1" s="1"/>
  <c r="E63" i="1"/>
  <c r="AV5" i="3" s="1"/>
  <c r="C34" i="1"/>
  <c r="D4" i="3"/>
  <c r="C4" i="3"/>
  <c r="C94" i="1"/>
  <c r="C50" i="2"/>
  <c r="K111" i="24"/>
  <c r="K113" i="24"/>
  <c r="K114" i="24" s="1"/>
  <c r="P3" i="3"/>
  <c r="K76" i="1"/>
  <c r="G53" i="2"/>
  <c r="I35" i="1"/>
  <c r="X4" i="3" s="1"/>
  <c r="C88" i="1"/>
  <c r="C130" i="1"/>
  <c r="E46" i="1"/>
  <c r="M46" i="1" s="1"/>
  <c r="C124" i="1"/>
  <c r="F21" i="3"/>
  <c r="F15" i="3" s="1"/>
  <c r="C28" i="1"/>
  <c r="E56" i="1"/>
  <c r="M56" i="1" s="1"/>
  <c r="C67" i="1"/>
  <c r="E32" i="1"/>
  <c r="AM5" i="3"/>
  <c r="E41" i="1"/>
  <c r="E58" i="1"/>
  <c r="C68" i="1"/>
  <c r="C132" i="1"/>
  <c r="C131" i="1"/>
  <c r="L5" i="3"/>
  <c r="E25" i="1"/>
  <c r="E40" i="1"/>
  <c r="M40" i="1" s="1"/>
  <c r="C41" i="1"/>
  <c r="E89" i="1"/>
  <c r="C55" i="1"/>
  <c r="E27" i="1"/>
  <c r="C93" i="1"/>
  <c r="C43" i="1"/>
  <c r="C125" i="1"/>
  <c r="C133" i="1"/>
  <c r="M94" i="1"/>
  <c r="C102" i="1"/>
  <c r="D5" i="3"/>
  <c r="E126" i="1"/>
  <c r="M126" i="1" s="1"/>
  <c r="H15" i="14"/>
  <c r="F17" i="14" s="1"/>
  <c r="CV3" i="3" s="1"/>
  <c r="C18" i="1"/>
  <c r="E79" i="1"/>
  <c r="BF5" i="3" s="1"/>
  <c r="E48" i="1"/>
  <c r="C57" i="1"/>
  <c r="E49" i="1"/>
  <c r="C62" i="1"/>
  <c r="E34" i="1"/>
  <c r="C21" i="1"/>
  <c r="E21" i="1"/>
  <c r="E30" i="1"/>
  <c r="C63" i="1"/>
  <c r="E22" i="1"/>
  <c r="C23" i="1"/>
  <c r="E102" i="1"/>
  <c r="E1" i="13"/>
  <c r="E13" i="13" s="1"/>
  <c r="C47" i="1"/>
  <c r="C65" i="1"/>
  <c r="E55" i="1"/>
  <c r="M55" i="1" s="1"/>
  <c r="C29" i="1"/>
  <c r="E66" i="1"/>
  <c r="C22" i="1"/>
  <c r="C31" i="1"/>
  <c r="E31" i="1"/>
  <c r="C45" i="1"/>
  <c r="E45" i="1"/>
  <c r="E16" i="1"/>
  <c r="AI5" i="3"/>
  <c r="C79" i="1"/>
  <c r="C19" i="1"/>
  <c r="E64" i="1"/>
  <c r="C89" i="1"/>
  <c r="E57" i="1"/>
  <c r="E33" i="1"/>
  <c r="C27" i="1"/>
  <c r="C42" i="1"/>
  <c r="E29" i="1"/>
  <c r="E93" i="1"/>
  <c r="E59" i="1"/>
  <c r="C30" i="1"/>
  <c r="E43" i="1"/>
  <c r="C44" i="1"/>
  <c r="C53" i="1"/>
  <c r="E108" i="1"/>
  <c r="BS5" i="3" s="1"/>
  <c r="C33" i="1"/>
  <c r="C40" i="1"/>
  <c r="E88" i="1"/>
  <c r="C48" i="1"/>
  <c r="C50" i="1"/>
  <c r="E42" i="1"/>
  <c r="C54" i="1"/>
  <c r="C16" i="1"/>
  <c r="C51" i="1"/>
  <c r="C52" i="1"/>
  <c r="E44" i="1"/>
  <c r="C61" i="1"/>
  <c r="E69" i="1"/>
  <c r="C137" i="1"/>
  <c r="G102" i="1"/>
  <c r="K102" i="1" s="1"/>
  <c r="A3" i="3"/>
  <c r="A4" i="3" s="1"/>
  <c r="A5" i="3" s="1"/>
  <c r="A6" i="3" s="1"/>
  <c r="C70" i="1"/>
  <c r="E26" i="1"/>
  <c r="C56" i="1"/>
  <c r="C20" i="1"/>
  <c r="M28" i="1"/>
  <c r="E65" i="1"/>
  <c r="E70" i="1"/>
  <c r="C64" i="1"/>
  <c r="C58" i="1"/>
  <c r="E62" i="1"/>
  <c r="M62" i="1" s="1"/>
  <c r="C25" i="1"/>
  <c r="C59" i="1"/>
  <c r="E51" i="1"/>
  <c r="C60" i="1"/>
  <c r="E52" i="1"/>
  <c r="C69" i="1"/>
  <c r="D3" i="3"/>
  <c r="D6" i="3"/>
  <c r="K79" i="1"/>
  <c r="BF6" i="3"/>
  <c r="G13" i="13"/>
  <c r="E132" i="1"/>
  <c r="E124" i="1"/>
  <c r="E20" i="1"/>
  <c r="E107" i="1"/>
  <c r="BR5" i="3" s="1"/>
  <c r="E53" i="1"/>
  <c r="H6" i="2"/>
  <c r="E133" i="1"/>
  <c r="CB5" i="3" s="1"/>
  <c r="E131" i="1"/>
  <c r="BZ5" i="3" s="1"/>
  <c r="E19" i="1"/>
  <c r="E106" i="1"/>
  <c r="AS5" i="3"/>
  <c r="C24" i="1"/>
  <c r="E18" i="1"/>
  <c r="CE6" i="3"/>
  <c r="K137" i="1"/>
  <c r="C32" i="1"/>
  <c r="E24" i="1"/>
  <c r="E61" i="1"/>
  <c r="E130" i="1"/>
  <c r="E125" i="1"/>
  <c r="E17" i="1"/>
  <c r="G78" i="1" l="1"/>
  <c r="G80" i="1" s="1"/>
  <c r="G107" i="1" s="1"/>
  <c r="G136" i="1"/>
  <c r="CD6" i="3" s="1"/>
  <c r="K101" i="1"/>
  <c r="K103" i="1" s="1"/>
  <c r="BD6" i="3"/>
  <c r="X6" i="3"/>
  <c r="K78" i="1"/>
  <c r="BE3" i="3" s="1"/>
  <c r="AF5" i="3"/>
  <c r="AZ5" i="3"/>
  <c r="C35" i="1"/>
  <c r="C76" i="1" s="1"/>
  <c r="BA5" i="3"/>
  <c r="G62" i="2"/>
  <c r="BN3" i="3"/>
  <c r="J35" i="1"/>
  <c r="D13" i="8"/>
  <c r="EA3" i="3" s="1"/>
  <c r="CD3" i="3"/>
  <c r="G73" i="2"/>
  <c r="G55" i="2"/>
  <c r="BN6" i="3"/>
  <c r="D13" i="3"/>
  <c r="M63" i="1"/>
  <c r="F74" i="2"/>
  <c r="CE5" i="3"/>
  <c r="BO3" i="3"/>
  <c r="C127" i="1"/>
  <c r="C136" i="1" s="1"/>
  <c r="C138" i="1" s="1"/>
  <c r="C71" i="1"/>
  <c r="C77" i="1" s="1"/>
  <c r="BO6" i="3"/>
  <c r="G63" i="2"/>
  <c r="C90" i="1"/>
  <c r="C99" i="1" s="1"/>
  <c r="C95" i="1"/>
  <c r="C100" i="1" s="1"/>
  <c r="C134" i="1"/>
  <c r="E71" i="1"/>
  <c r="E77" i="1" s="1"/>
  <c r="BW5" i="3"/>
  <c r="AE5" i="3"/>
  <c r="AU5" i="3"/>
  <c r="G103" i="1"/>
  <c r="G108" i="1" s="1"/>
  <c r="BS6" i="3" s="1"/>
  <c r="M58" i="1"/>
  <c r="AQ5" i="3"/>
  <c r="F56" i="2"/>
  <c r="M41" i="1"/>
  <c r="Z5" i="3"/>
  <c r="AO5" i="3"/>
  <c r="M32" i="1"/>
  <c r="U5" i="3"/>
  <c r="AJ5" i="3"/>
  <c r="M51" i="1"/>
  <c r="M22" i="1"/>
  <c r="K5" i="3"/>
  <c r="M69" i="1"/>
  <c r="BB5" i="3"/>
  <c r="AB5" i="3"/>
  <c r="M43" i="1"/>
  <c r="M57" i="1"/>
  <c r="AP5" i="3"/>
  <c r="AD5" i="3"/>
  <c r="M45" i="1"/>
  <c r="M30" i="1"/>
  <c r="S5" i="3"/>
  <c r="AN5" i="3"/>
  <c r="M26" i="1"/>
  <c r="O5" i="3"/>
  <c r="M44" i="1"/>
  <c r="AC5" i="3"/>
  <c r="J5" i="3"/>
  <c r="M21" i="1"/>
  <c r="N5" i="3"/>
  <c r="M25" i="1"/>
  <c r="M48" i="1"/>
  <c r="AG5" i="3"/>
  <c r="M88" i="1"/>
  <c r="BH5" i="3"/>
  <c r="E90" i="1"/>
  <c r="AR5" i="3"/>
  <c r="M59" i="1"/>
  <c r="AW5" i="3"/>
  <c r="M64" i="1"/>
  <c r="T5" i="3"/>
  <c r="M31" i="1"/>
  <c r="E15" i="13"/>
  <c r="G14" i="13"/>
  <c r="G11" i="13"/>
  <c r="G17" i="13" s="1"/>
  <c r="F11" i="13"/>
  <c r="F17" i="13" s="1"/>
  <c r="F12" i="13"/>
  <c r="G16" i="13"/>
  <c r="E12" i="13"/>
  <c r="E11" i="13"/>
  <c r="E17" i="13" s="1"/>
  <c r="D37" i="8" s="1"/>
  <c r="F15" i="13"/>
  <c r="G15" i="13"/>
  <c r="G12" i="13"/>
  <c r="F14" i="13"/>
  <c r="E16" i="13"/>
  <c r="F16" i="13"/>
  <c r="E14" i="13"/>
  <c r="F13" i="13"/>
  <c r="V5" i="3"/>
  <c r="M33" i="1"/>
  <c r="Y5" i="3"/>
  <c r="M93" i="1"/>
  <c r="M95" i="1" s="1"/>
  <c r="E95" i="1"/>
  <c r="BK5" i="3"/>
  <c r="M34" i="1"/>
  <c r="W5" i="3"/>
  <c r="M27" i="1"/>
  <c r="P5" i="3"/>
  <c r="M52" i="1"/>
  <c r="AK5" i="3"/>
  <c r="BC5" i="3"/>
  <c r="M70" i="1"/>
  <c r="R5" i="3"/>
  <c r="M29" i="1"/>
  <c r="BO5" i="3"/>
  <c r="F63" i="2"/>
  <c r="M42" i="1"/>
  <c r="AA5" i="3"/>
  <c r="M16" i="1"/>
  <c r="E5" i="3"/>
  <c r="AX5" i="3"/>
  <c r="M65" i="1"/>
  <c r="AY5" i="3"/>
  <c r="M66" i="1"/>
  <c r="M49" i="1"/>
  <c r="AH5" i="3"/>
  <c r="BI5" i="3"/>
  <c r="M89" i="1"/>
  <c r="BD5" i="3"/>
  <c r="BU5" i="3"/>
  <c r="E127" i="1"/>
  <c r="M124" i="1"/>
  <c r="E134" i="1"/>
  <c r="M130" i="1"/>
  <c r="M134" i="1" s="1"/>
  <c r="BY5" i="3"/>
  <c r="M5" i="3"/>
  <c r="M24" i="1"/>
  <c r="BQ5" i="3"/>
  <c r="E109" i="1"/>
  <c r="M19" i="1"/>
  <c r="H5" i="3"/>
  <c r="CE3" i="3"/>
  <c r="G74" i="2"/>
  <c r="K138" i="1"/>
  <c r="AL5" i="3"/>
  <c r="M53" i="1"/>
  <c r="BV5" i="3"/>
  <c r="M125" i="1"/>
  <c r="M18" i="1"/>
  <c r="G5" i="3"/>
  <c r="G56" i="2"/>
  <c r="BF3" i="3"/>
  <c r="K80" i="1"/>
  <c r="M61" i="1"/>
  <c r="AT5" i="3"/>
  <c r="F5" i="3"/>
  <c r="M17" i="1"/>
  <c r="E35" i="1"/>
  <c r="M20" i="1"/>
  <c r="I5" i="3"/>
  <c r="BP3" i="3" l="1"/>
  <c r="G64" i="2"/>
  <c r="K108" i="1"/>
  <c r="BS3" i="3" s="1"/>
  <c r="D40" i="8"/>
  <c r="D12" i="3"/>
  <c r="BE6" i="3"/>
  <c r="BG6" i="3"/>
  <c r="D16" i="8"/>
  <c r="EB3" i="3" s="1"/>
  <c r="G82" i="1"/>
  <c r="G138" i="1"/>
  <c r="CF6" i="3" s="1"/>
  <c r="C78" i="1"/>
  <c r="C80" i="1" s="1"/>
  <c r="BP6" i="3"/>
  <c r="D28" i="8"/>
  <c r="EF3" i="3" s="1"/>
  <c r="C82" i="1"/>
  <c r="C107" i="1"/>
  <c r="C101" i="1"/>
  <c r="C103" i="1" s="1"/>
  <c r="C108" i="1" s="1"/>
  <c r="M71" i="1"/>
  <c r="D71" i="1"/>
  <c r="F54" i="2"/>
  <c r="H54" i="2" s="1"/>
  <c r="BM5" i="3"/>
  <c r="E100" i="1"/>
  <c r="F61" i="2" s="1"/>
  <c r="H61" i="2" s="1"/>
  <c r="BJ5" i="3"/>
  <c r="E99" i="1"/>
  <c r="CU3" i="3"/>
  <c r="EI3" i="3"/>
  <c r="M90" i="1"/>
  <c r="G109" i="1"/>
  <c r="BR6" i="3"/>
  <c r="EJ3" i="3"/>
  <c r="CT3" i="3"/>
  <c r="F66" i="2"/>
  <c r="E111" i="1"/>
  <c r="BT5" i="3"/>
  <c r="D22" i="8"/>
  <c r="ED3" i="3" s="1"/>
  <c r="G57" i="2"/>
  <c r="D25" i="8"/>
  <c r="EE3" i="3" s="1"/>
  <c r="K107" i="1"/>
  <c r="K82" i="1"/>
  <c r="BG3" i="3"/>
  <c r="BX5" i="3"/>
  <c r="E136" i="1"/>
  <c r="F71" i="2"/>
  <c r="H71" i="2" s="1"/>
  <c r="CF3" i="3"/>
  <c r="G75" i="2"/>
  <c r="D31" i="8"/>
  <c r="EG3" i="3" s="1"/>
  <c r="E76" i="1"/>
  <c r="E78" i="1" s="1"/>
  <c r="X5" i="3"/>
  <c r="F53" i="2"/>
  <c r="H53" i="2" s="1"/>
  <c r="F72" i="2"/>
  <c r="H72" i="2" s="1"/>
  <c r="CC5" i="3"/>
  <c r="M35" i="1"/>
  <c r="M127" i="1"/>
  <c r="C109" i="1" l="1"/>
  <c r="C111" i="1" s="1"/>
  <c r="F60" i="2"/>
  <c r="H60" i="2" s="1"/>
  <c r="E101" i="1"/>
  <c r="BE5" i="3"/>
  <c r="E80" i="1"/>
  <c r="F55" i="2"/>
  <c r="H55" i="2" s="1"/>
  <c r="K109" i="1"/>
  <c r="K116" i="1" s="1"/>
  <c r="B116" i="1" s="1"/>
  <c r="BR3" i="3"/>
  <c r="E138" i="1"/>
  <c r="CD5" i="3"/>
  <c r="F73" i="2"/>
  <c r="H73" i="2" s="1"/>
  <c r="D17" i="3"/>
  <c r="D16" i="3"/>
  <c r="G111" i="1"/>
  <c r="D15" i="3"/>
  <c r="BT6" i="3"/>
  <c r="D14" i="3"/>
  <c r="BN5" i="3" l="1"/>
  <c r="F62" i="2"/>
  <c r="H62" i="2" s="1"/>
  <c r="E103" i="1"/>
  <c r="K113" i="1"/>
  <c r="K114" i="1" s="1"/>
  <c r="K111" i="1"/>
  <c r="G66" i="2"/>
  <c r="H66" i="2" s="1"/>
  <c r="BT3" i="3"/>
  <c r="F15" i="14"/>
  <c r="F20" i="14" s="1"/>
  <c r="F75" i="2"/>
  <c r="H75" i="2" s="1"/>
  <c r="CF5" i="3"/>
  <c r="F57" i="2"/>
  <c r="H57" i="2" s="1"/>
  <c r="E82" i="1"/>
  <c r="BG5" i="3"/>
  <c r="F64" i="2" l="1"/>
  <c r="H64" i="2" s="1"/>
  <c r="BP5" i="3"/>
  <c r="D19" i="8"/>
  <c r="EC3" i="3" s="1"/>
  <c r="CW3" i="3"/>
  <c r="BF3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Walker</author>
    <author>andrew.redding</author>
    <author>Stephanie Kirbyshire</author>
    <author>tc={7CDE45E0-F5A2-4222-85FC-D42E85A95957}</author>
    <author>tc={36BB96CD-7366-48F3-98F2-E64BB911264E}</author>
  </authors>
  <commentList>
    <comment ref="O16" authorId="0" shapeId="0" xr:uid="{DFA7D2DD-3D1F-4CBD-BF1A-4E42C14840FC}">
      <text>
        <r>
          <rPr>
            <sz val="10"/>
            <rFont val="Arial"/>
          </rPr>
          <t>Sam Walker:
With the words received but not budgeted for?</t>
        </r>
      </text>
    </comment>
    <comment ref="K17" authorId="1" shapeId="0" xr:uid="{803DCD69-98A7-49ED-82F7-445A3551291F}">
      <text>
        <r>
          <rPr>
            <sz val="8"/>
            <color indexed="81"/>
            <rFont val="Tahoma"/>
            <family val="2"/>
          </rPr>
          <t>This cell will highlight in red where your forecast is lower than your actual to date - please revise or comment if correct</t>
        </r>
      </text>
    </comment>
    <comment ref="K18" authorId="1" shapeId="0" xr:uid="{CA5DFD1B-6526-4B4C-BFEA-C9E830CEC390}">
      <text>
        <r>
          <rPr>
            <sz val="8"/>
            <color indexed="81"/>
            <rFont val="Tahoma"/>
            <family val="2"/>
          </rPr>
          <t>This cell will highlight in red where your forecast is lower than your actual to date - please revise or comment if correct</t>
        </r>
      </text>
    </comment>
    <comment ref="O18" authorId="0" shapeId="0" xr:uid="{04AB2ECB-E3F3-495C-A506-AC1849CBFE10}">
      <text>
        <r>
          <rPr>
            <sz val="10"/>
            <rFont val="Arial"/>
          </rPr>
          <t>Sam Walker:
New admission since budget setting with EHCP already in place</t>
        </r>
      </text>
    </comment>
    <comment ref="K19" authorId="1" shapeId="0" xr:uid="{55F50DAB-0491-4C21-A3BA-76D22ED1C08B}">
      <text>
        <r>
          <rPr>
            <sz val="8"/>
            <color indexed="81"/>
            <rFont val="Tahoma"/>
            <family val="2"/>
          </rPr>
          <t>This cell will highlight in red where your forecast is lower than your actual to date - please revise or comment if correct</t>
        </r>
      </text>
    </comment>
    <comment ref="K20" authorId="1" shapeId="0" xr:uid="{17A2ECCB-3101-44A4-84F8-5DD6F3567B0D}">
      <text>
        <r>
          <rPr>
            <sz val="8"/>
            <color indexed="81"/>
            <rFont val="Tahoma"/>
            <family val="2"/>
          </rPr>
          <t>This cell will highlight in red where your forecast is lower than your actual to date - please revise or comment if correct</t>
        </r>
      </text>
    </comment>
    <comment ref="K21" authorId="1" shapeId="0" xr:uid="{DA0BD966-D87D-4E51-82DC-8301C33384F4}">
      <text>
        <r>
          <rPr>
            <sz val="8"/>
            <color indexed="81"/>
            <rFont val="Tahoma"/>
            <family val="2"/>
          </rPr>
          <t>This cell will highlight in red where your forecast is lower than your actual to date - please revise or comment if correct</t>
        </r>
      </text>
    </comment>
    <comment ref="K22" authorId="1" shapeId="0" xr:uid="{DDF99B64-1E0B-4976-BFB7-6783739A7E6A}">
      <text>
        <r>
          <rPr>
            <sz val="8"/>
            <color indexed="81"/>
            <rFont val="Tahoma"/>
            <family val="2"/>
          </rPr>
          <t>This cell will highlight in red where your forecast is lower than your actual to date - please revise or comment if correct</t>
        </r>
      </text>
    </comment>
    <comment ref="K23" authorId="1" shapeId="0" xr:uid="{28BFE129-743A-42D1-86C0-7331086BAD11}">
      <text>
        <r>
          <rPr>
            <sz val="8"/>
            <color indexed="81"/>
            <rFont val="Tahoma"/>
            <family val="2"/>
          </rPr>
          <t>This cell will highlight in red where your forecast is lower than your actual to date - please revise or comment if correct</t>
        </r>
      </text>
    </comment>
    <comment ref="O23" authorId="0" shapeId="0" xr:uid="{CFA1D776-2EE7-4208-8863-9B21CA237AE5}">
      <text>
        <r>
          <rPr>
            <sz val="10"/>
            <rFont val="Arial"/>
          </rPr>
          <t>Sam Walker:
Term? Should we encourage them to add periods of invoices not raised affecting the % so that we can check that the forecast calculations then look reasonable for remaining periods?</t>
        </r>
      </text>
    </comment>
    <comment ref="K24" authorId="1" shapeId="0" xr:uid="{854100E9-33C2-4E80-A4A0-08848C051581}">
      <text>
        <r>
          <rPr>
            <sz val="8"/>
            <color indexed="81"/>
            <rFont val="Tahoma"/>
            <family val="2"/>
          </rPr>
          <t>This cell will highlight in red where your forecast is lower than your actual to date - please revise or comment if correct</t>
        </r>
      </text>
    </comment>
    <comment ref="O24" authorId="0" shapeId="0" xr:uid="{767864B9-E226-441C-85E6-3F5E942F5277}">
      <text>
        <r>
          <rPr>
            <sz val="10"/>
            <rFont val="Arial"/>
          </rPr>
          <t>Sam Walker:
would we expect school to say no further amounts expected for remainder of the year?</t>
        </r>
      </text>
    </comment>
    <comment ref="K25" authorId="1" shapeId="0" xr:uid="{48519C06-768B-4172-9F7C-E2D81454C4E8}">
      <text>
        <r>
          <rPr>
            <sz val="8"/>
            <color indexed="81"/>
            <rFont val="Tahoma"/>
            <family val="2"/>
          </rPr>
          <t>This cell will highlight in red where your forecast is lower than your actual to date - please revise or comment if correct</t>
        </r>
      </text>
    </comment>
    <comment ref="K26" authorId="1" shapeId="0" xr:uid="{A31E3F3E-F445-4A03-BB36-D1A7D0E752EB}">
      <text>
        <r>
          <rPr>
            <sz val="8"/>
            <color indexed="81"/>
            <rFont val="Tahoma"/>
            <family val="2"/>
          </rPr>
          <t>This cell will highlight in red where your forecast is lower than your actual to date - please revise or comment if correct</t>
        </r>
      </text>
    </comment>
    <comment ref="O26" authorId="0" shapeId="0" xr:uid="{917CA4BA-F422-4AA3-B326-650029DFFB82}">
      <text>
        <r>
          <rPr>
            <sz val="10"/>
            <rFont val="Arial"/>
          </rPr>
          <t>Sam Walker:
If this was the case, would we expect them to add an estimate based on the period they think this person will be off, if they have a sick note for a period exceeding this Qtr?</t>
        </r>
      </text>
    </comment>
    <comment ref="K27" authorId="1" shapeId="0" xr:uid="{2734882A-7591-4D13-962A-C3655E2B805A}">
      <text>
        <r>
          <rPr>
            <sz val="8"/>
            <color indexed="81"/>
            <rFont val="Tahoma"/>
            <family val="2"/>
          </rPr>
          <t>This cell will highlight in red where your forecast is lower than your actual to date - please revise or comment if correct</t>
        </r>
      </text>
    </comment>
    <comment ref="K28" authorId="1" shapeId="0" xr:uid="{75EEFAAE-B651-46EF-BCA5-66EC325704C6}">
      <text>
        <r>
          <rPr>
            <sz val="8"/>
            <color indexed="81"/>
            <rFont val="Tahoma"/>
            <family val="2"/>
          </rPr>
          <t>This cell will highlight in red where your forecast is lower than your actual to date - please revise or comment if correct</t>
        </r>
      </text>
    </comment>
    <comment ref="K29" authorId="1" shapeId="0" xr:uid="{6C6C3856-15C2-4562-ABD1-568B8C1B4704}">
      <text>
        <r>
          <rPr>
            <sz val="8"/>
            <color indexed="81"/>
            <rFont val="Tahoma"/>
            <family val="2"/>
          </rPr>
          <t>This cell will highlight in red where your forecast is lower than your actual to date - please revise or comment if correct</t>
        </r>
      </text>
    </comment>
    <comment ref="O29" authorId="0" shapeId="0" xr:uid="{5BC71BAD-5F3B-4E6F-86C9-D227509D0C48}">
      <text>
        <r>
          <rPr>
            <sz val="10"/>
            <rFont val="Arial"/>
          </rPr>
          <t>Sam Walker:
would we encourage them at this point to say what the PTA donation is for and if they have budgeted expenditure and if so on what line?</t>
        </r>
      </text>
    </comment>
    <comment ref="K30" authorId="1" shapeId="0" xr:uid="{D571E553-0B48-454B-8FD7-3EF5644534BE}">
      <text>
        <r>
          <rPr>
            <sz val="8"/>
            <color indexed="81"/>
            <rFont val="Tahoma"/>
            <family val="2"/>
          </rPr>
          <t>This cell will highlight in red where your forecast is lower than your actual to date - please revise or comment if correct</t>
        </r>
      </text>
    </comment>
    <comment ref="K31" authorId="1" shapeId="0" xr:uid="{72E0587D-C360-4FCD-8411-4F06BE54AE7E}">
      <text>
        <r>
          <rPr>
            <sz val="8"/>
            <color indexed="81"/>
            <rFont val="Tahoma"/>
            <family val="2"/>
          </rPr>
          <t>This cell will highlight in red where your forecast is lower than your actual to date - please revise or comment if correct</t>
        </r>
      </text>
    </comment>
    <comment ref="K32" authorId="1" shapeId="0" xr:uid="{51F75463-3CA1-481D-96D1-54B7D5ABE40C}">
      <text>
        <r>
          <rPr>
            <sz val="8"/>
            <color indexed="81"/>
            <rFont val="Tahoma"/>
            <family val="2"/>
          </rPr>
          <t>This cell will highlight in red where your forecast is lower than your actual to date - please revise or comment if correct</t>
        </r>
      </text>
    </comment>
    <comment ref="K33" authorId="1" shapeId="0" xr:uid="{31B2CE3D-C05A-4F63-9F0F-9A59C39F988A}">
      <text>
        <r>
          <rPr>
            <sz val="8"/>
            <color indexed="81"/>
            <rFont val="Tahoma"/>
            <family val="2"/>
          </rPr>
          <t>This cell will highlight in red where your forecast is lower than your actual to date - please revise or comment if correct</t>
        </r>
      </text>
    </comment>
    <comment ref="K34" authorId="1" shapeId="0" xr:uid="{32F349C7-2CE9-4F1C-AD11-81B43584502E}">
      <text>
        <r>
          <rPr>
            <sz val="8"/>
            <color indexed="81"/>
            <rFont val="Tahoma"/>
            <family val="2"/>
          </rPr>
          <t>This cell will highlight in red where your forecast is lower than your actual to date - please revise or comment if correct</t>
        </r>
      </text>
    </comment>
    <comment ref="K40" authorId="1" shapeId="0" xr:uid="{2E3883A2-E3A6-4783-B4AC-538138B8E3EE}">
      <text>
        <r>
          <rPr>
            <sz val="8"/>
            <color indexed="81"/>
            <rFont val="Tahoma"/>
            <family val="2"/>
          </rPr>
          <t>This cell will highlight in red where your forecast is lower than your actual to date - please revise or comment if correct</t>
        </r>
      </text>
    </comment>
    <comment ref="K41" authorId="1" shapeId="0" xr:uid="{570F2942-2D9B-4736-BC0F-8B06BA38FDC0}">
      <text>
        <r>
          <rPr>
            <sz val="8"/>
            <color indexed="81"/>
            <rFont val="Tahoma"/>
            <family val="2"/>
          </rPr>
          <t>This cell will highlight in red where your forecast is lower than your actual to date - please revise or comment if correct</t>
        </r>
      </text>
    </comment>
    <comment ref="K42" authorId="1" shapeId="0" xr:uid="{6BA71ACB-03EE-4991-8FAF-58010FD88996}">
      <text>
        <r>
          <rPr>
            <sz val="8"/>
            <color indexed="81"/>
            <rFont val="Tahoma"/>
            <family val="2"/>
          </rPr>
          <t>This cell will highlight in red where your forecast is lower than your actual to date - please revise or comment if correct</t>
        </r>
      </text>
    </comment>
    <comment ref="K43" authorId="1" shapeId="0" xr:uid="{EB651907-7282-4EC0-AFFB-782B27E0CC96}">
      <text>
        <r>
          <rPr>
            <sz val="8"/>
            <color indexed="81"/>
            <rFont val="Tahoma"/>
            <family val="2"/>
          </rPr>
          <t>This cell will highlight in red where your forecast is lower than your actual to date - please revise or comment if correct</t>
        </r>
      </text>
    </comment>
    <comment ref="K44" authorId="1" shapeId="0" xr:uid="{5A534BC7-6118-4B64-8A47-9EDE3F2C2AC7}">
      <text>
        <r>
          <rPr>
            <sz val="8"/>
            <color indexed="81"/>
            <rFont val="Tahoma"/>
            <family val="2"/>
          </rPr>
          <t>This cell will highlight in red where your forecast is lower than your actual to date - please revise or comment if correct</t>
        </r>
      </text>
    </comment>
    <comment ref="K45" authorId="1" shapeId="0" xr:uid="{A2634BE4-4488-41D8-ADC1-B32CC14D68D7}">
      <text>
        <r>
          <rPr>
            <sz val="8"/>
            <color indexed="81"/>
            <rFont val="Tahoma"/>
            <family val="2"/>
          </rPr>
          <t>This cell will highlight in red where your forecast is lower than your actual to date - please revise or comment if correct</t>
        </r>
      </text>
    </comment>
    <comment ref="O45" authorId="0" shapeId="0" xr:uid="{E033E205-8776-4A3F-A566-2DABCA6048EB}">
      <text>
        <r>
          <rPr>
            <sz val="10"/>
            <rFont val="Arial"/>
          </rPr>
          <t>Sam Walker:
even though forecast is less than budgeted?</t>
        </r>
      </text>
    </comment>
    <comment ref="K46" authorId="1" shapeId="0" xr:uid="{E66B50DB-4DC1-4741-A229-F05668574BDD}">
      <text>
        <r>
          <rPr>
            <sz val="8"/>
            <color indexed="81"/>
            <rFont val="Tahoma"/>
            <family val="2"/>
          </rPr>
          <t>This cell will highlight in red where your forecast is lower than your actual to date - please revise or comment if correct</t>
        </r>
      </text>
    </comment>
    <comment ref="O46" authorId="0" shapeId="0" xr:uid="{288085F6-AFAE-4C98-95BC-B1A66BD2E5FC}">
      <text>
        <r>
          <rPr>
            <sz val="10"/>
            <rFont val="Arial"/>
          </rPr>
          <t>Sam Walker:
even though forecast is less than budgeted?</t>
        </r>
      </text>
    </comment>
    <comment ref="K47" authorId="1" shapeId="0" xr:uid="{9D2351F6-48E8-473B-B5A1-86C63598F9EE}">
      <text>
        <r>
          <rPr>
            <sz val="8"/>
            <color indexed="81"/>
            <rFont val="Tahoma"/>
            <family val="2"/>
          </rPr>
          <t>This cell will highlight in red where your forecast is lower than your actual to date - please revise or comment if correct</t>
        </r>
      </text>
    </comment>
    <comment ref="K48" authorId="1" shapeId="0" xr:uid="{E3B1E484-0B6D-4C62-9EB0-30607FA33C83}">
      <text>
        <r>
          <rPr>
            <sz val="8"/>
            <color indexed="81"/>
            <rFont val="Tahoma"/>
            <family val="2"/>
          </rPr>
          <t>This cell will highlight in red where your forecast is lower than your actual to date - please revise or comment if correct</t>
        </r>
      </text>
    </comment>
    <comment ref="K49" authorId="1" shapeId="0" xr:uid="{25AA0B13-D678-443C-9463-7CF73A988F9A}">
      <text>
        <r>
          <rPr>
            <sz val="8"/>
            <color indexed="81"/>
            <rFont val="Tahoma"/>
            <family val="2"/>
          </rPr>
          <t>This cell will highlight in red where your forecast is lower than your actual to date - please revise or comment if correct</t>
        </r>
      </text>
    </comment>
    <comment ref="K50" authorId="1" shapeId="0" xr:uid="{9A5D4A3E-7FFE-41C5-BC27-C97FD4620385}">
      <text>
        <r>
          <rPr>
            <sz val="8"/>
            <color indexed="81"/>
            <rFont val="Tahoma"/>
            <family val="2"/>
          </rPr>
          <t>This cell will highlight in red where your forecast is lower than your actual to date - please revise or comment if correct</t>
        </r>
      </text>
    </comment>
    <comment ref="K51" authorId="1" shapeId="0" xr:uid="{434F701F-AF4E-4281-82F0-B8CF8F2D5528}">
      <text>
        <r>
          <rPr>
            <sz val="8"/>
            <color indexed="81"/>
            <rFont val="Tahoma"/>
            <family val="2"/>
          </rPr>
          <t>This cell will highlight in red where your forecast is lower than your actual to date - please revise or comment if correct</t>
        </r>
      </text>
    </comment>
    <comment ref="K52" authorId="1" shapeId="0" xr:uid="{71561D22-82F0-44C1-99BA-0EEF44DE46B6}">
      <text>
        <r>
          <rPr>
            <sz val="8"/>
            <color indexed="81"/>
            <rFont val="Tahoma"/>
            <family val="2"/>
          </rPr>
          <t>This cell will highlight in red where your forecast is lower than your actual to date - please revise or comment if correct</t>
        </r>
      </text>
    </comment>
    <comment ref="K53" authorId="1" shapeId="0" xr:uid="{F58BB6A5-041F-461C-A2D4-236B37CAE89A}">
      <text>
        <r>
          <rPr>
            <sz val="8"/>
            <color indexed="81"/>
            <rFont val="Tahoma"/>
            <family val="2"/>
          </rPr>
          <t>This cell will highlight in red where your forecast is lower than your actual to date - please revise or comment if correct</t>
        </r>
      </text>
    </comment>
    <comment ref="K54" authorId="1" shapeId="0" xr:uid="{AE1A1A33-77F9-491F-9169-F646F2AF45BA}">
      <text>
        <r>
          <rPr>
            <sz val="8"/>
            <color indexed="81"/>
            <rFont val="Tahoma"/>
            <family val="2"/>
          </rPr>
          <t>This cell will highlight in red where your forecast is lower than your actual to date - please revise or comment if correct</t>
        </r>
      </text>
    </comment>
    <comment ref="K55" authorId="1" shapeId="0" xr:uid="{59CE95C5-A39F-4EFF-B47C-FE1D5E7673A4}">
      <text>
        <r>
          <rPr>
            <sz val="8"/>
            <color indexed="81"/>
            <rFont val="Tahoma"/>
            <family val="2"/>
          </rPr>
          <t>This cell will highlight in red where your forecast is lower than your actual to date - please revise or comment if correct</t>
        </r>
      </text>
    </comment>
    <comment ref="K56" authorId="1" shapeId="0" xr:uid="{E7A9D169-8BC5-4D62-A1E1-EE0672A528C0}">
      <text>
        <r>
          <rPr>
            <sz val="8"/>
            <color indexed="81"/>
            <rFont val="Tahoma"/>
            <family val="2"/>
          </rPr>
          <t>This cell will highlight in red where your forecast is lower than your actual to date - please revise or comment if correct</t>
        </r>
      </text>
    </comment>
    <comment ref="K57" authorId="1" shapeId="0" xr:uid="{AE3C71D8-DD58-4B33-8CCD-D9566608878B}">
      <text>
        <r>
          <rPr>
            <sz val="8"/>
            <color indexed="81"/>
            <rFont val="Tahoma"/>
            <family val="2"/>
          </rPr>
          <t>This cell will highlight in red where your forecast is lower than your actual to date - please revise or comment if correct</t>
        </r>
      </text>
    </comment>
    <comment ref="K58" authorId="1" shapeId="0" xr:uid="{697CAB3E-1485-4267-9241-6BBDA2D7D7F5}">
      <text>
        <r>
          <rPr>
            <sz val="8"/>
            <color indexed="81"/>
            <rFont val="Tahoma"/>
            <family val="2"/>
          </rPr>
          <t>This cell will highlight in red where your forecast is lower than your actual to date - please revise or comment if correct</t>
        </r>
      </text>
    </comment>
    <comment ref="O58" authorId="0" shapeId="0" xr:uid="{E4DF937F-C390-4EE9-98D0-EDB47F9B2A35}">
      <text>
        <r>
          <rPr>
            <sz val="10"/>
            <rFont val="Arial"/>
          </rPr>
          <t>Sam Walker:
would we encourage amounts to be included in comment for trips?</t>
        </r>
      </text>
    </comment>
    <comment ref="K60" authorId="1" shapeId="0" xr:uid="{C8AD53D3-E2D7-4B6B-9977-D0DCA5B48637}">
      <text>
        <r>
          <rPr>
            <sz val="8"/>
            <color indexed="81"/>
            <rFont val="Tahoma"/>
            <family val="2"/>
          </rPr>
          <t>This cell will highlight in red where your forecast is lower than your actual to date - please revise or comment if correct</t>
        </r>
      </text>
    </comment>
    <comment ref="K61" authorId="1" shapeId="0" xr:uid="{E711968B-9CEC-41B4-A5D8-67961E6FBFB3}">
      <text>
        <r>
          <rPr>
            <sz val="8"/>
            <color indexed="81"/>
            <rFont val="Tahoma"/>
            <family val="2"/>
          </rPr>
          <t>This cell will highlight in red where your forecast is lower than your actual to date - please revise or comment if correct</t>
        </r>
      </text>
    </comment>
    <comment ref="K62" authorId="1" shapeId="0" xr:uid="{BF8CC97C-0845-4739-8857-2D19BDBA1FB7}">
      <text>
        <r>
          <rPr>
            <sz val="8"/>
            <color indexed="81"/>
            <rFont val="Tahoma"/>
            <family val="2"/>
          </rPr>
          <t>This cell will highlight in red where your forecast is lower than your actual to date - please revise or comment if correct</t>
        </r>
      </text>
    </comment>
    <comment ref="K63" authorId="1" shapeId="0" xr:uid="{D152F8B9-6ADF-49EB-9DE0-C3BC87CE8729}">
      <text>
        <r>
          <rPr>
            <sz val="8"/>
            <color indexed="81"/>
            <rFont val="Tahoma"/>
            <family val="2"/>
          </rPr>
          <t>This cell will highlight in red where your forecast is lower than your actual to date - please revise or comment if correct</t>
        </r>
      </text>
    </comment>
    <comment ref="K64" authorId="1" shapeId="0" xr:uid="{37944783-A7A2-4B37-8862-DC5C1DD342BA}">
      <text>
        <r>
          <rPr>
            <sz val="8"/>
            <color indexed="81"/>
            <rFont val="Tahoma"/>
            <family val="2"/>
          </rPr>
          <t>This cell will highlight in red where your forecast is lower than your actual to date - please revise or comment if correct</t>
        </r>
      </text>
    </comment>
    <comment ref="K65" authorId="1" shapeId="0" xr:uid="{7FFB7EEE-DC74-4FF1-A2CB-43ED95E75F9D}">
      <text>
        <r>
          <rPr>
            <sz val="8"/>
            <color indexed="81"/>
            <rFont val="Tahoma"/>
            <family val="2"/>
          </rPr>
          <t>This cell will highlight in red where your forecast is lower than your actual to date - please revise or comment if correct</t>
        </r>
      </text>
    </comment>
    <comment ref="K66" authorId="1" shapeId="0" xr:uid="{1B3B917F-402F-440E-BB29-FE4F9E743E30}">
      <text>
        <r>
          <rPr>
            <sz val="8"/>
            <color indexed="81"/>
            <rFont val="Tahoma"/>
            <family val="2"/>
          </rPr>
          <t>This cell will highlight in red where your forecast is lower than your actual to date - please revise or comment if correct</t>
        </r>
      </text>
    </comment>
    <comment ref="K67" authorId="1" shapeId="0" xr:uid="{D073B694-B0E4-4BB6-8643-DEB5E664FD59}">
      <text>
        <r>
          <rPr>
            <sz val="8"/>
            <color indexed="81"/>
            <rFont val="Tahoma"/>
            <family val="2"/>
          </rPr>
          <t>This cell will highlight in red where your forecast is lower than your actual to date - please revise or comment if correct</t>
        </r>
      </text>
    </comment>
    <comment ref="K68" authorId="1" shapeId="0" xr:uid="{16AE536A-0331-450F-BF63-BB5E0EEDBD69}">
      <text>
        <r>
          <rPr>
            <sz val="8"/>
            <color indexed="81"/>
            <rFont val="Tahoma"/>
            <family val="2"/>
          </rPr>
          <t>This cell will highlight in red where your forecast is lower than your actual to date - please revise or comment if correct</t>
        </r>
      </text>
    </comment>
    <comment ref="K69" authorId="1" shapeId="0" xr:uid="{A852278A-7E6E-46CC-8A85-98E89AEF87F7}">
      <text>
        <r>
          <rPr>
            <sz val="8"/>
            <color indexed="81"/>
            <rFont val="Tahoma"/>
            <family val="2"/>
          </rPr>
          <t>This cell will highlight in red where your forecast is lower than your actual to date - please revise or comment if correct</t>
        </r>
      </text>
    </comment>
    <comment ref="K70" authorId="1" shapeId="0" xr:uid="{71C03654-E8A6-4C63-92ED-B98A0C18C5C6}">
      <text>
        <r>
          <rPr>
            <sz val="8"/>
            <color indexed="81"/>
            <rFont val="Tahoma"/>
            <family val="2"/>
          </rPr>
          <t>This cell will highlight in red where the value does not match the value in CI04 - please revise</t>
        </r>
      </text>
    </comment>
    <comment ref="C79" authorId="1" shapeId="0" xr:uid="{CE17E0CD-C4E5-4B37-9F0F-31055DC82094}">
      <text>
        <r>
          <rPr>
            <sz val="8"/>
            <color indexed="81"/>
            <rFont val="Tahoma"/>
            <family val="2"/>
          </rPr>
          <t>Pre-populated</t>
        </r>
        <r>
          <rPr>
            <sz val="8"/>
            <color indexed="81"/>
            <rFont val="Tahoma"/>
            <family val="2"/>
          </rPr>
          <t xml:space="preserve">
</t>
        </r>
      </text>
    </comment>
    <comment ref="E79" authorId="1" shapeId="0" xr:uid="{525537DD-B31D-4A12-AF35-A85DC5EF53D1}">
      <text>
        <r>
          <rPr>
            <sz val="8"/>
            <color indexed="81"/>
            <rFont val="Tahoma"/>
            <family val="2"/>
          </rPr>
          <t>Pre-populated from Approved Budget</t>
        </r>
        <r>
          <rPr>
            <sz val="8"/>
            <color indexed="81"/>
            <rFont val="Tahoma"/>
            <family val="2"/>
          </rPr>
          <t xml:space="preserve">
</t>
        </r>
      </text>
    </comment>
    <comment ref="G79" authorId="1" shapeId="0" xr:uid="{63E00857-2284-44E0-92A5-FFC904A9E2E3}">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1" shapeId="0" xr:uid="{3447BED3-5BF1-47F7-A0E5-50106E4EB323}">
      <text>
        <r>
          <rPr>
            <sz val="8"/>
            <color indexed="81"/>
            <rFont val="Tahoma"/>
            <family val="2"/>
          </rPr>
          <t xml:space="preserve">This cell will highlight in red where the cumulative balance is a deficit
</t>
        </r>
      </text>
    </comment>
    <comment ref="K88" authorId="1" shapeId="0" xr:uid="{F44D4DAD-67EB-4FC5-9795-19AB491534D2}">
      <text>
        <r>
          <rPr>
            <sz val="8"/>
            <color indexed="81"/>
            <rFont val="Tahoma"/>
            <family val="2"/>
          </rPr>
          <t>This cell will highlight in red where the value does not match the value in CI04 - please revise</t>
        </r>
      </text>
    </comment>
    <comment ref="K89" authorId="1" shapeId="0" xr:uid="{84F507A7-B588-47F6-89AE-919A0BB3F8E1}">
      <text>
        <r>
          <rPr>
            <sz val="8"/>
            <color indexed="81"/>
            <rFont val="Tahoma"/>
            <family val="2"/>
          </rPr>
          <t>This cell will highlight in red where the value does not match the value in CI04 - please revise</t>
        </r>
      </text>
    </comment>
    <comment ref="K93" authorId="1" shapeId="0" xr:uid="{BC63EA53-0368-4E1D-8F9B-AC7FF4B81F76}">
      <text>
        <r>
          <rPr>
            <sz val="8"/>
            <color indexed="81"/>
            <rFont val="Tahoma"/>
            <family val="2"/>
          </rPr>
          <t>This cell will highlight in red where the value does not match the value in CI04 - please revise</t>
        </r>
      </text>
    </comment>
    <comment ref="K94" authorId="1" shapeId="0" xr:uid="{5C657232-852B-467C-832B-1559B8E8C93A}">
      <text>
        <r>
          <rPr>
            <sz val="8"/>
            <color indexed="81"/>
            <rFont val="Tahoma"/>
            <family val="2"/>
          </rPr>
          <t>This cell will highlight in red where the value does not match the value in CI04 - please revise</t>
        </r>
      </text>
    </comment>
    <comment ref="C102" authorId="1" shapeId="0" xr:uid="{47BF85CB-36C7-4247-8349-A127424EACB3}">
      <text>
        <r>
          <rPr>
            <sz val="8"/>
            <color indexed="81"/>
            <rFont val="Tahoma"/>
            <family val="2"/>
          </rPr>
          <t>Pre-populated</t>
        </r>
        <r>
          <rPr>
            <sz val="8"/>
            <color indexed="81"/>
            <rFont val="Tahoma"/>
            <family val="2"/>
          </rPr>
          <t xml:space="preserve">
</t>
        </r>
      </text>
    </comment>
    <comment ref="E102" authorId="1" shapeId="0" xr:uid="{AB5B4A12-9187-46D5-8C90-015EFCDAAD15}">
      <text>
        <r>
          <rPr>
            <sz val="8"/>
            <color indexed="81"/>
            <rFont val="Tahoma"/>
            <family val="2"/>
          </rPr>
          <t>Pre-populated from Approved Budget</t>
        </r>
        <r>
          <rPr>
            <sz val="8"/>
            <color indexed="81"/>
            <rFont val="Tahoma"/>
            <family val="2"/>
          </rPr>
          <t xml:space="preserve">
</t>
        </r>
      </text>
    </comment>
    <comment ref="G102" authorId="1" shapeId="0" xr:uid="{708DFF1D-F0D2-46AC-B68A-831D798DC255}">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1" shapeId="0" xr:uid="{88D1E4A9-E256-446A-99A3-BE8D62C32049}">
      <text>
        <r>
          <rPr>
            <sz val="8"/>
            <color indexed="81"/>
            <rFont val="Tahoma"/>
            <family val="2"/>
          </rPr>
          <t xml:space="preserve">This cell will highlight in red where the cumulative balance is a deficit
</t>
        </r>
      </text>
    </comment>
    <comment ref="C106" authorId="1" shapeId="0" xr:uid="{B87EAB60-AB77-47C1-B2A5-E6AA0F79CA59}">
      <text>
        <r>
          <rPr>
            <sz val="8"/>
            <color indexed="81"/>
            <rFont val="Tahoma"/>
            <family val="2"/>
          </rPr>
          <t>Pre-populated</t>
        </r>
        <r>
          <rPr>
            <sz val="8"/>
            <color indexed="81"/>
            <rFont val="Tahoma"/>
            <family val="2"/>
          </rPr>
          <t xml:space="preserve">
</t>
        </r>
      </text>
    </comment>
    <comment ref="E106" authorId="1" shapeId="0" xr:uid="{DDE0079D-164A-4484-B8C1-3DB45388D559}">
      <text>
        <r>
          <rPr>
            <sz val="8"/>
            <color indexed="81"/>
            <rFont val="Tahoma"/>
            <family val="2"/>
          </rPr>
          <t>Pre-populated from Approved Budget</t>
        </r>
        <r>
          <rPr>
            <sz val="8"/>
            <color indexed="81"/>
            <rFont val="Tahoma"/>
            <family val="2"/>
          </rPr>
          <t xml:space="preserve">
</t>
        </r>
      </text>
    </comment>
    <comment ref="K106" authorId="1" shapeId="0" xr:uid="{C961D8AC-385C-4834-AC5E-08AE5C1C70A8}">
      <text>
        <r>
          <rPr>
            <sz val="8"/>
            <color indexed="81"/>
            <rFont val="Tahoma"/>
            <family val="2"/>
          </rPr>
          <t>please enter here the value of your forecasted carry forward at March 20134 committed to specific schemes</t>
        </r>
      </text>
    </comment>
    <comment ref="C107" authorId="1" shapeId="0" xr:uid="{B4DADA01-AAA7-4DFD-84B3-C05B2389398F}">
      <text>
        <r>
          <rPr>
            <sz val="8"/>
            <color indexed="81"/>
            <rFont val="Tahoma"/>
            <family val="2"/>
          </rPr>
          <t>Pre-populated</t>
        </r>
        <r>
          <rPr>
            <sz val="8"/>
            <color indexed="81"/>
            <rFont val="Tahoma"/>
            <family val="2"/>
          </rPr>
          <t xml:space="preserve">
</t>
        </r>
      </text>
    </comment>
    <comment ref="E107" authorId="1" shapeId="0" xr:uid="{C9388EBD-7BEB-455E-927D-48D32BC47E87}">
      <text>
        <r>
          <rPr>
            <sz val="8"/>
            <color indexed="81"/>
            <rFont val="Tahoma"/>
            <family val="2"/>
          </rPr>
          <t>Pre-populated from Approved Budget</t>
        </r>
        <r>
          <rPr>
            <sz val="8"/>
            <color indexed="81"/>
            <rFont val="Tahoma"/>
            <family val="2"/>
          </rPr>
          <t xml:space="preserve">
</t>
        </r>
      </text>
    </comment>
    <comment ref="K107" authorId="1" shapeId="0" xr:uid="{A2CBFA8F-042D-4212-B167-063F3C2FFC48}">
      <text>
        <r>
          <rPr>
            <sz val="8"/>
            <color indexed="81"/>
            <rFont val="Tahoma"/>
            <family val="2"/>
          </rPr>
          <t>this is the remaining balance not recorded as B01 or B06</t>
        </r>
      </text>
    </comment>
    <comment ref="C108" authorId="1" shapeId="0" xr:uid="{29B9EF2E-1CC1-4549-85AA-603480A313A8}">
      <text>
        <r>
          <rPr>
            <sz val="8"/>
            <color indexed="81"/>
            <rFont val="Tahoma"/>
            <family val="2"/>
          </rPr>
          <t>Pre-populated</t>
        </r>
        <r>
          <rPr>
            <sz val="8"/>
            <color indexed="81"/>
            <rFont val="Tahoma"/>
            <family val="2"/>
          </rPr>
          <t xml:space="preserve">
</t>
        </r>
      </text>
    </comment>
    <comment ref="E108" authorId="1" shapeId="0" xr:uid="{4A3B1AF6-C818-486D-93D1-AEAF3C4C07A4}">
      <text>
        <r>
          <rPr>
            <sz val="8"/>
            <color indexed="81"/>
            <rFont val="Tahoma"/>
            <family val="2"/>
          </rPr>
          <t>Pre-populated from Approved Budget</t>
        </r>
        <r>
          <rPr>
            <sz val="8"/>
            <color indexed="81"/>
            <rFont val="Tahoma"/>
            <family val="2"/>
          </rPr>
          <t xml:space="preserve">
</t>
        </r>
      </text>
    </comment>
    <comment ref="K109" authorId="1" shapeId="0" xr:uid="{26A8E1F9-C87E-41D1-893B-D222EEE3A937}">
      <text>
        <r>
          <rPr>
            <sz val="8"/>
            <color indexed="81"/>
            <rFont val="Tahoma"/>
            <family val="2"/>
          </rPr>
          <t xml:space="preserve">This cell will highlight in red where the cumulative balance is a deficit
</t>
        </r>
      </text>
    </comment>
    <comment ref="K124" authorId="1" shapeId="0" xr:uid="{93C53195-8C53-46FD-BF2A-657996B81126}">
      <text>
        <r>
          <rPr>
            <sz val="8"/>
            <color indexed="81"/>
            <rFont val="Tahoma"/>
            <family val="2"/>
          </rPr>
          <t>This cell will highlight in red where your forecast is lower than your actual to date - please revise or comment if correct</t>
        </r>
      </text>
    </comment>
    <comment ref="K125" authorId="1" shapeId="0" xr:uid="{949481E8-67FC-40B9-B06D-6C1641ACBF94}">
      <text>
        <r>
          <rPr>
            <sz val="8"/>
            <color indexed="81"/>
            <rFont val="Tahoma"/>
            <family val="2"/>
          </rPr>
          <t>This cell will highlight in red where your forecast is lower than your actual to date - please revise or comment if correct</t>
        </r>
      </text>
    </comment>
    <comment ref="K126" authorId="1" shapeId="0" xr:uid="{25B9BC35-D48B-4C79-BA6D-CAD4ECBC78C1}">
      <text>
        <r>
          <rPr>
            <sz val="8"/>
            <color indexed="81"/>
            <rFont val="Tahoma"/>
            <family val="2"/>
          </rPr>
          <t>This cell will highlight in red where your forecast is lower than your actual to date - please revise or comment if correct</t>
        </r>
      </text>
    </comment>
    <comment ref="K130" authorId="1" shapeId="0" xr:uid="{52E626EA-4C4C-4034-B09E-1655DF924C88}">
      <text>
        <r>
          <rPr>
            <sz val="8"/>
            <color indexed="81"/>
            <rFont val="Tahoma"/>
            <family val="2"/>
          </rPr>
          <t>This cell will highlight in red where your forecast is lower than your actual to date - please revise or comment if correct</t>
        </r>
      </text>
    </comment>
    <comment ref="K131" authorId="1" shapeId="0" xr:uid="{BF61D490-2B34-49E0-87CD-6F13F9B45F78}">
      <text>
        <r>
          <rPr>
            <sz val="8"/>
            <color indexed="81"/>
            <rFont val="Tahoma"/>
            <family val="2"/>
          </rPr>
          <t>This cell will highlight in red where your forecast is lower than your actual to date - please revise or comment if correct</t>
        </r>
      </text>
    </comment>
    <comment ref="K132" authorId="1" shapeId="0" xr:uid="{E70D6E26-4C6C-4321-8867-28C180121C4F}">
      <text>
        <r>
          <rPr>
            <sz val="8"/>
            <color indexed="81"/>
            <rFont val="Tahoma"/>
            <family val="2"/>
          </rPr>
          <t>This cell will highlight in red where your forecast is lower than your actual to date - please revise or comment if correct</t>
        </r>
      </text>
    </comment>
    <comment ref="O133" authorId="0" shapeId="0" xr:uid="{3795FD29-2AFF-451C-87B0-EEE72AB69D79}">
      <text>
        <r>
          <rPr>
            <b/>
            <sz val="9"/>
            <color indexed="81"/>
            <rFont val="Tahoma"/>
            <charset val="1"/>
          </rPr>
          <t>Sam Walker:</t>
        </r>
        <r>
          <rPr>
            <sz val="9"/>
            <color indexed="81"/>
            <rFont val="Tahoma"/>
            <charset val="1"/>
          </rPr>
          <t xml:space="preserve">
Do they need to add what they plan to do with this overspend? Eg asking for capitalisation of revenue? Do we ask them in comment below eg Capital budgets cannot be in deficit at year end, Please check coded expenditure, can some of this be coded to Revenue to take you out of a deficit position?</t>
        </r>
      </text>
    </comment>
    <comment ref="C137" authorId="1" shapeId="0" xr:uid="{8DC6E43A-39B0-492D-833A-0E83F03DC8CA}">
      <text>
        <r>
          <rPr>
            <sz val="8"/>
            <color indexed="81"/>
            <rFont val="Tahoma"/>
            <family val="2"/>
          </rPr>
          <t>Pre-populated</t>
        </r>
        <r>
          <rPr>
            <sz val="8"/>
            <color indexed="81"/>
            <rFont val="Tahoma"/>
            <family val="2"/>
          </rPr>
          <t xml:space="preserve">
</t>
        </r>
      </text>
    </comment>
    <comment ref="E137" authorId="1" shapeId="0" xr:uid="{BDB74353-6F77-4A6B-A87A-563E1B0B374A}">
      <text>
        <r>
          <rPr>
            <sz val="8"/>
            <color indexed="81"/>
            <rFont val="Tahoma"/>
            <family val="2"/>
          </rPr>
          <t>Pre-populated from Approved Budget</t>
        </r>
        <r>
          <rPr>
            <sz val="8"/>
            <color indexed="81"/>
            <rFont val="Tahoma"/>
            <family val="2"/>
          </rPr>
          <t xml:space="preserve">
</t>
        </r>
      </text>
    </comment>
    <comment ref="G137" authorId="1" shapeId="0" xr:uid="{B028F733-2662-4C3E-8BDC-600E4CADAEC5}">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2" shapeId="0" xr:uid="{4909ADD4-C29B-44F6-98E7-A57F6EBEEEB0}">
      <text>
        <r>
          <rPr>
            <b/>
            <sz val="9"/>
            <color indexed="81"/>
            <rFont val="Tahoma"/>
            <family val="2"/>
          </rPr>
          <t>Stephanie Kirbyshire:</t>
        </r>
        <r>
          <rPr>
            <sz val="9"/>
            <color indexed="81"/>
            <rFont val="Tahoma"/>
            <family val="2"/>
          </rPr>
          <t xml:space="preserve">
Changed from …and Preschool in Oct 24 at GP's request.
</t>
        </r>
      </text>
    </comment>
    <comment ref="A294" authorId="3" shapeId="0" xr:uid="{7CDE45E0-F5A2-4222-85FC-D42E85A95957}">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4" shapeId="0" xr:uid="{36BB96CD-7366-48F3-98F2-E64BB911264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andrew.redding</author>
    <author>Stephanie Kirbyshire</author>
    <author>tc={92E5C62F-3FA0-4190-B1DC-CE77736A49D0}</author>
    <author>tc={FCE614A8-2D96-4724-B2FB-0C27B7908858}</author>
  </authors>
  <commentList>
    <comment ref="K17" authorId="0" shapeId="0" xr:uid="{00000000-0006-0000-0400-000002000000}">
      <text>
        <r>
          <rPr>
            <sz val="8"/>
            <color indexed="81"/>
            <rFont val="Tahoma"/>
            <family val="2"/>
          </rPr>
          <t>This cell will highlight in red where your forecast is lower than your actual to date - please revise or comment if correct</t>
        </r>
      </text>
    </comment>
    <comment ref="K18" authorId="0" shapeId="0" xr:uid="{00000000-0006-0000-0400-000003000000}">
      <text>
        <r>
          <rPr>
            <sz val="8"/>
            <color indexed="81"/>
            <rFont val="Tahoma"/>
            <family val="2"/>
          </rPr>
          <t>This cell will highlight in red where your forecast is lower than your actual to date - please revise or comment if correct</t>
        </r>
      </text>
    </comment>
    <comment ref="K19" authorId="0" shapeId="0" xr:uid="{00000000-0006-0000-0400-000004000000}">
      <text>
        <r>
          <rPr>
            <sz val="8"/>
            <color indexed="81"/>
            <rFont val="Tahoma"/>
            <family val="2"/>
          </rPr>
          <t>This cell will highlight in red where your forecast is lower than your actual to date - please revise or comment if correct</t>
        </r>
      </text>
    </comment>
    <comment ref="K20" authorId="0" shapeId="0" xr:uid="{00000000-0006-0000-0400-000005000000}">
      <text>
        <r>
          <rPr>
            <sz val="8"/>
            <color indexed="81"/>
            <rFont val="Tahoma"/>
            <family val="2"/>
          </rPr>
          <t>This cell will highlight in red where your forecast is lower than your actual to date - please revise or comment if correct</t>
        </r>
      </text>
    </comment>
    <comment ref="K21" authorId="0" shapeId="0" xr:uid="{00000000-0006-0000-0400-000006000000}">
      <text>
        <r>
          <rPr>
            <sz val="8"/>
            <color indexed="81"/>
            <rFont val="Tahoma"/>
            <family val="2"/>
          </rPr>
          <t>This cell will highlight in red where your forecast is lower than your actual to date - please revise or comment if correct</t>
        </r>
      </text>
    </comment>
    <comment ref="K22" authorId="0" shapeId="0" xr:uid="{00000000-0006-0000-0400-000007000000}">
      <text>
        <r>
          <rPr>
            <sz val="8"/>
            <color indexed="81"/>
            <rFont val="Tahoma"/>
            <family val="2"/>
          </rPr>
          <t>This cell will highlight in red where your forecast is lower than your actual to date - please revise or comment if correct</t>
        </r>
      </text>
    </comment>
    <comment ref="K23" authorId="0" shapeId="0" xr:uid="{00000000-0006-0000-0400-000008000000}">
      <text>
        <r>
          <rPr>
            <sz val="8"/>
            <color indexed="81"/>
            <rFont val="Tahoma"/>
            <family val="2"/>
          </rPr>
          <t>This cell will highlight in red where your forecast is lower than your actual to date - please revise or comment if correct</t>
        </r>
      </text>
    </comment>
    <comment ref="K24" authorId="0" shapeId="0" xr:uid="{00000000-0006-0000-0400-000009000000}">
      <text>
        <r>
          <rPr>
            <sz val="8"/>
            <color indexed="81"/>
            <rFont val="Tahoma"/>
            <family val="2"/>
          </rPr>
          <t>This cell will highlight in red where your forecast is lower than your actual to date - please revise or comment if correct</t>
        </r>
      </text>
    </comment>
    <comment ref="K25" authorId="0" shapeId="0" xr:uid="{00000000-0006-0000-0400-00000A000000}">
      <text>
        <r>
          <rPr>
            <sz val="8"/>
            <color indexed="81"/>
            <rFont val="Tahoma"/>
            <family val="2"/>
          </rPr>
          <t>This cell will highlight in red where your forecast is lower than your actual to date - please revise or comment if correct</t>
        </r>
      </text>
    </comment>
    <comment ref="K26" authorId="0" shapeId="0" xr:uid="{00000000-0006-0000-0400-00000B000000}">
      <text>
        <r>
          <rPr>
            <sz val="8"/>
            <color indexed="81"/>
            <rFont val="Tahoma"/>
            <family val="2"/>
          </rPr>
          <t>This cell will highlight in red where your forecast is lower than your actual to date - please revise or comment if correct</t>
        </r>
      </text>
    </comment>
    <comment ref="K27" authorId="0" shapeId="0" xr:uid="{00000000-0006-0000-0400-00000C000000}">
      <text>
        <r>
          <rPr>
            <sz val="8"/>
            <color indexed="81"/>
            <rFont val="Tahoma"/>
            <family val="2"/>
          </rPr>
          <t>This cell will highlight in red where your forecast is lower than your actual to date - please revise or comment if correct</t>
        </r>
      </text>
    </comment>
    <comment ref="K28" authorId="0" shapeId="0" xr:uid="{00000000-0006-0000-0400-00000D000000}">
      <text>
        <r>
          <rPr>
            <sz val="8"/>
            <color indexed="81"/>
            <rFont val="Tahoma"/>
            <family val="2"/>
          </rPr>
          <t>This cell will highlight in red where your forecast is lower than your actual to date - please revise or comment if correct</t>
        </r>
      </text>
    </comment>
    <comment ref="K29" authorId="0" shapeId="0" xr:uid="{00000000-0006-0000-0400-00000E000000}">
      <text>
        <r>
          <rPr>
            <sz val="8"/>
            <color indexed="81"/>
            <rFont val="Tahoma"/>
            <family val="2"/>
          </rPr>
          <t>This cell will highlight in red where your forecast is lower than your actual to date - please revise or comment if correct</t>
        </r>
      </text>
    </comment>
    <comment ref="K30" authorId="0" shapeId="0" xr:uid="{00000000-0006-0000-0400-00000F000000}">
      <text>
        <r>
          <rPr>
            <sz val="8"/>
            <color indexed="81"/>
            <rFont val="Tahoma"/>
            <family val="2"/>
          </rPr>
          <t>This cell will highlight in red where your forecast is lower than your actual to date - please revise or comment if correct</t>
        </r>
      </text>
    </comment>
    <comment ref="K31" authorId="0" shapeId="0" xr:uid="{00000000-0006-0000-0400-000010000000}">
      <text>
        <r>
          <rPr>
            <sz val="8"/>
            <color indexed="81"/>
            <rFont val="Tahoma"/>
            <family val="2"/>
          </rPr>
          <t>This cell will highlight in red where your forecast is lower than your actual to date - please revise or comment if correct</t>
        </r>
      </text>
    </comment>
    <comment ref="K32" authorId="0" shapeId="0" xr:uid="{00000000-0006-0000-0400-000011000000}">
      <text>
        <r>
          <rPr>
            <sz val="8"/>
            <color indexed="81"/>
            <rFont val="Tahoma"/>
            <family val="2"/>
          </rPr>
          <t>This cell will highlight in red where your forecast is lower than your actual to date - please revise or comment if correct</t>
        </r>
      </text>
    </comment>
    <comment ref="K33" authorId="0" shapeId="0" xr:uid="{00000000-0006-0000-0400-000012000000}">
      <text>
        <r>
          <rPr>
            <sz val="8"/>
            <color indexed="81"/>
            <rFont val="Tahoma"/>
            <family val="2"/>
          </rPr>
          <t>This cell will highlight in red where your forecast is lower than your actual to date - please revise or comment if correct</t>
        </r>
      </text>
    </comment>
    <comment ref="K34" authorId="0" shapeId="0" xr:uid="{00000000-0006-0000-0400-000013000000}">
      <text>
        <r>
          <rPr>
            <sz val="8"/>
            <color indexed="81"/>
            <rFont val="Tahoma"/>
            <family val="2"/>
          </rPr>
          <t>This cell will highlight in red where your forecast is lower than your actual to date - please revise or comment if correct</t>
        </r>
      </text>
    </comment>
    <comment ref="K40" authorId="0" shapeId="0" xr:uid="{A5DCA3D8-24C0-4F8E-B3A2-8C1C7DCFFE55}">
      <text>
        <r>
          <rPr>
            <sz val="8"/>
            <color indexed="81"/>
            <rFont val="Tahoma"/>
            <family val="2"/>
          </rPr>
          <t>This cell will highlight in red where your forecast is lower than your actual to date - please revise or comment if correct</t>
        </r>
      </text>
    </comment>
    <comment ref="K41" authorId="0" shapeId="0" xr:uid="{00000000-0006-0000-0400-000015000000}">
      <text>
        <r>
          <rPr>
            <sz val="8"/>
            <color indexed="81"/>
            <rFont val="Tahoma"/>
            <family val="2"/>
          </rPr>
          <t>This cell will highlight in red where your forecast is lower than your actual to date - please revise or comment if correct</t>
        </r>
      </text>
    </comment>
    <comment ref="K42" authorId="0" shapeId="0" xr:uid="{00000000-0006-0000-0400-000016000000}">
      <text>
        <r>
          <rPr>
            <sz val="8"/>
            <color indexed="81"/>
            <rFont val="Tahoma"/>
            <family val="2"/>
          </rPr>
          <t>This cell will highlight in red where your forecast is lower than your actual to date - please revise or comment if correct</t>
        </r>
      </text>
    </comment>
    <comment ref="K43" authorId="0" shapeId="0" xr:uid="{00000000-0006-0000-0400-000017000000}">
      <text>
        <r>
          <rPr>
            <sz val="8"/>
            <color indexed="81"/>
            <rFont val="Tahoma"/>
            <family val="2"/>
          </rPr>
          <t>This cell will highlight in red where your forecast is lower than your actual to date - please revise or comment if correct</t>
        </r>
      </text>
    </comment>
    <comment ref="K44" authorId="0" shapeId="0" xr:uid="{00000000-0006-0000-0400-000018000000}">
      <text>
        <r>
          <rPr>
            <sz val="8"/>
            <color indexed="81"/>
            <rFont val="Tahoma"/>
            <family val="2"/>
          </rPr>
          <t>This cell will highlight in red where your forecast is lower than your actual to date - please revise or comment if correct</t>
        </r>
      </text>
    </comment>
    <comment ref="K45" authorId="0" shapeId="0" xr:uid="{00000000-0006-0000-0400-000019000000}">
      <text>
        <r>
          <rPr>
            <sz val="8"/>
            <color indexed="81"/>
            <rFont val="Tahoma"/>
            <family val="2"/>
          </rPr>
          <t>This cell will highlight in red where your forecast is lower than your actual to date - please revise or comment if correct</t>
        </r>
      </text>
    </comment>
    <comment ref="K46" authorId="0" shapeId="0" xr:uid="{00000000-0006-0000-0400-00001A000000}">
      <text>
        <r>
          <rPr>
            <sz val="8"/>
            <color indexed="81"/>
            <rFont val="Tahoma"/>
            <family val="2"/>
          </rPr>
          <t>This cell will highlight in red where your forecast is lower than your actual to date - please revise or comment if correct</t>
        </r>
      </text>
    </comment>
    <comment ref="K47" authorId="0" shapeId="0" xr:uid="{00000000-0006-0000-0400-00001B000000}">
      <text>
        <r>
          <rPr>
            <sz val="8"/>
            <color indexed="81"/>
            <rFont val="Tahoma"/>
            <family val="2"/>
          </rPr>
          <t>This cell will highlight in red where your forecast is lower than your actual to date - please revise or comment if correct</t>
        </r>
      </text>
    </comment>
    <comment ref="K48" authorId="0" shapeId="0" xr:uid="{00000000-0006-0000-0400-00001C000000}">
      <text>
        <r>
          <rPr>
            <sz val="8"/>
            <color indexed="81"/>
            <rFont val="Tahoma"/>
            <family val="2"/>
          </rPr>
          <t>This cell will highlight in red where your forecast is lower than your actual to date - please revise or comment if correct</t>
        </r>
      </text>
    </comment>
    <comment ref="K49" authorId="0" shapeId="0" xr:uid="{00000000-0006-0000-0400-00001D000000}">
      <text>
        <r>
          <rPr>
            <sz val="8"/>
            <color indexed="81"/>
            <rFont val="Tahoma"/>
            <family val="2"/>
          </rPr>
          <t>This cell will highlight in red where your forecast is lower than your actual to date - please revise or comment if correct</t>
        </r>
      </text>
    </comment>
    <comment ref="K50" authorId="0" shapeId="0" xr:uid="{00000000-0006-0000-0400-00001E000000}">
      <text>
        <r>
          <rPr>
            <sz val="8"/>
            <color indexed="81"/>
            <rFont val="Tahoma"/>
            <family val="2"/>
          </rPr>
          <t>This cell will highlight in red where your forecast is lower than your actual to date - please revise or comment if correct</t>
        </r>
      </text>
    </comment>
    <comment ref="K51" authorId="0" shapeId="0" xr:uid="{00000000-0006-0000-0400-00001F000000}">
      <text>
        <r>
          <rPr>
            <sz val="8"/>
            <color indexed="81"/>
            <rFont val="Tahoma"/>
            <family val="2"/>
          </rPr>
          <t>This cell will highlight in red where your forecast is lower than your actual to date - please revise or comment if correct</t>
        </r>
      </text>
    </comment>
    <comment ref="K52" authorId="0" shapeId="0" xr:uid="{00000000-0006-0000-0400-000020000000}">
      <text>
        <r>
          <rPr>
            <sz val="8"/>
            <color indexed="81"/>
            <rFont val="Tahoma"/>
            <family val="2"/>
          </rPr>
          <t>This cell will highlight in red where your forecast is lower than your actual to date - please revise or comment if correct</t>
        </r>
      </text>
    </comment>
    <comment ref="K53" authorId="0" shapeId="0" xr:uid="{00000000-0006-0000-0400-000021000000}">
      <text>
        <r>
          <rPr>
            <sz val="8"/>
            <color indexed="81"/>
            <rFont val="Tahoma"/>
            <family val="2"/>
          </rPr>
          <t>This cell will highlight in red where your forecast is lower than your actual to date - please revise or comment if correct</t>
        </r>
      </text>
    </comment>
    <comment ref="K54" authorId="0" shapeId="0" xr:uid="{00000000-0006-0000-0400-000022000000}">
      <text>
        <r>
          <rPr>
            <sz val="8"/>
            <color indexed="81"/>
            <rFont val="Tahoma"/>
            <family val="2"/>
          </rPr>
          <t>This cell will highlight in red where your forecast is lower than your actual to date - please revise or comment if correct</t>
        </r>
      </text>
    </comment>
    <comment ref="K55" authorId="0" shapeId="0" xr:uid="{00000000-0006-0000-0400-000023000000}">
      <text>
        <r>
          <rPr>
            <sz val="8"/>
            <color indexed="81"/>
            <rFont val="Tahoma"/>
            <family val="2"/>
          </rPr>
          <t>This cell will highlight in red where your forecast is lower than your actual to date - please revise or comment if correct</t>
        </r>
      </text>
    </comment>
    <comment ref="K56" authorId="0" shapeId="0" xr:uid="{00000000-0006-0000-0400-000024000000}">
      <text>
        <r>
          <rPr>
            <sz val="8"/>
            <color indexed="81"/>
            <rFont val="Tahoma"/>
            <family val="2"/>
          </rPr>
          <t>This cell will highlight in red where your forecast is lower than your actual to date - please revise or comment if correct</t>
        </r>
      </text>
    </comment>
    <comment ref="K57" authorId="0" shapeId="0" xr:uid="{00000000-0006-0000-0400-000025000000}">
      <text>
        <r>
          <rPr>
            <sz val="8"/>
            <color indexed="81"/>
            <rFont val="Tahoma"/>
            <family val="2"/>
          </rPr>
          <t>This cell will highlight in red where your forecast is lower than your actual to date - please revise or comment if correct</t>
        </r>
      </text>
    </comment>
    <comment ref="K58" authorId="0" shapeId="0" xr:uid="{00000000-0006-0000-0400-000026000000}">
      <text>
        <r>
          <rPr>
            <sz val="8"/>
            <color indexed="81"/>
            <rFont val="Tahoma"/>
            <family val="2"/>
          </rPr>
          <t>This cell will highlight in red where your forecast is lower than your actual to date - please revise or comment if correct</t>
        </r>
      </text>
    </comment>
    <comment ref="K60" authorId="0" shapeId="0" xr:uid="{D47D1127-3CDF-47BF-9687-0CAEC9A5F341}">
      <text>
        <r>
          <rPr>
            <sz val="8"/>
            <color indexed="81"/>
            <rFont val="Tahoma"/>
            <family val="2"/>
          </rPr>
          <t>This cell will highlight in red where your forecast is lower than your actual to date - please revise or comment if correct</t>
        </r>
      </text>
    </comment>
    <comment ref="K61" authorId="0" shapeId="0" xr:uid="{00000000-0006-0000-0400-000029000000}">
      <text>
        <r>
          <rPr>
            <sz val="8"/>
            <color indexed="81"/>
            <rFont val="Tahoma"/>
            <family val="2"/>
          </rPr>
          <t>This cell will highlight in red where your forecast is lower than your actual to date - please revise or comment if correct</t>
        </r>
      </text>
    </comment>
    <comment ref="K62" authorId="0" shapeId="0" xr:uid="{00000000-0006-0000-0400-00002A000000}">
      <text>
        <r>
          <rPr>
            <sz val="8"/>
            <color indexed="81"/>
            <rFont val="Tahoma"/>
            <family val="2"/>
          </rPr>
          <t>This cell will highlight in red where your forecast is lower than your actual to date - please revise or comment if correct</t>
        </r>
      </text>
    </comment>
    <comment ref="K63" authorId="0" shapeId="0" xr:uid="{00000000-0006-0000-0400-00002B000000}">
      <text>
        <r>
          <rPr>
            <sz val="8"/>
            <color indexed="81"/>
            <rFont val="Tahoma"/>
            <family val="2"/>
          </rPr>
          <t>This cell will highlight in red where your forecast is lower than your actual to date - please revise or comment if correct</t>
        </r>
      </text>
    </comment>
    <comment ref="K64" authorId="0" shapeId="0" xr:uid="{00000000-0006-0000-0400-00002C000000}">
      <text>
        <r>
          <rPr>
            <sz val="8"/>
            <color indexed="81"/>
            <rFont val="Tahoma"/>
            <family val="2"/>
          </rPr>
          <t>This cell will highlight in red where your forecast is lower than your actual to date - please revise or comment if correct</t>
        </r>
      </text>
    </comment>
    <comment ref="K65" authorId="0" shapeId="0" xr:uid="{00000000-0006-0000-0400-00002D000000}">
      <text>
        <r>
          <rPr>
            <sz val="8"/>
            <color indexed="81"/>
            <rFont val="Tahoma"/>
            <family val="2"/>
          </rPr>
          <t>This cell will highlight in red where your forecast is lower than your actual to date - please revise or comment if correct</t>
        </r>
      </text>
    </comment>
    <comment ref="K66" authorId="0" shapeId="0" xr:uid="{00000000-0006-0000-0400-00002E000000}">
      <text>
        <r>
          <rPr>
            <sz val="8"/>
            <color indexed="81"/>
            <rFont val="Tahoma"/>
            <family val="2"/>
          </rPr>
          <t>This cell will highlight in red where your forecast is lower than your actual to date - please revise or comment if correct</t>
        </r>
      </text>
    </comment>
    <comment ref="K67" authorId="0" shapeId="0" xr:uid="{00000000-0006-0000-0400-00002F000000}">
      <text>
        <r>
          <rPr>
            <sz val="8"/>
            <color indexed="81"/>
            <rFont val="Tahoma"/>
            <family val="2"/>
          </rPr>
          <t>This cell will highlight in red where your forecast is lower than your actual to date - please revise or comment if correct</t>
        </r>
      </text>
    </comment>
    <comment ref="K68" authorId="0" shapeId="0" xr:uid="{00000000-0006-0000-0400-000030000000}">
      <text>
        <r>
          <rPr>
            <sz val="8"/>
            <color indexed="81"/>
            <rFont val="Tahoma"/>
            <family val="2"/>
          </rPr>
          <t>This cell will highlight in red where your forecast is lower than your actual to date - please revise or comment if correct</t>
        </r>
      </text>
    </comment>
    <comment ref="K69" authorId="0" shapeId="0" xr:uid="{00000000-0006-0000-0400-000031000000}">
      <text>
        <r>
          <rPr>
            <sz val="8"/>
            <color indexed="81"/>
            <rFont val="Tahoma"/>
            <family val="2"/>
          </rPr>
          <t>This cell will highlight in red where your forecast is lower than your actual to date - please revise or comment if correct</t>
        </r>
      </text>
    </comment>
    <comment ref="K70" authorId="0" shapeId="0" xr:uid="{00000000-0006-0000-0400-000032000000}">
      <text>
        <r>
          <rPr>
            <sz val="8"/>
            <color indexed="81"/>
            <rFont val="Tahoma"/>
            <family val="2"/>
          </rPr>
          <t>This cell will highlight in red where the value does not match the value in CI04 - please revise</t>
        </r>
      </text>
    </comment>
    <comment ref="C79" authorId="0" shapeId="0" xr:uid="{00000000-0006-0000-0400-000033000000}">
      <text>
        <r>
          <rPr>
            <sz val="8"/>
            <color indexed="81"/>
            <rFont val="Tahoma"/>
            <family val="2"/>
          </rPr>
          <t>Pre-populated</t>
        </r>
        <r>
          <rPr>
            <sz val="8"/>
            <color indexed="81"/>
            <rFont val="Tahoma"/>
            <family val="2"/>
          </rPr>
          <t xml:space="preserve">
</t>
        </r>
      </text>
    </comment>
    <comment ref="E79" authorId="0" shapeId="0" xr:uid="{00000000-0006-0000-0400-000034000000}">
      <text>
        <r>
          <rPr>
            <sz val="8"/>
            <color indexed="81"/>
            <rFont val="Tahoma"/>
            <family val="2"/>
          </rPr>
          <t>Pre-populated from Approved Budget</t>
        </r>
        <r>
          <rPr>
            <sz val="8"/>
            <color indexed="81"/>
            <rFont val="Tahoma"/>
            <family val="2"/>
          </rPr>
          <t xml:space="preserve">
</t>
        </r>
      </text>
    </comment>
    <comment ref="G79" authorId="0" shapeId="0" xr:uid="{00000000-0006-0000-0400-000035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0" shapeId="0" xr:uid="{00000000-0006-0000-0400-000036000000}">
      <text>
        <r>
          <rPr>
            <sz val="8"/>
            <color indexed="81"/>
            <rFont val="Tahoma"/>
            <family val="2"/>
          </rPr>
          <t xml:space="preserve">This cell will highlight in red where the cumulative balance is a deficit
</t>
        </r>
      </text>
    </comment>
    <comment ref="K88" authorId="0" shapeId="0" xr:uid="{5B849A01-43B4-495A-98F2-5C13009569F4}">
      <text>
        <r>
          <rPr>
            <sz val="8"/>
            <color indexed="81"/>
            <rFont val="Tahoma"/>
            <family val="2"/>
          </rPr>
          <t>This cell will highlight in red where the value does not match the value in CI04 - please revise</t>
        </r>
      </text>
    </comment>
    <comment ref="K89" authorId="0" shapeId="0" xr:uid="{4A623342-A86B-4F1E-8755-20EDF1855C47}">
      <text>
        <r>
          <rPr>
            <sz val="8"/>
            <color indexed="81"/>
            <rFont val="Tahoma"/>
            <family val="2"/>
          </rPr>
          <t>This cell will highlight in red where the value does not match the value in CI04 - please revise</t>
        </r>
      </text>
    </comment>
    <comment ref="K93" authorId="0" shapeId="0" xr:uid="{BF25E43A-8DBA-4D09-9ED0-324AD5439B48}">
      <text>
        <r>
          <rPr>
            <sz val="8"/>
            <color indexed="81"/>
            <rFont val="Tahoma"/>
            <family val="2"/>
          </rPr>
          <t>This cell will highlight in red where the value does not match the value in CI04 - please revise</t>
        </r>
      </text>
    </comment>
    <comment ref="K94" authorId="0" shapeId="0" xr:uid="{6D52A4FC-FC7A-44C5-B3BF-2106E207E6CC}">
      <text>
        <r>
          <rPr>
            <sz val="8"/>
            <color indexed="81"/>
            <rFont val="Tahoma"/>
            <family val="2"/>
          </rPr>
          <t>This cell will highlight in red where the value does not match the value in CI04 - please revise</t>
        </r>
      </text>
    </comment>
    <comment ref="C102" authorId="0" shapeId="0" xr:uid="{00000000-0006-0000-0400-00003B000000}">
      <text>
        <r>
          <rPr>
            <sz val="8"/>
            <color indexed="81"/>
            <rFont val="Tahoma"/>
            <family val="2"/>
          </rPr>
          <t>Pre-populated</t>
        </r>
        <r>
          <rPr>
            <sz val="8"/>
            <color indexed="81"/>
            <rFont val="Tahoma"/>
            <family val="2"/>
          </rPr>
          <t xml:space="preserve">
</t>
        </r>
      </text>
    </comment>
    <comment ref="E102" authorId="0" shapeId="0" xr:uid="{00000000-0006-0000-0400-00003C000000}">
      <text>
        <r>
          <rPr>
            <sz val="8"/>
            <color indexed="81"/>
            <rFont val="Tahoma"/>
            <family val="2"/>
          </rPr>
          <t>Pre-populated from Approved Budget</t>
        </r>
        <r>
          <rPr>
            <sz val="8"/>
            <color indexed="81"/>
            <rFont val="Tahoma"/>
            <family val="2"/>
          </rPr>
          <t xml:space="preserve">
</t>
        </r>
      </text>
    </comment>
    <comment ref="G102" authorId="0" shapeId="0" xr:uid="{00000000-0006-0000-0400-00003D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0" shapeId="0" xr:uid="{00000000-0006-0000-0400-00003E000000}">
      <text>
        <r>
          <rPr>
            <sz val="8"/>
            <color indexed="81"/>
            <rFont val="Tahoma"/>
            <family val="2"/>
          </rPr>
          <t xml:space="preserve">This cell will highlight in red where the cumulative balance is a deficit
</t>
        </r>
      </text>
    </comment>
    <comment ref="C106" authorId="0" shapeId="0" xr:uid="{00000000-0006-0000-0400-00003F000000}">
      <text>
        <r>
          <rPr>
            <sz val="8"/>
            <color indexed="81"/>
            <rFont val="Tahoma"/>
            <family val="2"/>
          </rPr>
          <t>Pre-populated</t>
        </r>
        <r>
          <rPr>
            <sz val="8"/>
            <color indexed="81"/>
            <rFont val="Tahoma"/>
            <family val="2"/>
          </rPr>
          <t xml:space="preserve">
</t>
        </r>
      </text>
    </comment>
    <comment ref="E106" authorId="0" shapeId="0" xr:uid="{00000000-0006-0000-0400-000040000000}">
      <text>
        <r>
          <rPr>
            <sz val="8"/>
            <color indexed="81"/>
            <rFont val="Tahoma"/>
            <family val="2"/>
          </rPr>
          <t>Pre-populated from Approved Budget</t>
        </r>
        <r>
          <rPr>
            <sz val="8"/>
            <color indexed="81"/>
            <rFont val="Tahoma"/>
            <family val="2"/>
          </rPr>
          <t xml:space="preserve">
</t>
        </r>
      </text>
    </comment>
    <comment ref="K106" authorId="0" shapeId="0" xr:uid="{00000000-0006-0000-0400-000041000000}">
      <text>
        <r>
          <rPr>
            <sz val="8"/>
            <color indexed="81"/>
            <rFont val="Tahoma"/>
            <family val="2"/>
          </rPr>
          <t>please enter here the value of your forecasted carry forward at March 20134 committed to specific schemes</t>
        </r>
      </text>
    </comment>
    <comment ref="C107" authorId="0" shapeId="0" xr:uid="{00000000-0006-0000-0400-000042000000}">
      <text>
        <r>
          <rPr>
            <sz val="8"/>
            <color indexed="81"/>
            <rFont val="Tahoma"/>
            <family val="2"/>
          </rPr>
          <t>Pre-populated</t>
        </r>
        <r>
          <rPr>
            <sz val="8"/>
            <color indexed="81"/>
            <rFont val="Tahoma"/>
            <family val="2"/>
          </rPr>
          <t xml:space="preserve">
</t>
        </r>
      </text>
    </comment>
    <comment ref="E107" authorId="0" shapeId="0" xr:uid="{00000000-0006-0000-0400-000043000000}">
      <text>
        <r>
          <rPr>
            <sz val="8"/>
            <color indexed="81"/>
            <rFont val="Tahoma"/>
            <family val="2"/>
          </rPr>
          <t>Pre-populated from Approved Budget</t>
        </r>
        <r>
          <rPr>
            <sz val="8"/>
            <color indexed="81"/>
            <rFont val="Tahoma"/>
            <family val="2"/>
          </rPr>
          <t xml:space="preserve">
</t>
        </r>
      </text>
    </comment>
    <comment ref="K107" authorId="0" shapeId="0" xr:uid="{00000000-0006-0000-0400-000044000000}">
      <text>
        <r>
          <rPr>
            <sz val="8"/>
            <color indexed="81"/>
            <rFont val="Tahoma"/>
            <family val="2"/>
          </rPr>
          <t>this is the remaining balance not recorded as B01 or B06</t>
        </r>
      </text>
    </comment>
    <comment ref="C108" authorId="0" shapeId="0" xr:uid="{00000000-0006-0000-0400-000045000000}">
      <text>
        <r>
          <rPr>
            <sz val="8"/>
            <color indexed="81"/>
            <rFont val="Tahoma"/>
            <family val="2"/>
          </rPr>
          <t>Pre-populated</t>
        </r>
        <r>
          <rPr>
            <sz val="8"/>
            <color indexed="81"/>
            <rFont val="Tahoma"/>
            <family val="2"/>
          </rPr>
          <t xml:space="preserve">
</t>
        </r>
      </text>
    </comment>
    <comment ref="E108" authorId="0" shapeId="0" xr:uid="{00000000-0006-0000-0400-000046000000}">
      <text>
        <r>
          <rPr>
            <sz val="8"/>
            <color indexed="81"/>
            <rFont val="Tahoma"/>
            <family val="2"/>
          </rPr>
          <t>Pre-populated from Approved Budget</t>
        </r>
        <r>
          <rPr>
            <sz val="8"/>
            <color indexed="81"/>
            <rFont val="Tahoma"/>
            <family val="2"/>
          </rPr>
          <t xml:space="preserve">
</t>
        </r>
      </text>
    </comment>
    <comment ref="K109" authorId="0" shapeId="0" xr:uid="{00000000-0006-0000-0400-000047000000}">
      <text>
        <r>
          <rPr>
            <sz val="8"/>
            <color indexed="81"/>
            <rFont val="Tahoma"/>
            <family val="2"/>
          </rPr>
          <t xml:space="preserve">This cell will highlight in red where the cumulative balance is a deficit
</t>
        </r>
      </text>
    </comment>
    <comment ref="K124" authorId="0" shapeId="0" xr:uid="{01D7A014-716D-48CF-BFF6-A4EB34F2847C}">
      <text>
        <r>
          <rPr>
            <sz val="8"/>
            <color indexed="81"/>
            <rFont val="Tahoma"/>
            <family val="2"/>
          </rPr>
          <t>This cell will highlight in red where your forecast is lower than your actual to date - please revise or comment if correct</t>
        </r>
      </text>
    </comment>
    <comment ref="K125" authorId="0" shapeId="0" xr:uid="{AC15D93B-85D0-413B-8DE6-59277B4914ED}">
      <text>
        <r>
          <rPr>
            <sz val="8"/>
            <color indexed="81"/>
            <rFont val="Tahoma"/>
            <family val="2"/>
          </rPr>
          <t>This cell will highlight in red where your forecast is lower than your actual to date - please revise or comment if correct</t>
        </r>
      </text>
    </comment>
    <comment ref="K126" authorId="0" shapeId="0" xr:uid="{018CAEB4-15D5-4F00-BB0F-0AEF56236633}">
      <text>
        <r>
          <rPr>
            <sz val="8"/>
            <color indexed="81"/>
            <rFont val="Tahoma"/>
            <family val="2"/>
          </rPr>
          <t>This cell will highlight in red where your forecast is lower than your actual to date - please revise or comment if correct</t>
        </r>
      </text>
    </comment>
    <comment ref="K130" authorId="0" shapeId="0" xr:uid="{0CA9ED04-B65C-4891-9F28-AAD072DF25EB}">
      <text>
        <r>
          <rPr>
            <sz val="8"/>
            <color indexed="81"/>
            <rFont val="Tahoma"/>
            <family val="2"/>
          </rPr>
          <t>This cell will highlight in red where your forecast is lower than your actual to date - please revise or comment if correct</t>
        </r>
      </text>
    </comment>
    <comment ref="K131" authorId="0" shapeId="0" xr:uid="{EF817F6E-C531-4779-8249-F9D84002509F}">
      <text>
        <r>
          <rPr>
            <sz val="8"/>
            <color indexed="81"/>
            <rFont val="Tahoma"/>
            <family val="2"/>
          </rPr>
          <t>This cell will highlight in red where your forecast is lower than your actual to date - please revise or comment if correct</t>
        </r>
      </text>
    </comment>
    <comment ref="K132" authorId="0" shapeId="0" xr:uid="{15D5E6D1-7471-437B-B489-C58280849F65}">
      <text>
        <r>
          <rPr>
            <sz val="8"/>
            <color indexed="81"/>
            <rFont val="Tahoma"/>
            <family val="2"/>
          </rPr>
          <t>This cell will highlight in red where your forecast is lower than your actual to date - please revise or comment if correct</t>
        </r>
      </text>
    </comment>
    <comment ref="C137" authorId="0" shapeId="0" xr:uid="{00000000-0006-0000-0400-000049000000}">
      <text>
        <r>
          <rPr>
            <sz val="8"/>
            <color indexed="81"/>
            <rFont val="Tahoma"/>
            <family val="2"/>
          </rPr>
          <t>Pre-populated</t>
        </r>
        <r>
          <rPr>
            <sz val="8"/>
            <color indexed="81"/>
            <rFont val="Tahoma"/>
            <family val="2"/>
          </rPr>
          <t xml:space="preserve">
</t>
        </r>
      </text>
    </comment>
    <comment ref="E137" authorId="0" shapeId="0" xr:uid="{00000000-0006-0000-0400-00004A000000}">
      <text>
        <r>
          <rPr>
            <sz val="8"/>
            <color indexed="81"/>
            <rFont val="Tahoma"/>
            <family val="2"/>
          </rPr>
          <t>Pre-populated from Approved Budget</t>
        </r>
        <r>
          <rPr>
            <sz val="8"/>
            <color indexed="81"/>
            <rFont val="Tahoma"/>
            <family val="2"/>
          </rPr>
          <t xml:space="preserve">
</t>
        </r>
      </text>
    </comment>
    <comment ref="G137" authorId="0" shapeId="0" xr:uid="{00000000-0006-0000-0400-00004B000000}">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1" shapeId="0" xr:uid="{B7D4B292-E4AC-49AE-873C-1B60487E2982}">
      <text>
        <r>
          <rPr>
            <b/>
            <sz val="9"/>
            <color indexed="81"/>
            <rFont val="Tahoma"/>
            <family val="2"/>
          </rPr>
          <t>Stephanie Kirbyshire:</t>
        </r>
        <r>
          <rPr>
            <sz val="9"/>
            <color indexed="81"/>
            <rFont val="Tahoma"/>
            <family val="2"/>
          </rPr>
          <t xml:space="preserve">
Changed from …and Preschool in Oct 24 at GP's request.
</t>
        </r>
      </text>
    </comment>
    <comment ref="A294" authorId="2" shapeId="0" xr:uid="{92E5C62F-3FA0-4190-B1DC-CE77736A49D0}">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3" shapeId="0" xr:uid="{FCE614A8-2D96-4724-B2FB-0C27B790885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A1" authorId="0" shapeId="0" xr:uid="{6ED325EC-139B-43AE-906D-D6F8CBB9E1E9}">
      <text>
        <r>
          <rPr>
            <b/>
            <sz val="9"/>
            <color indexed="81"/>
            <rFont val="Tahoma"/>
            <family val="2"/>
          </rPr>
          <t>Jonty Holden:</t>
        </r>
        <r>
          <rPr>
            <sz val="9"/>
            <color indexed="81"/>
            <rFont val="Tahoma"/>
            <family val="2"/>
          </rPr>
          <t xml:space="preserve">
Paste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Stephanie Kirbyshire</author>
    <author>tc={FD13AE66-691A-413D-9358-9CFE955C0491}</author>
    <author>tc={281FB432-6AE7-413A-9699-873069EA536E}</author>
  </authors>
  <commentList>
    <comment ref="C90" authorId="0" shapeId="0" xr:uid="{36C09097-4181-4F16-A625-EE23737ED15F}">
      <text>
        <r>
          <rPr>
            <b/>
            <sz val="9"/>
            <color indexed="81"/>
            <rFont val="Tahoma"/>
            <family val="2"/>
          </rPr>
          <t>Stephanie Kirbyshire:</t>
        </r>
        <r>
          <rPr>
            <sz val="9"/>
            <color indexed="81"/>
            <rFont val="Tahoma"/>
            <family val="2"/>
          </rPr>
          <t xml:space="preserve">
Changed from …and Preschool in Oct 24 at GP's request.
</t>
        </r>
      </text>
    </comment>
    <comment ref="C106" authorId="1" shapeId="0" xr:uid="{FD13AE66-691A-413D-9358-9CFE955C049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2" authorId="2" shapeId="0" xr:uid="{281FB432-6AE7-413A-9699-873069EA536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Stephanie Kirbyshire</author>
    <author>tc={FA607035-3CE1-483D-98C5-9BEC146B9B81}</author>
    <author>tc={BEDBB9C9-C03A-4EAC-B175-BA54B09569A8}</author>
  </authors>
  <commentList>
    <comment ref="C88" authorId="0" shapeId="0" xr:uid="{412491C5-F303-4B8D-B5C6-F8FEC1BC4F0E}">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FA607035-3CE1-483D-98C5-9BEC146B9B8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BEDBB9C9-C03A-4EAC-B175-BA54B09569A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Stephanie Kirbyshire</author>
    <author>tc={8380C2DC-1C54-4797-872A-17F729331925}</author>
    <author>tc={1FBFAD6E-B8C2-4FA7-A34A-B8928FBD32F1}</author>
  </authors>
  <commentList>
    <comment ref="B90" authorId="0" shapeId="0" xr:uid="{D116BEB6-291A-4311-A817-C5D69C282DFA}">
      <text>
        <r>
          <rPr>
            <b/>
            <sz val="9"/>
            <color indexed="81"/>
            <rFont val="Tahoma"/>
            <family val="2"/>
          </rPr>
          <t>Stephanie Kirbyshire:</t>
        </r>
        <r>
          <rPr>
            <sz val="9"/>
            <color indexed="81"/>
            <rFont val="Tahoma"/>
            <family val="2"/>
          </rPr>
          <t xml:space="preserve">
Changed from …and Preschool in Oct 24 at GP's request.
</t>
        </r>
      </text>
    </comment>
    <comment ref="B106" authorId="1" shapeId="0" xr:uid="{8380C2DC-1C54-4797-872A-17F729331925}">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B112" authorId="2" shapeId="0" xr:uid="{1FBFAD6E-B8C2-4FA7-A34A-B8928FBD32F1}">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Stephanie Kirbyshire</author>
    <author>tc={0E23AB42-B1D1-4D16-8175-8588C296BAAD}</author>
    <author>tc={C65E3089-8192-4960-AFBD-8E04CBAEE0F5}</author>
  </authors>
  <commentList>
    <comment ref="C88" authorId="0" shapeId="0" xr:uid="{4EBE3980-6608-4F49-8FFF-F25C32AC8CFA}">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0E23AB42-B1D1-4D16-8175-8588C296BAAD}">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C65E3089-8192-4960-AFBD-8E04CBAEE0F5}">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sharedStrings.xml><?xml version="1.0" encoding="utf-8"?>
<sst xmlns="http://schemas.openxmlformats.org/spreadsheetml/2006/main" count="4486" uniqueCount="1520">
  <si>
    <t>30E10001</t>
  </si>
  <si>
    <t>Pilgrim Pathways School</t>
  </si>
  <si>
    <t>Active</t>
  </si>
  <si>
    <t>30EN1000</t>
  </si>
  <si>
    <t>Kings Hedges Nursery; (1000)</t>
  </si>
  <si>
    <t>30EN1001</t>
  </si>
  <si>
    <t>The Fields EYC Nursery; (1001)</t>
  </si>
  <si>
    <t>30EN1002</t>
  </si>
  <si>
    <t>Homerton Nursery; (1002)</t>
  </si>
  <si>
    <t>30EN1003</t>
  </si>
  <si>
    <t>Histon EYC - Nursery; (1003)</t>
  </si>
  <si>
    <t>30EN1005</t>
  </si>
  <si>
    <t>Brunswick Nursery; (1005)</t>
  </si>
  <si>
    <t>30EN1006</t>
  </si>
  <si>
    <t>Colleges Nursery; (1006)</t>
  </si>
  <si>
    <t>30EN1007</t>
  </si>
  <si>
    <t>Huntingdon Nursery; (1007)</t>
  </si>
  <si>
    <t>30EP2000</t>
  </si>
  <si>
    <t>Trumpington Meadows Primary School; (2000)</t>
  </si>
  <si>
    <t>30EP2001</t>
  </si>
  <si>
    <t>Thorndown Primary School; (2001)</t>
  </si>
  <si>
    <t>30EP2002</t>
  </si>
  <si>
    <t>Bassingbourn Primary School; (2002)</t>
  </si>
  <si>
    <t>30EP2004</t>
  </si>
  <si>
    <t>Caldecote Primary School; (2004)</t>
  </si>
  <si>
    <t>30EP2006</t>
  </si>
  <si>
    <t>Cottenham Primary School; (2006)</t>
  </si>
  <si>
    <t>30EP2009</t>
  </si>
  <si>
    <t>Fen Ditton Comm Primary School; (2009)</t>
  </si>
  <si>
    <t>30EP2010</t>
  </si>
  <si>
    <t>Fen Drayton Primary School; (2010)</t>
  </si>
  <si>
    <t>30EP2011</t>
  </si>
  <si>
    <t>Fowlmere Primary School; (2011)</t>
  </si>
  <si>
    <t>30EP2012</t>
  </si>
  <si>
    <t>Foxton Primary School; (2012)</t>
  </si>
  <si>
    <t>30EP2014</t>
  </si>
  <si>
    <t>Gamlingay First School; Sandy ;(2014)</t>
  </si>
  <si>
    <t>30EP2015</t>
  </si>
  <si>
    <t>Girton Glebe Primary School; (2015)</t>
  </si>
  <si>
    <t>30EP2016</t>
  </si>
  <si>
    <t>Great Abington Primary School; (2016)</t>
  </si>
  <si>
    <t>30EP2018</t>
  </si>
  <si>
    <t>Harston &amp; Newton Comm Primary School; (2018)</t>
  </si>
  <si>
    <t>30EP2019</t>
  </si>
  <si>
    <t>The Roundhouse</t>
  </si>
  <si>
    <t>30EP2026</t>
  </si>
  <si>
    <t>Kingsfield Primary School</t>
  </si>
  <si>
    <t>30EP2028</t>
  </si>
  <si>
    <t>Melbourn Primary School; (2028)</t>
  </si>
  <si>
    <t>30EP2029</t>
  </si>
  <si>
    <t>Meldreth Primary School; (2029)</t>
  </si>
  <si>
    <t>30EP2031</t>
  </si>
  <si>
    <t>Over Primary School; (2031)</t>
  </si>
  <si>
    <t>30EP2032</t>
  </si>
  <si>
    <t>St Peter's CofE Aided Junior School; Wisbech ;(3365)</t>
  </si>
  <si>
    <t>30EP2033</t>
  </si>
  <si>
    <t>Pendragon Comm Primary School; (2033)</t>
  </si>
  <si>
    <t>30EP2040</t>
  </si>
  <si>
    <t>Wisbech St Mary CofE Aided Primary School; Wisbech ;(3363)</t>
  </si>
  <si>
    <t>30EP2041</t>
  </si>
  <si>
    <t>Stapleford Comm Primary School; (2041)</t>
  </si>
  <si>
    <t>30EP2046</t>
  </si>
  <si>
    <t>Swavesey Primary School; (2046)</t>
  </si>
  <si>
    <t>30EP2048</t>
  </si>
  <si>
    <t>Waterbeach Comm Primary School; (2048)</t>
  </si>
  <si>
    <t>30EP2054</t>
  </si>
  <si>
    <t>Willingham Primary School; (2054)</t>
  </si>
  <si>
    <t>30EP2057</t>
  </si>
  <si>
    <t>Ditton Lodge Community Primary School; Newmarket ;(2057)</t>
  </si>
  <si>
    <t>30EP2058</t>
  </si>
  <si>
    <t>Bar Hill Comm Primary School; (2058)</t>
  </si>
  <si>
    <t>30EP2059</t>
  </si>
  <si>
    <t>The Meridian Primary School; (2059)</t>
  </si>
  <si>
    <t>30EP2060</t>
  </si>
  <si>
    <t>Benwick Primary School; (2060)</t>
  </si>
  <si>
    <t>30EP2064</t>
  </si>
  <si>
    <t>Townley Primary School; (2064)</t>
  </si>
  <si>
    <t>30EP2065</t>
  </si>
  <si>
    <t>Coates Primary School; ; (2065)</t>
  </si>
  <si>
    <t>30EP2066</t>
  </si>
  <si>
    <t>Lionel Walden Primary School;(2066)</t>
  </si>
  <si>
    <t>30EP2068</t>
  </si>
  <si>
    <t>Friday Bridge Comm Primary School; (2068)</t>
  </si>
  <si>
    <t>30EP2069</t>
  </si>
  <si>
    <t>Gorefield Primary School; (2069)</t>
  </si>
  <si>
    <t>30EP2070</t>
  </si>
  <si>
    <t>Robert Arkenstall Primary School; (2070)</t>
  </si>
  <si>
    <t>30EP2074</t>
  </si>
  <si>
    <t>Littleport Comm Primary School; (2074)</t>
  </si>
  <si>
    <t>30EP2075</t>
  </si>
  <si>
    <t>Manea Comm Primary School; (2075)</t>
  </si>
  <si>
    <t>30EP2077</t>
  </si>
  <si>
    <t>Maple Grove Infant School; March ;(2077)</t>
  </si>
  <si>
    <t>30EP2079</t>
  </si>
  <si>
    <t>Westwood Primary; (2079)</t>
  </si>
  <si>
    <t>30EP2082</t>
  </si>
  <si>
    <t>Beaupre Comm Primary School; (2082)</t>
  </si>
  <si>
    <t>30EP2083</t>
  </si>
  <si>
    <t>Payne Primary School; (2083)</t>
  </si>
  <si>
    <t>30EP2084</t>
  </si>
  <si>
    <t>Stretham Comm Primary School; (2084)</t>
  </si>
  <si>
    <t>30EP2090</t>
  </si>
  <si>
    <t>Thomas Eaton Primary School; March ;(2090)</t>
  </si>
  <si>
    <t>30EP2091</t>
  </si>
  <si>
    <t>Clarkson Infant School; (2091)</t>
  </si>
  <si>
    <t>30EP2107</t>
  </si>
  <si>
    <t>Morley Memorial Primary School; (2107)</t>
  </si>
  <si>
    <t>30EP2109</t>
  </si>
  <si>
    <t>Newnham Croft Primary School; (2109)</t>
  </si>
  <si>
    <t>30EP2115</t>
  </si>
  <si>
    <t>Shirley Community Nursery &amp; Primary School; (2115)</t>
  </si>
  <si>
    <t>30EP2118</t>
  </si>
  <si>
    <t>Arbury Primary School; (2118)</t>
  </si>
  <si>
    <t>30EP2119</t>
  </si>
  <si>
    <t>Colville Primary School; (2119)</t>
  </si>
  <si>
    <t>30EP2121</t>
  </si>
  <si>
    <t>Mayfield Primary School; (2121)</t>
  </si>
  <si>
    <t>30EP2123</t>
  </si>
  <si>
    <t>The Grove Primary School; (2123)</t>
  </si>
  <si>
    <t>30EP2200</t>
  </si>
  <si>
    <t>Bottisham Comm Primary School; (2200)</t>
  </si>
  <si>
    <t>30EP2202</t>
  </si>
  <si>
    <t>The Icknield Primary School; (2202)</t>
  </si>
  <si>
    <t>30EP2204</t>
  </si>
  <si>
    <t>Linton Heights Junior School; Cambridge ;(3317)</t>
  </si>
  <si>
    <t>30EP2205</t>
  </si>
  <si>
    <t>Hauxton Primary School; (2205)</t>
  </si>
  <si>
    <t>30EP2206</t>
  </si>
  <si>
    <t>Cavalry Primary School; March ;(2206)</t>
  </si>
  <si>
    <t>30EP2208</t>
  </si>
  <si>
    <t>Fenstanton and Hilton Primary School; (2208)</t>
  </si>
  <si>
    <t>30EP2211</t>
  </si>
  <si>
    <t>Hemingford Grey Primary School; (2211)</t>
  </si>
  <si>
    <t>30EP2212</t>
  </si>
  <si>
    <t>Houghton Primary School; (2212)</t>
  </si>
  <si>
    <t>30EP2214</t>
  </si>
  <si>
    <t>Offord Primary School; (2214)</t>
  </si>
  <si>
    <t>30EP2216</t>
  </si>
  <si>
    <t>Spinning Infant School; Huntingdon ;(2216)</t>
  </si>
  <si>
    <t>30EP2217</t>
  </si>
  <si>
    <t>The Ashbeach Primary School; (2217)</t>
  </si>
  <si>
    <t>30EP2218</t>
  </si>
  <si>
    <t>Ramsey Junior School; Huntingdon ;(2218)</t>
  </si>
  <si>
    <t>30EP2219</t>
  </si>
  <si>
    <t>Priory Park Infant School; (2219)</t>
  </si>
  <si>
    <t>30EP2220</t>
  </si>
  <si>
    <t>Sawtry Junior School; Huntingdon ;(2220)</t>
  </si>
  <si>
    <t>30EP2221</t>
  </si>
  <si>
    <t>Somersham Primary School; (2221)</t>
  </si>
  <si>
    <t>30EP2222</t>
  </si>
  <si>
    <t>Spaldwick Primary School; (2222)</t>
  </si>
  <si>
    <t>30EP2226</t>
  </si>
  <si>
    <t>Upwood Primary School; (2226)</t>
  </si>
  <si>
    <t>30EP2229</t>
  </si>
  <si>
    <t>Hartford Junior School; Huntingdon ;(2229)</t>
  </si>
  <si>
    <t>30EP2232</t>
  </si>
  <si>
    <t>Westfield Junior School; (2232)</t>
  </si>
  <si>
    <t>30EP2239</t>
  </si>
  <si>
    <t>Priory Junior School; (2239)</t>
  </si>
  <si>
    <t>30EP2240</t>
  </si>
  <si>
    <t>Wyton Primary School; (2240)</t>
  </si>
  <si>
    <t>30EP2246</t>
  </si>
  <si>
    <t>Eastfield Infant and Nursery School; (2246)</t>
  </si>
  <si>
    <t>30EP2252</t>
  </si>
  <si>
    <t>Hartford Infants' School; Huntingdon ;(2252)</t>
  </si>
  <si>
    <t>30EP2254</t>
  </si>
  <si>
    <t>Yaxley Infant School; (2254)</t>
  </si>
  <si>
    <t>30EP2255</t>
  </si>
  <si>
    <t>Sawtry Infants' School; (2255)</t>
  </si>
  <si>
    <t>30EP2256</t>
  </si>
  <si>
    <t>Warboys Comm Primary School; (2256)</t>
  </si>
  <si>
    <t>30EP2260</t>
  </si>
  <si>
    <t>The Newton Primary School; (2260)</t>
  </si>
  <si>
    <t>30EP2293</t>
  </si>
  <si>
    <t>Little Paxton Primary School; (2293)</t>
  </si>
  <si>
    <t>30EP2299</t>
  </si>
  <si>
    <t>Earith Primary School; Huntingdon ;(2299)</t>
  </si>
  <si>
    <t>30EP2312</t>
  </si>
  <si>
    <t>Bewick Bridge Community Primary School; (2312)</t>
  </si>
  <si>
    <t>30EP2315</t>
  </si>
  <si>
    <t>Hardwick and Cambourne Comm Primary School; (2315)</t>
  </si>
  <si>
    <t>30EP2317</t>
  </si>
  <si>
    <t>St Matthew's Primary School; (2317)</t>
  </si>
  <si>
    <t>30EP2321</t>
  </si>
  <si>
    <t>Fourfields Primary School; (2321)</t>
  </si>
  <si>
    <t>30EP2327</t>
  </si>
  <si>
    <t>Burwell VC (Primary); (2327)</t>
  </si>
  <si>
    <t>30EP2328</t>
  </si>
  <si>
    <t>Fulbourn Primary School; (2328)</t>
  </si>
  <si>
    <t>30EP2329</t>
  </si>
  <si>
    <t>Spring Meadow Infant School; (2329)</t>
  </si>
  <si>
    <t>30EP2331</t>
  </si>
  <si>
    <t>Kinderley Primary School; (2331)</t>
  </si>
  <si>
    <t>30EP2333</t>
  </si>
  <si>
    <t>Queen Edith Comm Primary School; (2333)</t>
  </si>
  <si>
    <t>30EP2335</t>
  </si>
  <si>
    <t>The Spinney Primary School; (2335)</t>
  </si>
  <si>
    <t>30EP2336</t>
  </si>
  <si>
    <t>Fawcett Primary School; (2336)</t>
  </si>
  <si>
    <t>30EP2339</t>
  </si>
  <si>
    <t>The Weatheralls Primary School; Ely ;(2339)</t>
  </si>
  <si>
    <t>30EP2442</t>
  </si>
  <si>
    <t>Kettlefields Primary School; (2442)</t>
  </si>
  <si>
    <t>30EP2443</t>
  </si>
  <si>
    <t>Stukeley Meadows Primary School; (2443)</t>
  </si>
  <si>
    <t>30EP2444</t>
  </si>
  <si>
    <t>Ely St John's Comm Primary School; (2444)</t>
  </si>
  <si>
    <t>30EP2446</t>
  </si>
  <si>
    <t>Kings Hedges Primary School; (2446)</t>
  </si>
  <si>
    <t>30EP2447</t>
  </si>
  <si>
    <t>The Millfield Primary School; Ely ;(2447)</t>
  </si>
  <si>
    <t>30EP2448</t>
  </si>
  <si>
    <t>Glebelands Primary School; Chatteris; (2448)</t>
  </si>
  <si>
    <t>30EP2449</t>
  </si>
  <si>
    <t>Monkfield Park Primary School; (2449)</t>
  </si>
  <si>
    <t>30EP2450</t>
  </si>
  <si>
    <t>Abbey Meadows Community Primary School; (2450)</t>
  </si>
  <si>
    <t>30EP2452</t>
  </si>
  <si>
    <t>Bushmead Primary School; (2452)</t>
  </si>
  <si>
    <t>30EP2453</t>
  </si>
  <si>
    <t>Ridgefield; (2113)</t>
  </si>
  <si>
    <t>30EP2454</t>
  </si>
  <si>
    <t>Thongsley Fields Nursery &amp; Primary School; (2248)</t>
  </si>
  <si>
    <t>30EP3000</t>
  </si>
  <si>
    <t>Babraham CofE Primary School; Cambridge; (3000)</t>
  </si>
  <si>
    <t>30EP3001</t>
  </si>
  <si>
    <t>Barrington CofE VC Primary School; (3001)</t>
  </si>
  <si>
    <t>30EP3004</t>
  </si>
  <si>
    <t>Burrough Green CofE Primary School; (3004)</t>
  </si>
  <si>
    <t>30EP3008</t>
  </si>
  <si>
    <t>Castle Camps CofE VC Primary School; (3008)</t>
  </si>
  <si>
    <t>30EP3009</t>
  </si>
  <si>
    <t>Cheveley CofE Primary School; (3009)</t>
  </si>
  <si>
    <t>30EP3011</t>
  </si>
  <si>
    <t>Coton CofE VC Primary School; (3011)</t>
  </si>
  <si>
    <t>30EP3012</t>
  </si>
  <si>
    <t>Dry Drayton CofE (C) Primary School; (3012)</t>
  </si>
  <si>
    <t>30EP3014</t>
  </si>
  <si>
    <t>Fordham CofE Primary School; (3014)</t>
  </si>
  <si>
    <t>30EP3017</t>
  </si>
  <si>
    <t>Great Wilbraham CofE Primary School; (3017)</t>
  </si>
  <si>
    <t>30EP3018</t>
  </si>
  <si>
    <t>Guilden Morden CofE Primary School; Royston ;(3018)</t>
  </si>
  <si>
    <t>30EP3022</t>
  </si>
  <si>
    <t>Isleham Church of England Primary School; (3022)</t>
  </si>
  <si>
    <t>30EP3026</t>
  </si>
  <si>
    <t>Milton CofE VC Primary School; Cambridge ;(3026)</t>
  </si>
  <si>
    <t>30EP3029</t>
  </si>
  <si>
    <t>Steeple Morden CofE VC Primary School; (3029)</t>
  </si>
  <si>
    <t>30EP3030</t>
  </si>
  <si>
    <t>Swaffham Prior CofE Primary School; (3030)</t>
  </si>
  <si>
    <t>30EP3032</t>
  </si>
  <si>
    <t>William Westley CofE VC Primary School; (3032)</t>
  </si>
  <si>
    <t>30EP3035</t>
  </si>
  <si>
    <t>Haslingfield Endowed Primary School; (3035)</t>
  </si>
  <si>
    <t>30EP3037</t>
  </si>
  <si>
    <t>Swaffham Bulbeck CofE Primary School; (3037)</t>
  </si>
  <si>
    <t>30EP3041</t>
  </si>
  <si>
    <t>Duxford CofE Comm Primary School; (3041)</t>
  </si>
  <si>
    <t>30EP3044</t>
  </si>
  <si>
    <t>Downham Feoffees Primary School; Ely ;(3044)</t>
  </si>
  <si>
    <t>30EP3046</t>
  </si>
  <si>
    <t>Elm CofE Primary School; Wisbech ;(3046)</t>
  </si>
  <si>
    <t>30EP3050</t>
  </si>
  <si>
    <t>Cherry Hinton CofE Primary School; (3050)</t>
  </si>
  <si>
    <t>30EP3052</t>
  </si>
  <si>
    <t>Sutton CofE VC Primary School; (3052)</t>
  </si>
  <si>
    <t>30EP3053</t>
  </si>
  <si>
    <t>Little Thetford CofE VC Primary School; (3053)</t>
  </si>
  <si>
    <t>30EP3054</t>
  </si>
  <si>
    <t>Wilburton CofE Primary School; (3054)</t>
  </si>
  <si>
    <t>30EP3056</t>
  </si>
  <si>
    <t>Guyhirn CofE VC Primary School; Wisbech ;(3056)</t>
  </si>
  <si>
    <t>30EP3058</t>
  </si>
  <si>
    <t>The Rackham CofE Primary School; (3058)</t>
  </si>
  <si>
    <t>30EP3061</t>
  </si>
  <si>
    <t>Alconbury CofE Primary School; (3061)</t>
  </si>
  <si>
    <t>30EP3064</t>
  </si>
  <si>
    <t>Farcet CofE Primary School; (3064)</t>
  </si>
  <si>
    <t>30EP3065</t>
  </si>
  <si>
    <t>Folksworth CofE Primary School; (3065)</t>
  </si>
  <si>
    <t>30EP3066</t>
  </si>
  <si>
    <t>Great Gidding CofE Primary School; (3066)</t>
  </si>
  <si>
    <t>30EP3067</t>
  </si>
  <si>
    <t>Barnabas Oley CofE Primary School;(3067)</t>
  </si>
  <si>
    <t>30EP3068</t>
  </si>
  <si>
    <t>Great Paxton CofE VC Primary School; (3068)</t>
  </si>
  <si>
    <t>30EP3070</t>
  </si>
  <si>
    <t>Holme CofE Primary School; (3070)</t>
  </si>
  <si>
    <t>30EP3071</t>
  </si>
  <si>
    <t>Holywell CofE Primary School ;(3071)</t>
  </si>
  <si>
    <t>30EP3072</t>
  </si>
  <si>
    <t>St John's CofE Primary School; Huntingdon ;(3072)</t>
  </si>
  <si>
    <t>30EP3074</t>
  </si>
  <si>
    <t>Eynesbury CofE C Primary School; (3074)</t>
  </si>
  <si>
    <t>30EP3075</t>
  </si>
  <si>
    <t>Stilton CofE VC Primary School; (3075)</t>
  </si>
  <si>
    <t>30EP3081</t>
  </si>
  <si>
    <t>Brington CofE Primary School; (3081)</t>
  </si>
  <si>
    <t>30EP3083</t>
  </si>
  <si>
    <t>St Andrew's CofE Primary School; Ely; (3083)</t>
  </si>
  <si>
    <t>30EP3301</t>
  </si>
  <si>
    <t>Barton CofE VA Primary School; (3301)</t>
  </si>
  <si>
    <t>30EP3302</t>
  </si>
  <si>
    <t>Northstowe First Primary School - Primary</t>
  </si>
  <si>
    <t>30EP3308</t>
  </si>
  <si>
    <t>Elsworth CofE VA Primary School; (3308)</t>
  </si>
  <si>
    <t>30EP3310</t>
  </si>
  <si>
    <t>Great and Little Shelford CofE Primary School; (3310)</t>
  </si>
  <si>
    <t>30EP3317</t>
  </si>
  <si>
    <t>Linton Infants School; (2204)</t>
  </si>
  <si>
    <t>30EP3321</t>
  </si>
  <si>
    <t>Oakington CofE VA Primary School; (3321)</t>
  </si>
  <si>
    <t>30EP3325</t>
  </si>
  <si>
    <t>Teversham CofE VA Primary School; (3325)</t>
  </si>
  <si>
    <t>30EP3326</t>
  </si>
  <si>
    <t>Thriplow CofE VA Primary School; Royston ;(3326)</t>
  </si>
  <si>
    <t>30EP3331</t>
  </si>
  <si>
    <t>Petersfield CofE Aided Primary School; (3331)</t>
  </si>
  <si>
    <t>30EP3350</t>
  </si>
  <si>
    <t>Park Street CofE Primary School; (3350)</t>
  </si>
  <si>
    <t>30EP3352</t>
  </si>
  <si>
    <t>St Luke's CofE Primary School; (3352)</t>
  </si>
  <si>
    <t>30EP3356</t>
  </si>
  <si>
    <t>St Pauls CofE VA Primary School; (3356)</t>
  </si>
  <si>
    <t>30EP3358</t>
  </si>
  <si>
    <t>St Philip's CofE Aided Primary School; (3358)</t>
  </si>
  <si>
    <t>30EP3360</t>
  </si>
  <si>
    <t>St Alban's RC Primary School; (3360)</t>
  </si>
  <si>
    <t>30EP3366</t>
  </si>
  <si>
    <t>St Laurence's RC Primary School; (3366)</t>
  </si>
  <si>
    <t>30EP3368</t>
  </si>
  <si>
    <t>The Elton CofE Primary School; (3368)</t>
  </si>
  <si>
    <t>30EP3373</t>
  </si>
  <si>
    <t>Abbots Ripton CofE Primary School; (3373)</t>
  </si>
  <si>
    <t>30EP3384</t>
  </si>
  <si>
    <t>St Anne's CofE Primary School; (3384)</t>
  </si>
  <si>
    <t>30EP3386</t>
  </si>
  <si>
    <t>Milton Road Primary School;(3386)</t>
  </si>
  <si>
    <t>30EP3387</t>
  </si>
  <si>
    <t>The Lantern (Ely)</t>
  </si>
  <si>
    <t>30EP3389</t>
  </si>
  <si>
    <t>THE VINE; (3389)</t>
  </si>
  <si>
    <t>30EP3390</t>
  </si>
  <si>
    <t>Orchard Park Primary School; (3390)</t>
  </si>
  <si>
    <t>30EP3392</t>
  </si>
  <si>
    <t>Wheatfields Primary School; (3392)</t>
  </si>
  <si>
    <t>30EP3885</t>
  </si>
  <si>
    <t>Orchards C of E Primary</t>
  </si>
  <si>
    <t>30EP3942</t>
  </si>
  <si>
    <t>Brampton Primary; (3942)</t>
  </si>
  <si>
    <t>30EP3943</t>
  </si>
  <si>
    <t>Bellbird Primary School; (3943)</t>
  </si>
  <si>
    <t>30EP3945</t>
  </si>
  <si>
    <t>Huntingdon Primary School; (3945)</t>
  </si>
  <si>
    <t>30EP3946</t>
  </si>
  <si>
    <t>Queen Emma Primary School; (2333)</t>
  </si>
  <si>
    <t>30EP5200</t>
  </si>
  <si>
    <t>St Helen's Primary School; (5200)</t>
  </si>
  <si>
    <t>30EP5201</t>
  </si>
  <si>
    <t>The Park Lane (Foundation) Prim School; Peterborough; (5201)</t>
  </si>
  <si>
    <t>30EP5205</t>
  </si>
  <si>
    <t>Jeavon's Wood Primary School</t>
  </si>
  <si>
    <t>30EP6130</t>
  </si>
  <si>
    <t>New Cambourne Primary (adjacent to Cam VC)</t>
  </si>
  <si>
    <t>30ES4010</t>
  </si>
  <si>
    <t>Trumpington Community College; (4010)</t>
  </si>
  <si>
    <t>30ES4028</t>
  </si>
  <si>
    <t>Northstowe Secondary College ;(4028)</t>
  </si>
  <si>
    <t>30ES7000</t>
  </si>
  <si>
    <t>Trinity School</t>
  </si>
  <si>
    <t>30ES7001</t>
  </si>
  <si>
    <t>Harbour School; (7001)</t>
  </si>
  <si>
    <t>30ES7007</t>
  </si>
  <si>
    <t>Highfield Special School; Ely ;(7007)</t>
  </si>
  <si>
    <t>30ES7021</t>
  </si>
  <si>
    <t>Meadowgate School; Wisbech ;(7021)</t>
  </si>
  <si>
    <t>30ES7023</t>
  </si>
  <si>
    <t>Samuel Pepys School; (7023)</t>
  </si>
  <si>
    <t>30ES7025</t>
  </si>
  <si>
    <t>Granta Special School; (7025)</t>
  </si>
  <si>
    <t>30ES7026</t>
  </si>
  <si>
    <t>Castle Special School; (7026)</t>
  </si>
  <si>
    <t>30ZVBWEB</t>
  </si>
  <si>
    <t>IMS - Web Payments</t>
  </si>
  <si>
    <t>How to Print Screen a Proposed CFR Report</t>
  </si>
  <si>
    <t>The "Print Screen" function button can be found on the top row on every PC keypad.  Please use the 'Print Screen Sys Rq' key, shown here in pink.</t>
  </si>
  <si>
    <t>Esc</t>
  </si>
  <si>
    <t>F1</t>
  </si>
  <si>
    <t>F4</t>
  </si>
  <si>
    <t>F5</t>
  </si>
  <si>
    <t>F12</t>
  </si>
  <si>
    <t>Print</t>
  </si>
  <si>
    <t>Scroll</t>
  </si>
  <si>
    <t>Pause</t>
  </si>
  <si>
    <t>Screen</t>
  </si>
  <si>
    <t>Lock</t>
  </si>
  <si>
    <t>Break</t>
  </si>
  <si>
    <t>Sys Rq</t>
  </si>
  <si>
    <t>Within your finance system bring up the report "Proposed CFR" onto the screen.</t>
  </si>
  <si>
    <t>Do not print the report, but press the Print Screen Sys Rq key on your key pad.</t>
  </si>
  <si>
    <t>Then go to the sheet in this file entitled 'PRINT SCREEN CFR' (yellow tab), click any cell at the top of the page, then right click the mouse and select paste.</t>
  </si>
  <si>
    <t>There will be 3 pages to this report, repeat this process and paste each page below the previous page.</t>
  </si>
  <si>
    <t>If this is successful, you do not need to send a paper copy to the School Funding Team.</t>
  </si>
  <si>
    <t>Authorisation of the School's Budget Monitoring Return</t>
  </si>
  <si>
    <t>Schools are not required to submit a signed hard copy authorisation form. However, schools are required to appropriately authorise budget monitoring returns prior to submission. Failure to do will result in the school being asked to resubmit. Therefore, please complete this authorisation form prior to emailing the full template file to SMER@cambrisgeshire.gov.uk</t>
  </si>
  <si>
    <t>School:</t>
  </si>
  <si>
    <t>DfE Number</t>
  </si>
  <si>
    <t>1) Month you are forecasting</t>
  </si>
  <si>
    <t>position at the end of</t>
  </si>
  <si>
    <t>2) How have you submitted the Proposed CFR Report?</t>
  </si>
  <si>
    <t>PLEASE CHOOSE</t>
  </si>
  <si>
    <t>(Choose from the drop-down menu to the right)</t>
  </si>
  <si>
    <t>3) Has the Governing Body authorised this Return?</t>
  </si>
  <si>
    <t>AUTHORISATION OF THE BUDGET MONITORING RETURN</t>
  </si>
  <si>
    <t>3) By Recording YES in the Box to the right (see drop down)</t>
  </si>
  <si>
    <t>You are confirming that this Budget Monitoring Return has been authorised, following the requirements of the Scheme for Financing Schools.</t>
  </si>
  <si>
    <t>You are also confirming that you are satisfied that this Return gives an accurate reflection of the school's budget position and are satisfied</t>
  </si>
  <si>
    <t>that all relevant sections of the return have been fully completed (please see "Alerts").</t>
  </si>
  <si>
    <t>Please provide details below - overtype  the green fields</t>
  </si>
  <si>
    <t>Name of Person Authorising this Return</t>
  </si>
  <si>
    <t>Position of Person Authorising this Return</t>
  </si>
  <si>
    <t>Date Authorised</t>
  </si>
  <si>
    <t>WHERE RELEVANT - AUTHORISATION OF BUDGET AMENDMENTS (REVISED BUDGET REQUIRES GOVERNOR APPROVAL)</t>
  </si>
  <si>
    <t>4) By Recording YES in the Box to the right (see drop down)</t>
  </si>
  <si>
    <t>You are confirming that the NEW budget revision shown in this Return (column G) have been authorised, following the requirements of the Scheme for Financing Schools.</t>
  </si>
  <si>
    <t>Name of Person Authorising Budget Amendments (Governor)</t>
  </si>
  <si>
    <t>Position of Person Authorising Budget Amendments (Governor)</t>
  </si>
  <si>
    <t>a) SCHOOL'S REVENUE BUDGET</t>
  </si>
  <si>
    <t>Forecast</t>
  </si>
  <si>
    <t>Total Income</t>
  </si>
  <si>
    <t>Total Expenditure</t>
  </si>
  <si>
    <t>In year Surplus/(Deficit)</t>
  </si>
  <si>
    <t>b) COMMUNITY FOCUSED ACTIVITIES REVENUE BUDGET</t>
  </si>
  <si>
    <t>In Year Surplus / Deficit</t>
  </si>
  <si>
    <t>c) SCHOOL'S CAPITAL BUDGET</t>
  </si>
  <si>
    <t>Total Capital Income</t>
  </si>
  <si>
    <t>Total Capital Expenditure</t>
  </si>
  <si>
    <t>In year Capital Surplus/(Deficit)</t>
  </si>
  <si>
    <t>Emailed in this Template</t>
  </si>
  <si>
    <t>Emailed separately</t>
  </si>
  <si>
    <t>GPO Post</t>
  </si>
  <si>
    <t>Caretaker Post</t>
  </si>
  <si>
    <t>Fax</t>
  </si>
  <si>
    <t>YES</t>
  </si>
  <si>
    <t>NO</t>
  </si>
  <si>
    <t>Not Applicable</t>
  </si>
  <si>
    <t>1 YEAR</t>
  </si>
  <si>
    <t>3 YEAR</t>
  </si>
  <si>
    <t>CHOOSE</t>
  </si>
  <si>
    <t>CENTRALLY FUNDED</t>
  </si>
  <si>
    <t>SELF FUNDED</t>
  </si>
  <si>
    <t>Alerts</t>
  </si>
  <si>
    <t>Does your Direct Revenue Financing Expenditure E30 equal your income figure shown in CI04?</t>
  </si>
  <si>
    <t>Is your forecasted School's revenue carry forward revenue balance at March 2026 greater than at March 2025?</t>
  </si>
  <si>
    <t>(you are increasing your carry forward balance - is this deliberate? Do you have a spending plan?)</t>
  </si>
  <si>
    <t>Is your forecasted Community Focused revenue carry forward revenue balance at March 2026 greater than at March 2025?</t>
  </si>
  <si>
    <t>4)</t>
  </si>
  <si>
    <t>Is your forecasted total revenue carry forward balance at March 2025 in excess of the 4% / 6% or £60,000 threshold?</t>
  </si>
  <si>
    <t>Whats our IUB Threshold</t>
  </si>
  <si>
    <t>(you will be required to assign any excess to specific schemes - see sheet d))</t>
  </si>
  <si>
    <t>Is your forecasted School's revenue balance being depleted by more than 50% this year?</t>
  </si>
  <si>
    <t>(Why is this - one off expenditure or a longer term trend? Does the school's 2026/27 budget balance?)</t>
  </si>
  <si>
    <t xml:space="preserve">Do you forecast that your School's revenue carry forward balance at March will be a deficit? </t>
  </si>
  <si>
    <t>(how is this position being resolved?)</t>
  </si>
  <si>
    <t>Do you forecast that your Community Focused revenue carry forward balance at March will be a deficit?</t>
  </si>
  <si>
    <t>Do you forecast to hold a deficit Capital balance at March 2026?</t>
  </si>
  <si>
    <t>9)</t>
  </si>
  <si>
    <t>Have the 'pay periods boxes' at the top of the main Budget Monitoring Template been completed?</t>
  </si>
  <si>
    <t>(please complete)</t>
  </si>
  <si>
    <t>10)</t>
  </si>
  <si>
    <t>If your school has IUB Schemes from March 2024 - is sheet c) 'IUB reporting March 2024' complete?</t>
  </si>
  <si>
    <t>Please check that the Budget Monitoring Template includes comments, which explain significant changes and variations</t>
  </si>
  <si>
    <t>CHECK</t>
  </si>
  <si>
    <t>Kings Hedges Educational Federation</t>
  </si>
  <si>
    <t>DfE Number:</t>
  </si>
  <si>
    <t>Phase:</t>
  </si>
  <si>
    <t>Unit4 CostC</t>
  </si>
  <si>
    <t>Position at the end of:</t>
  </si>
  <si>
    <t>Number of Pay Periods included in the Actual</t>
  </si>
  <si>
    <t>Monthly Paid (E01)</t>
  </si>
  <si>
    <t>4 Weekly Paid (E03 - E05)</t>
  </si>
  <si>
    <t>Weekly Paid (E06 - E07)</t>
  </si>
  <si>
    <t>2018/2019</t>
  </si>
  <si>
    <t>Previous Year (2024/25) Actual Outturn (Pre-Populated from CFR)</t>
  </si>
  <si>
    <t>Original  Approved Budget 2025/26 as submitted to SSCT (Pre-Populated)</t>
  </si>
  <si>
    <t>Revised Budget (Pre-populated from SBS Report Col E)</t>
  </si>
  <si>
    <t>Actual Income &amp; Expenditure to date (from SBS report Col F)</t>
  </si>
  <si>
    <t>Actual to Date as a % of Forecast</t>
  </si>
  <si>
    <t>Forecast to the end of the Financial Year (from SBS report Col K)</t>
  </si>
  <si>
    <t>IF BUDGETS ARE REVISED, PLEASE ENSURE ALL CELLS ARE COMPLETED IN COLUMN G FOR BOTH INCOME AND EXPENDITURE</t>
  </si>
  <si>
    <t>CFR</t>
  </si>
  <si>
    <t>TOTAL INCOME</t>
  </si>
  <si>
    <t>£</t>
  </si>
  <si>
    <t>CFR vs  Bud</t>
  </si>
  <si>
    <t>I01</t>
  </si>
  <si>
    <t>Funds Delegated by the Local Authority</t>
  </si>
  <si>
    <t>: Delegated Funds</t>
  </si>
  <si>
    <t>I02</t>
  </si>
  <si>
    <t>Funding for 6th Form Students</t>
  </si>
  <si>
    <t>: Sixth-Form Funding</t>
  </si>
  <si>
    <t>I03</t>
  </si>
  <si>
    <t>High Needs Top Up Funding</t>
  </si>
  <si>
    <t>: High Needs Funding</t>
  </si>
  <si>
    <t>I04</t>
  </si>
  <si>
    <t>Funding for Minority Ethnic Pupils</t>
  </si>
  <si>
    <t>: Funding for Minority Ethnic Pupils</t>
  </si>
  <si>
    <t>I05</t>
  </si>
  <si>
    <t>Pupil Premium</t>
  </si>
  <si>
    <t>: Pupil Premium</t>
  </si>
  <si>
    <t>I06</t>
  </si>
  <si>
    <t>Other Government Grants</t>
  </si>
  <si>
    <t>: Other Government Grants</t>
  </si>
  <si>
    <t>I07</t>
  </si>
  <si>
    <t xml:space="preserve">Other Grants &amp; Payments </t>
  </si>
  <si>
    <t>: Other Grants</t>
  </si>
  <si>
    <t>I08A</t>
  </si>
  <si>
    <t>Income from Letting Premises</t>
  </si>
  <si>
    <t>: Lettings Income</t>
  </si>
  <si>
    <t>I08B</t>
  </si>
  <si>
    <t>Other Income from Facilities and Services</t>
  </si>
  <si>
    <t>: Facilities &amp; Services Income</t>
  </si>
  <si>
    <t>I09</t>
  </si>
  <si>
    <t>Income From Catering</t>
  </si>
  <si>
    <t>: Catering Income</t>
  </si>
  <si>
    <t>I10</t>
  </si>
  <si>
    <t>Receipts from Supply Teachers Insurance Claims</t>
  </si>
  <si>
    <t>: Supply Teacher Insurance Claims</t>
  </si>
  <si>
    <t>I11</t>
  </si>
  <si>
    <t>Receipts from Other Insurance Claims</t>
  </si>
  <si>
    <t>: Other Insurance Claims</t>
  </si>
  <si>
    <t>I12</t>
  </si>
  <si>
    <t>Income from Contributions to Visits etc.</t>
  </si>
  <si>
    <t>: Contributions to visits</t>
  </si>
  <si>
    <t>I13</t>
  </si>
  <si>
    <t>Donations and/or Private Funds</t>
  </si>
  <si>
    <t>: Donations</t>
  </si>
  <si>
    <t>I15</t>
  </si>
  <si>
    <t>Pupil Focused Extended School Funding and/or Grants</t>
  </si>
  <si>
    <t>I18A</t>
  </si>
  <si>
    <t>Not Used in 2025/26</t>
  </si>
  <si>
    <t>: COVID Job Retention Scheme</t>
  </si>
  <si>
    <t>I18B</t>
  </si>
  <si>
    <t>: COVID Reimbursment</t>
  </si>
  <si>
    <t>I18C</t>
  </si>
  <si>
    <t>: COVID Catch Up Grants</t>
  </si>
  <si>
    <t>I18D</t>
  </si>
  <si>
    <t>Not Used in 2025/26 - Income now sits in I06</t>
  </si>
  <si>
    <t>: Additional Grants</t>
  </si>
  <si>
    <t>Total In Year Income</t>
  </si>
  <si>
    <r>
      <t xml:space="preserve">Comment, which explains the Reason for Variance, Budget Revision or substantial difference
</t>
    </r>
    <r>
      <rPr>
        <b/>
        <sz val="14"/>
        <rFont val="Arial"/>
        <family val="2"/>
      </rPr>
      <t>If there are notes in SBS Report, please state this</t>
    </r>
  </si>
  <si>
    <t>TOTAL EXPENDITURE</t>
  </si>
  <si>
    <t>E01</t>
  </si>
  <si>
    <t>Teaching Staff</t>
  </si>
  <si>
    <t>: Teaching Staff</t>
  </si>
  <si>
    <t>E02</t>
  </si>
  <si>
    <t>Supply Teaching Staff</t>
  </si>
  <si>
    <t>: Supply Teaching Staff</t>
  </si>
  <si>
    <t>E03</t>
  </si>
  <si>
    <t>Education Support Staff</t>
  </si>
  <si>
    <t>: Education Support Staff</t>
  </si>
  <si>
    <t>E04</t>
  </si>
  <si>
    <t>Premises Staff</t>
  </si>
  <si>
    <t>: Premises Staff</t>
  </si>
  <si>
    <t>E05</t>
  </si>
  <si>
    <t>Administrative &amp; Clerical Staff</t>
  </si>
  <si>
    <t>: Administrative &amp; Clerical Staff</t>
  </si>
  <si>
    <t>E06</t>
  </si>
  <si>
    <t>Catering Staff</t>
  </si>
  <si>
    <t>: Catering Staff</t>
  </si>
  <si>
    <t>E07</t>
  </si>
  <si>
    <t>Cost of Other Staff</t>
  </si>
  <si>
    <t>: Other Staff</t>
  </si>
  <si>
    <t>E08</t>
  </si>
  <si>
    <t>Indirect Employee Expenses</t>
  </si>
  <si>
    <t>: Indirect Employee Expenses</t>
  </si>
  <si>
    <t>E09</t>
  </si>
  <si>
    <t>Development &amp; Training</t>
  </si>
  <si>
    <t>: Staff Development &amp; Training</t>
  </si>
  <si>
    <t>E10</t>
  </si>
  <si>
    <t>Supply Teacher Insurance</t>
  </si>
  <si>
    <t>: Supply Teacher Insurance</t>
  </si>
  <si>
    <t>E11</t>
  </si>
  <si>
    <t>Staff Related Insurance</t>
  </si>
  <si>
    <t>: Staff Related Insurance</t>
  </si>
  <si>
    <t>E12</t>
  </si>
  <si>
    <t>Building Maintenance &amp; Improvement</t>
  </si>
  <si>
    <t>: Building Maintenance &amp; Improvement</t>
  </si>
  <si>
    <t>E13</t>
  </si>
  <si>
    <t>Grounds Maintenance &amp; Improvement</t>
  </si>
  <si>
    <t>: Grounds Maintenance &amp; Improvement</t>
  </si>
  <si>
    <t>E14</t>
  </si>
  <si>
    <t>Cleaning &amp; Caretaking</t>
  </si>
  <si>
    <t>: Cleaning &amp; Caretaking</t>
  </si>
  <si>
    <t>E15</t>
  </si>
  <si>
    <t>Water &amp; Sewerage</t>
  </si>
  <si>
    <t>: Water &amp; Sewerage</t>
  </si>
  <si>
    <t>E16</t>
  </si>
  <si>
    <t>Energy</t>
  </si>
  <si>
    <t>: Energy</t>
  </si>
  <si>
    <t>E17</t>
  </si>
  <si>
    <t>Rates</t>
  </si>
  <si>
    <t>: Rates</t>
  </si>
  <si>
    <t>E18</t>
  </si>
  <si>
    <t>Other Occupation Costs</t>
  </si>
  <si>
    <t>: Other Occupation Costs</t>
  </si>
  <si>
    <t>E19</t>
  </si>
  <si>
    <t>Learning Resources (not ICT equipment)</t>
  </si>
  <si>
    <t>: Learning Resources (not ICT)</t>
  </si>
  <si>
    <t>E20</t>
  </si>
  <si>
    <t>ICT Learning Resources (cumulative of all new CFR codes)</t>
  </si>
  <si>
    <t>E21</t>
  </si>
  <si>
    <t>Exam fees</t>
  </si>
  <si>
    <t>: Exam Fees</t>
  </si>
  <si>
    <t>E22</t>
  </si>
  <si>
    <t>Administrative Supplies</t>
  </si>
  <si>
    <t>: Administrative Supplies</t>
  </si>
  <si>
    <t>E23</t>
  </si>
  <si>
    <t>Other Insurance Premiums</t>
  </si>
  <si>
    <t>: Other Insurance Premiums</t>
  </si>
  <si>
    <t>E24</t>
  </si>
  <si>
    <t>Special facilities</t>
  </si>
  <si>
    <t>: Special Facilities</t>
  </si>
  <si>
    <t>E25</t>
  </si>
  <si>
    <t>Catering Supplies</t>
  </si>
  <si>
    <t>: Catering Supplies</t>
  </si>
  <si>
    <t>E26</t>
  </si>
  <si>
    <t>Agency Supply Teaching Staff</t>
  </si>
  <si>
    <t>: Agency Supply Teaching Staff</t>
  </si>
  <si>
    <t>E27</t>
  </si>
  <si>
    <t>Bought in Professional Services-Curriculum</t>
  </si>
  <si>
    <t>: Professional Services - Curriculum</t>
  </si>
  <si>
    <t>E28A</t>
  </si>
  <si>
    <t>Bought in Professional Services-Other (except PFI)</t>
  </si>
  <si>
    <t>: Professional Services - Other</t>
  </si>
  <si>
    <t>E28B</t>
  </si>
  <si>
    <t>Bought in Professional Services-Other (PFI)</t>
  </si>
  <si>
    <t>: Professional Services - Other PFI</t>
  </si>
  <si>
    <t>E29</t>
  </si>
  <si>
    <t>Loan Interest</t>
  </si>
  <si>
    <t>: Loan Interest</t>
  </si>
  <si>
    <t>E30</t>
  </si>
  <si>
    <t>Direct Revenue Financing (Includes Loan Repayments)</t>
  </si>
  <si>
    <t>: Contributions to Capital</t>
  </si>
  <si>
    <t>Total In Year Expenditure</t>
  </si>
  <si>
    <t>School's Revenue Balance</t>
  </si>
  <si>
    <t xml:space="preserve">Total In Year Income </t>
  </si>
  <si>
    <t>In Year Surplus/(Deficit) Position</t>
  </si>
  <si>
    <t xml:space="preserve"> </t>
  </si>
  <si>
    <t>Surplus / (Deficit) Brought Forward Revenue (OB01)</t>
  </si>
  <si>
    <t>Cumulative Surplus / (Deficit) Carry Forward (B01 + B02)</t>
  </si>
  <si>
    <t>School's Revenue Balance as a % of I01 - I05 Funding</t>
  </si>
  <si>
    <t>COMMUNITY FOCUSED ACTIVITIES INCOME</t>
  </si>
  <si>
    <t>I16</t>
  </si>
  <si>
    <t>Community Focused School Funding &amp;/or Grants</t>
  </si>
  <si>
    <t>: Community Focused Extended School Funding</t>
  </si>
  <si>
    <t>I17</t>
  </si>
  <si>
    <t>Community Focused School Facilities Income</t>
  </si>
  <si>
    <t>: Community Focused Extended School Facilities Income</t>
  </si>
  <si>
    <t>Total Community Focused Activities Income</t>
  </si>
  <si>
    <t>COMMUNITY FOCUSED ACTIVITIES EXPENDITURE</t>
  </si>
  <si>
    <t>E31</t>
  </si>
  <si>
    <t>Community Focused Schools Staff</t>
  </si>
  <si>
    <t>: Community Focused Extended School Staff</t>
  </si>
  <si>
    <t>E32</t>
  </si>
  <si>
    <t>Community Focused Schools Costs</t>
  </si>
  <si>
    <t>: Community Focused Extended School Costs</t>
  </si>
  <si>
    <t>Total Community Focused Activities Expenditure</t>
  </si>
  <si>
    <t>Community Focused Activities Balance</t>
  </si>
  <si>
    <t>Surplus / (Deficit) Brought Forward Revenue (OB02)</t>
  </si>
  <si>
    <t>Cumulative Surplus / (Deficit) Carry Forward (B06)</t>
  </si>
  <si>
    <t>Total Carry Forward Revenue &amp; Community Focused Balance</t>
  </si>
  <si>
    <t>B01</t>
  </si>
  <si>
    <t>Committed Revenue Balances</t>
  </si>
  <si>
    <t>B02</t>
  </si>
  <si>
    <t>Uncommitted Revenue Balances</t>
  </si>
  <si>
    <t>B06</t>
  </si>
  <si>
    <t>Community Focused Activities Balances</t>
  </si>
  <si>
    <t>Cumulative Surplus / Deficit Balance (B01 + B02 + B06)</t>
  </si>
  <si>
    <t>Total Revenue Balance as a % of I01 - I05 Funding</t>
  </si>
  <si>
    <t>This change expressed as a % of I01 - I05 Funding</t>
  </si>
  <si>
    <t>Capital Income</t>
  </si>
  <si>
    <t>CI01</t>
  </si>
  <si>
    <t xml:space="preserve">Capital Income </t>
  </si>
  <si>
    <t>: Capital Income</t>
  </si>
  <si>
    <t>CI03</t>
  </si>
  <si>
    <t>Voluntary or Private Income</t>
  </si>
  <si>
    <t>: Voluntary or Private Income</t>
  </si>
  <si>
    <t>CI04</t>
  </si>
  <si>
    <t>Direct Revenue Financing (Revenue Capitalisation including for Leases)</t>
  </si>
  <si>
    <t>: Contributions from Revenue</t>
  </si>
  <si>
    <t>Capital Expenditure</t>
  </si>
  <si>
    <t>CE01</t>
  </si>
  <si>
    <t>Acquisition of land and existing buildings</t>
  </si>
  <si>
    <t>: Acquisition of Land &amp; Buildings</t>
  </si>
  <si>
    <t>CE02</t>
  </si>
  <si>
    <t>New construction, conversion and renovation</t>
  </si>
  <si>
    <t>: New Construction &amp; Renovation</t>
  </si>
  <si>
    <t>CE03</t>
  </si>
  <si>
    <t>Vehicles, plant, equipment and machinery</t>
  </si>
  <si>
    <t>: Vehicles, Plant, Equipment &amp; Machinery</t>
  </si>
  <si>
    <t>CE04</t>
  </si>
  <si>
    <t>Information and communications technology (All new CFR Codes)</t>
  </si>
  <si>
    <t>In Year capital balance</t>
  </si>
  <si>
    <t xml:space="preserve">Capital Balance Brought Forward </t>
  </si>
  <si>
    <t>Capital Balance to Carry Forward</t>
  </si>
  <si>
    <t>Please Click on Arrow to Choose School</t>
  </si>
  <si>
    <t>Abbots Ripton CofE Primary School</t>
  </si>
  <si>
    <t>Primary</t>
  </si>
  <si>
    <t>Alconbury CofE Primary School</t>
  </si>
  <si>
    <t>Alderman Payne Primary School</t>
  </si>
  <si>
    <t>Arbury Primary School</t>
  </si>
  <si>
    <t>Ashbeach Primary School</t>
  </si>
  <si>
    <t>Barnabas Oley CofE Primary school</t>
  </si>
  <si>
    <t>Barrington CofE VC Primary School</t>
  </si>
  <si>
    <t>Barton CofE VA Primary School</t>
  </si>
  <si>
    <t>Bassingbourn Primary School</t>
  </si>
  <si>
    <t>Beaupre Community Primary School</t>
  </si>
  <si>
    <t>Bellbird Primary School</t>
  </si>
  <si>
    <t>Benwick Primary School</t>
  </si>
  <si>
    <t>Bewick Bridge Community Primary School</t>
  </si>
  <si>
    <t>Brampton Village Primary School</t>
  </si>
  <si>
    <t>Brington CofE Primary School</t>
  </si>
  <si>
    <t>Brunswick Nursery School</t>
  </si>
  <si>
    <t>Nursery</t>
  </si>
  <si>
    <t>Burwell Village College (Primary)</t>
  </si>
  <si>
    <t>Bushmead Primary School</t>
  </si>
  <si>
    <t>Caldecote Primary School</t>
  </si>
  <si>
    <t>Castle Camps Church of England (Controlled) Primary School</t>
  </si>
  <si>
    <t>Castle School, Cambridge</t>
  </si>
  <si>
    <t>Special</t>
  </si>
  <si>
    <t>Cherry Hinton Church of England Voluntary Controlled Primary School</t>
  </si>
  <si>
    <t>Cheveley CofE Primary School</t>
  </si>
  <si>
    <t>Clarkson Infants School</t>
  </si>
  <si>
    <t>Coates Primary School</t>
  </si>
  <si>
    <t>Colleges Nursery School</t>
  </si>
  <si>
    <t>Colville Primary School</t>
  </si>
  <si>
    <t>Coton Church of England (Voluntary Controlled) Primary School</t>
  </si>
  <si>
    <t>Cottenham Primary School</t>
  </si>
  <si>
    <t>Dry Drayton CofE (C) Primary School</t>
  </si>
  <si>
    <t>Duxford Church of England Community Primary School</t>
  </si>
  <si>
    <t>Eastfield Infant and Nursery School</t>
  </si>
  <si>
    <t>Elsworth CofE VA Primary School</t>
  </si>
  <si>
    <t>Elton CofE Primary School of the Foundation of Frances and Jane Proby</t>
  </si>
  <si>
    <t>Ely St John's Community Primary School</t>
  </si>
  <si>
    <t>Eynesbury CofE C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</si>
  <si>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</si>
  <si>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</si>
  <si>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</si>
  <si>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</si>
  <si>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</si>
  <si>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</si>
  <si>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</si>
  <si>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</si>
  <si>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</si>
  <si>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Granta School</t>
  </si>
  <si>
    <t>Great Abington Primary School</t>
  </si>
  <si>
    <t>Great and Little Shelford CofE (Aided) Primary School</t>
  </si>
  <si>
    <t>Great Paxton CofE Primary School</t>
  </si>
  <si>
    <t>Hardwick and Cambourne Community Primary School</t>
  </si>
  <si>
    <t>Harston and Newton Community Primary School</t>
  </si>
  <si>
    <t>Haslingfield Endowed Primary School</t>
  </si>
  <si>
    <t>Hauxton Primary School</t>
  </si>
  <si>
    <t>Hemingford Grey Primary School</t>
  </si>
  <si>
    <t>Histon Early Years Centre</t>
  </si>
  <si>
    <t>Holywell CofE Primary School</t>
  </si>
  <si>
    <t>Homerton Early Years Centre</t>
  </si>
  <si>
    <t>Houghton Primary School</t>
  </si>
  <si>
    <t>Huntingdon Nursery School</t>
  </si>
  <si>
    <t>Huntingdon Primary School</t>
  </si>
  <si>
    <t>Isleham Church of England Primary School</t>
  </si>
  <si>
    <t>Kettlefields Primary School</t>
  </si>
  <si>
    <t>Kinderley Primary School</t>
  </si>
  <si>
    <t>Linton CofE Infant School</t>
  </si>
  <si>
    <t>Lionel Walden Primary School</t>
  </si>
  <si>
    <t>Little Paxton Primary School</t>
  </si>
  <si>
    <t>Littleport Community Primary School</t>
  </si>
  <si>
    <t>Manea Community Primary School</t>
  </si>
  <si>
    <t>Mayfield Primary School</t>
  </si>
  <si>
    <t>Melbourn Primary School</t>
  </si>
  <si>
    <t>Meldreth Primary School</t>
  </si>
  <si>
    <t>Meridian Primary School</t>
  </si>
  <si>
    <t>Milton Road Primary School</t>
  </si>
  <si>
    <t>Monkfield Park Primary School</t>
  </si>
  <si>
    <t>Morley Memorial Primary School</t>
  </si>
  <si>
    <t>Newnham Croft Primary School</t>
  </si>
  <si>
    <t>Orchard Park Community Primary School</t>
  </si>
  <si>
    <t>Over Primary School</t>
  </si>
  <si>
    <t>Park Street CofE Primary School</t>
  </si>
  <si>
    <t>Pendragon Community Primary School</t>
  </si>
  <si>
    <t>Petersfield CofE Aided Primary School</t>
  </si>
  <si>
    <t>Priory Junior School</t>
  </si>
  <si>
    <t>Priory Park Infant School &amp; Preschool</t>
  </si>
  <si>
    <t>Queen Edith Primary School</t>
  </si>
  <si>
    <t xml:space="preserve">Queen Emma Primary School </t>
  </si>
  <si>
    <t>Ridgefield Primary School</t>
  </si>
  <si>
    <t>Robert Arkenstall Primary School</t>
  </si>
  <si>
    <t>Samuel Pepys School</t>
  </si>
  <si>
    <t>Sawtry Infants' School</t>
  </si>
  <si>
    <t>Shirley Community Primary School</t>
  </si>
  <si>
    <t>Spring Meadow Infant School</t>
  </si>
  <si>
    <t>St Anne's CofE Primary School</t>
  </si>
  <si>
    <t>St Helen's primary School</t>
  </si>
  <si>
    <t>NA</t>
  </si>
  <si>
    <t>St Matthew's Primary School</t>
  </si>
  <si>
    <t>St Pauls CofE VA Primary School</t>
  </si>
  <si>
    <t>St Philip's CofE Aided Primary School</t>
  </si>
  <si>
    <t>Steeple Morden CofE VC Primary School</t>
  </si>
  <si>
    <t>Stretham Community Primary School</t>
  </si>
  <si>
    <t>Stukeley Meadows Primary School</t>
  </si>
  <si>
    <t>Sutton CofE VC Primary School</t>
  </si>
  <si>
    <t>Swavesey Primary School</t>
  </si>
  <si>
    <t>Teversham CofE VA Primary School</t>
  </si>
  <si>
    <t>The Fields Nursery School</t>
  </si>
  <si>
    <t>The Grove Primary School</t>
  </si>
  <si>
    <t>The Newton Community Primary School</t>
  </si>
  <si>
    <t>The Rackham Church of England Primary School</t>
  </si>
  <si>
    <t>The Spinney Primary School</t>
  </si>
  <si>
    <t>The Vine Inter-Church Primary School</t>
  </si>
  <si>
    <t>Thorndown Primary School</t>
  </si>
  <si>
    <t>Townley Primary School</t>
  </si>
  <si>
    <t>The Trumpington Federation</t>
  </si>
  <si>
    <t>Waterbeach Community Primary School</t>
  </si>
  <si>
    <t>Westfield Junior School</t>
  </si>
  <si>
    <t>Wheatfields Primary School</t>
  </si>
  <si>
    <t>Wilburton CofE Primary School</t>
  </si>
  <si>
    <t>William Westley Church of England VC Primary School</t>
  </si>
  <si>
    <t>Willingham Primary School</t>
  </si>
  <si>
    <t>Wyton on the Hill Community Primary School</t>
  </si>
  <si>
    <t>Yaxley Infant School</t>
  </si>
  <si>
    <t>Spending of Surplus Balances held at 31 March 2024 Assigned to Approved Schemes (IUB)</t>
  </si>
  <si>
    <t xml:space="preserve">If your school, prior to 31 March 2024, submitted a schedule and evidence of your Governing Body's intention to spend your value of revenue carry </t>
  </si>
  <si>
    <t>forward balance held at 1 April 2024, which was in excess of the IUB threshold, then you must complete the section below, showing where your</t>
  </si>
  <si>
    <t>spending on assigned schemes has been included in your 2024/25 budget and the actual spend to date.</t>
  </si>
  <si>
    <t>a) The totals of spending on schemes, pre-populated by the Authority (please note that some schemes may still be subject to SFPG approval)</t>
  </si>
  <si>
    <t>Surplus Balance held at 31 March 2024 to be used as follows</t>
  </si>
  <si>
    <t>Planned Expenditure 2024/25</t>
  </si>
  <si>
    <t>Planned Expenditure 2025/26</t>
  </si>
  <si>
    <t>Planned Expenditure 2026/27</t>
  </si>
  <si>
    <t>Revenue Contribution to an agreed Capital Scheme</t>
  </si>
  <si>
    <t>Revenue Contribution to an agreed Capital Spend to Save Scheme</t>
  </si>
  <si>
    <t>To support costs from a Review of Contracts of a SIGNIFICANT Value in future year (s)</t>
  </si>
  <si>
    <t>To manage a SIGNIFICANT Expansion of Pupil Numbers</t>
  </si>
  <si>
    <t>To Manage the impact of a SIGNIFICANT Budget reduction</t>
  </si>
  <si>
    <t>To Manage Exceptional Circumstances which may cause SIGNIFICANT financial turbulence</t>
  </si>
  <si>
    <t>b) How the 2024/25 figures above are included in your 2024/25 Budget. Please input the actual spend position and any support comments (green highlighted cells)</t>
  </si>
  <si>
    <t>Description of Project</t>
  </si>
  <si>
    <t>Amount in 2024/25</t>
  </si>
  <si>
    <t>Actual Spend to Date</t>
  </si>
  <si>
    <t>Remaing sum to be Spent</t>
  </si>
  <si>
    <t>Comments</t>
  </si>
  <si>
    <t>TOTAL</t>
  </si>
  <si>
    <t>Please contact your School Funding Officer if you have any queries</t>
  </si>
  <si>
    <t>Assigning Excess Balances Forecasted at 31 March 2025</t>
  </si>
  <si>
    <t>If your school is forecasting to hold a revenue balance at 31 March 2025, which is in excess of 4% (Secondary) or 6% (or £60,000 -</t>
  </si>
  <si>
    <t xml:space="preserve">whichever is the higher) (all other schools), then you must start now to consider how this balance is to be assigned to schemes, or how your 2024/25 budget is </t>
  </si>
  <si>
    <t>adjusted to bring the school's balance at 31 March 2025 under these thresholds.</t>
  </si>
  <si>
    <t>a) The reduction in the percentages (the 'thresholds') over which balances are measured to be 'excessive'</t>
  </si>
  <si>
    <t>b) Greater restriction on the types of expenditure for which balances over the thresholds can be held to meet</t>
  </si>
  <si>
    <t>Please refer to the Protocol document for further information. This is available to Download from Bradford Schools Online</t>
  </si>
  <si>
    <t>You are currently forecasting to hold a revenue balance at 31 March 2025 of:</t>
  </si>
  <si>
    <t xml:space="preserve"> The threshold applicable to your school for March 2025 balances is:</t>
  </si>
  <si>
    <t>(Secondary = 4% of I01 - I05 funding; all other schools = 6% or £60,000, whichever is the higher)</t>
  </si>
  <si>
    <t xml:space="preserve"> Your forecasted position against this threshold therefore, is:</t>
  </si>
  <si>
    <t>(a positive figure = you are above the threshold)</t>
  </si>
  <si>
    <t>If you are forecasting now to be above the threshold at 31 March 2015, you need to consider how this balance will be assigned to schemes, recognising the</t>
  </si>
  <si>
    <t>greater restriction that will be placed on the types of schemes that will be approved by the Local Authority, or you must consider how your budget can be adjusted</t>
  </si>
  <si>
    <t>to bring the school's balance under the threshold.</t>
  </si>
  <si>
    <t>Please use the boxes below to outline any schemes that you plan to hold excess balances at 31 March 2025 to support</t>
  </si>
  <si>
    <t>Please note that completing the boxes below DOES NOT constitute a formal IUB submission to the Authority. You are simply giving an indication of possible schemes</t>
  </si>
  <si>
    <t>If you wish to make a formal submssion at this stage, please see the Protocol and speak to a member of School Funding Team.</t>
  </si>
  <si>
    <t>Outline of Project / Scheme</t>
  </si>
  <si>
    <t>Value to be held at 31 March 2025</t>
  </si>
  <si>
    <t>Date by which spend will be completed</t>
  </si>
  <si>
    <t>Description of Scheme</t>
  </si>
  <si>
    <t>Balance held on behalf of other schools or other valid adjustment</t>
  </si>
  <si>
    <t>I01 - I05 Funding</t>
  </si>
  <si>
    <t>Phase</t>
  </si>
  <si>
    <t>Normal Threshold</t>
  </si>
  <si>
    <t>Final Threshold</t>
  </si>
  <si>
    <t>DFE</t>
  </si>
  <si>
    <t>School</t>
  </si>
  <si>
    <t>DfE</t>
  </si>
  <si>
    <t>Total Exp</t>
  </si>
  <si>
    <t>In Yr surplus (deficit)</t>
  </si>
  <si>
    <t>Est b/f bal</t>
  </si>
  <si>
    <t>Total bal</t>
  </si>
  <si>
    <t>TOTAL EXP</t>
  </si>
  <si>
    <t>In Year</t>
  </si>
  <si>
    <t>b/fwd</t>
  </si>
  <si>
    <t>Cumulative</t>
  </si>
  <si>
    <t>BO1</t>
  </si>
  <si>
    <t>BO2</t>
  </si>
  <si>
    <t>BO6</t>
  </si>
  <si>
    <t>total rev. Bal</t>
  </si>
  <si>
    <t>TOTAL CAP INC</t>
  </si>
  <si>
    <t>TOTAL CAP EXP</t>
  </si>
  <si>
    <t>IN YR CAP BAL</t>
  </si>
  <si>
    <t>CAP B/F</t>
  </si>
  <si>
    <t>CAP C/F</t>
  </si>
  <si>
    <t>SAP Boxes fully complete?</t>
  </si>
  <si>
    <t>SAP Monthly</t>
  </si>
  <si>
    <t>SAP 4 Weekly</t>
  </si>
  <si>
    <t>SAP Weekly</t>
  </si>
  <si>
    <t>How submitted CFR</t>
  </si>
  <si>
    <t>Authorisation of Monitor</t>
  </si>
  <si>
    <t>Name</t>
  </si>
  <si>
    <t>Position</t>
  </si>
  <si>
    <t>Date</t>
  </si>
  <si>
    <t>Authorisation of Revised Budget</t>
  </si>
  <si>
    <t>Has the Capital Section Been Completed?</t>
  </si>
  <si>
    <t>Has the March 2024 IUB Section Been Completed?</t>
  </si>
  <si>
    <t>IUB Threshold at March 2025</t>
  </si>
  <si>
    <t>Forecasted Position Against this</t>
  </si>
  <si>
    <t>IUB March 2025 - Scheme 1</t>
  </si>
  <si>
    <t>IUB March 2025 - Scheme 1 Value</t>
  </si>
  <si>
    <t>IUB March 2025 - Scheme 1 Date of spend</t>
  </si>
  <si>
    <t>Scheme 1 Description</t>
  </si>
  <si>
    <t>IUB March 2025 - Scheme 2</t>
  </si>
  <si>
    <t>IUB March 2025 - Scheme 2 Value</t>
  </si>
  <si>
    <t>IUB March 2025 - Scheme 2 Date of spend</t>
  </si>
  <si>
    <t>Scheme 2 Description</t>
  </si>
  <si>
    <t>IUB March 2025 - Scheme 3</t>
  </si>
  <si>
    <t>IUB March 2025 - Scheme 3 Value</t>
  </si>
  <si>
    <t>IUB March 2025 - Scheme 3 Date of spend</t>
  </si>
  <si>
    <t>Scheme 3 Description</t>
  </si>
  <si>
    <t>IUB March 2025 - Scheme 4</t>
  </si>
  <si>
    <t>IUB March 2025 - Scheme 4 Value</t>
  </si>
  <si>
    <t>IUB March 2025 - Scheme 4 Date of spend</t>
  </si>
  <si>
    <t>Scheme 4 Description</t>
  </si>
  <si>
    <t>IUB March 2025 - Scheme 5</t>
  </si>
  <si>
    <t>IUB March 2025 - Scheme 5 Value</t>
  </si>
  <si>
    <t>IUB March 2025 - Scheme 5 Date of spend</t>
  </si>
  <si>
    <t>Scheme 5 Description</t>
  </si>
  <si>
    <t>IUB March 2025 - Scheme 6</t>
  </si>
  <si>
    <t>IUB March 2025 - Scheme 6 Value</t>
  </si>
  <si>
    <t>IUB March 2025 - Scheme 6 Date of spend</t>
  </si>
  <si>
    <t>Scheme 6 Description</t>
  </si>
  <si>
    <t>IUB March 2025 - Scheme 7</t>
  </si>
  <si>
    <t>IUB March 2025 - Scheme 7 Value</t>
  </si>
  <si>
    <t>IUB March 2025 - Scheme 7 Date of spend</t>
  </si>
  <si>
    <t>Scheme 7 Description</t>
  </si>
  <si>
    <t>Alert 1</t>
  </si>
  <si>
    <t>Alert 2</t>
  </si>
  <si>
    <t>Alert 3</t>
  </si>
  <si>
    <t>Alert 4</t>
  </si>
  <si>
    <t>Alert 5</t>
  </si>
  <si>
    <t>Alert 6</t>
  </si>
  <si>
    <t>Alert 7</t>
  </si>
  <si>
    <t>Alert 8</t>
  </si>
  <si>
    <t>Alert 9</t>
  </si>
  <si>
    <t>Alert 10</t>
  </si>
  <si>
    <t>Alert 11</t>
  </si>
  <si>
    <t>Alert 12</t>
  </si>
  <si>
    <t>IUB March 2024 Description</t>
  </si>
  <si>
    <t>IUB March 2024 CFR</t>
  </si>
  <si>
    <t>IUB March 2024 Value</t>
  </si>
  <si>
    <t>IUB March 2024 ATD</t>
  </si>
  <si>
    <t>IUB March 2024 Remaining Balance</t>
  </si>
  <si>
    <t>IUB March 2024 Comments</t>
  </si>
  <si>
    <t>Validation</t>
  </si>
  <si>
    <t>RCCO Balanced</t>
  </si>
  <si>
    <t xml:space="preserve">Increasing Revenue Balance </t>
  </si>
  <si>
    <t xml:space="preserve">Increasing Extended Schools Balance </t>
  </si>
  <si>
    <t>Overall Increase In Extended Schools &amp; Revenue</t>
  </si>
  <si>
    <t>Closing Balance over IUB limit</t>
  </si>
  <si>
    <t>Deficit Budget</t>
  </si>
  <si>
    <t>Depleting balance&gt; 50%</t>
  </si>
  <si>
    <t>LA Funding</t>
  </si>
  <si>
    <t>Allowable limit</t>
  </si>
  <si>
    <t>THIS SHEET IS FOR CCC USE ONLY (COPY PASTE FROM COLUMN C ACROSS - FIGURES WITHIN BORDER)</t>
  </si>
  <si>
    <t>Cost</t>
  </si>
  <si>
    <t>RBJD</t>
  </si>
  <si>
    <t>Abbey Green Nursery School</t>
  </si>
  <si>
    <t>NURSERY</t>
  </si>
  <si>
    <t>RBKX</t>
  </si>
  <si>
    <t>Canterbury Children's Centre and Nursery School</t>
  </si>
  <si>
    <t>RBJQ</t>
  </si>
  <si>
    <t>Hirst Wood Nursery School</t>
  </si>
  <si>
    <t>RBKN</t>
  </si>
  <si>
    <t>Lilycroft Nursery School</t>
  </si>
  <si>
    <t>RBHW</t>
  </si>
  <si>
    <t>Midland Road Nursery School and Children's Centre</t>
  </si>
  <si>
    <t>RBKM</t>
  </si>
  <si>
    <t>St Edmund's Nursery &amp; Childrens Centre</t>
  </si>
  <si>
    <t>RBKQ</t>
  </si>
  <si>
    <t>Strong Close Nursery School and Children's Centre</t>
  </si>
  <si>
    <t>RBHX</t>
  </si>
  <si>
    <t>Addingham Primary School</t>
  </si>
  <si>
    <t>PRIMARY</t>
  </si>
  <si>
    <t>RBKI</t>
  </si>
  <si>
    <t>Aire View Infant School</t>
  </si>
  <si>
    <t>RBGL</t>
  </si>
  <si>
    <t>All Saints' CE Primary School (Bradford)</t>
  </si>
  <si>
    <t>RBFB</t>
  </si>
  <si>
    <t>All Saints' CE Primary School (Ilkley)</t>
  </si>
  <si>
    <t>RBKA</t>
  </si>
  <si>
    <t>Allerton Primary School</t>
  </si>
  <si>
    <t>RBIC</t>
  </si>
  <si>
    <t>Ashlands Primary School</t>
  </si>
  <si>
    <t>RBDS</t>
  </si>
  <si>
    <t>Atlas Community Primary School</t>
  </si>
  <si>
    <t>RBEO</t>
  </si>
  <si>
    <t>Baildon CE Primary School</t>
  </si>
  <si>
    <t>RBKO</t>
  </si>
  <si>
    <t>Bankfoot Primary School</t>
  </si>
  <si>
    <t>RBFO</t>
  </si>
  <si>
    <t>Barkerend Primary School</t>
  </si>
  <si>
    <t>RBGR</t>
  </si>
  <si>
    <t>Ben Rhydding Primary School</t>
  </si>
  <si>
    <t>RBFX</t>
  </si>
  <si>
    <t>Blakehill Primary School</t>
  </si>
  <si>
    <t>RBKU</t>
  </si>
  <si>
    <t>Bowling Park Primary School</t>
  </si>
  <si>
    <t>RBHR</t>
  </si>
  <si>
    <t>Brackenhill Primary School</t>
  </si>
  <si>
    <t>RBFT</t>
  </si>
  <si>
    <t>Bradford Moor Community Primary School</t>
  </si>
  <si>
    <t>RBIF</t>
  </si>
  <si>
    <t>Burley &amp; Woodhead CE Primary School</t>
  </si>
  <si>
    <t>RBFP</t>
  </si>
  <si>
    <t>Burley Oaks Primary School</t>
  </si>
  <si>
    <t>RBDW</t>
  </si>
  <si>
    <t>Byron Primary School</t>
  </si>
  <si>
    <t>RBHL</t>
  </si>
  <si>
    <t>Carrwood Primary School</t>
  </si>
  <si>
    <t>RBJG</t>
  </si>
  <si>
    <t>Cavendish Primary School</t>
  </si>
  <si>
    <t>RBER</t>
  </si>
  <si>
    <t>Clayton CE Primary School</t>
  </si>
  <si>
    <t>RBGA</t>
  </si>
  <si>
    <t>Clayton Village Primary School</t>
  </si>
  <si>
    <t>RBJI</t>
  </si>
  <si>
    <t>Copthorne Primary School</t>
  </si>
  <si>
    <t>RBGN</t>
  </si>
  <si>
    <t>Cottingley Village Primary School</t>
  </si>
  <si>
    <t>RBHM</t>
  </si>
  <si>
    <t>Crossflatts Primary School</t>
  </si>
  <si>
    <t>RBDO</t>
  </si>
  <si>
    <t>Crossley Hall Primary School</t>
  </si>
  <si>
    <t>RBEA</t>
  </si>
  <si>
    <t>Cullingworth Village Primary School</t>
  </si>
  <si>
    <t>RBFI</t>
  </si>
  <si>
    <t>Denholme Primary School</t>
  </si>
  <si>
    <t>RBIQ</t>
  </si>
  <si>
    <t>East Morton CE Primary School</t>
  </si>
  <si>
    <t>RBHB</t>
  </si>
  <si>
    <t>Eastburn Junior and Infant School</t>
  </si>
  <si>
    <t>RBDF</t>
  </si>
  <si>
    <t>Eastwood Primary School</t>
  </si>
  <si>
    <t>RBJY</t>
  </si>
  <si>
    <t>Eldwick Primary School</t>
  </si>
  <si>
    <t>RBGB</t>
  </si>
  <si>
    <t>Fagley Primary School</t>
  </si>
  <si>
    <t>RBFN</t>
  </si>
  <si>
    <t>Farfield Primary</t>
  </si>
  <si>
    <t>RBFL</t>
  </si>
  <si>
    <t>Farnham Primary School</t>
  </si>
  <si>
    <t>RBCU</t>
  </si>
  <si>
    <t>Fearnville Primary School</t>
  </si>
  <si>
    <t>RBFY</t>
  </si>
  <si>
    <t>Foxhill Primary School</t>
  </si>
  <si>
    <t>RBCY</t>
  </si>
  <si>
    <t>Frizinghall Primary School</t>
  </si>
  <si>
    <t>RBKF</t>
  </si>
  <si>
    <t>Girlington Primary School</t>
  </si>
  <si>
    <t>RBKC</t>
  </si>
  <si>
    <t>Glenaire Primary School</t>
  </si>
  <si>
    <t>RBEL</t>
  </si>
  <si>
    <t>Green Lane Primary School</t>
  </si>
  <si>
    <t>RBKG</t>
  </si>
  <si>
    <t>Greengates Primary School</t>
  </si>
  <si>
    <t>RBEQ</t>
  </si>
  <si>
    <t>Grove House Primary School</t>
  </si>
  <si>
    <t>RBIE</t>
  </si>
  <si>
    <t>Harden Primary School</t>
  </si>
  <si>
    <t>RBJK</t>
  </si>
  <si>
    <t>Haworth Primary School</t>
  </si>
  <si>
    <t>RBGK</t>
  </si>
  <si>
    <t>Heaton Primary School</t>
  </si>
  <si>
    <t>RBHG</t>
  </si>
  <si>
    <t>Heaton St Barnabas' CE Primary School</t>
  </si>
  <si>
    <t>RBHJ</t>
  </si>
  <si>
    <t>High Crags Primary School</t>
  </si>
  <si>
    <t>RBFU</t>
  </si>
  <si>
    <t>Hill Top CE Primary School</t>
  </si>
  <si>
    <t>RBJR</t>
  </si>
  <si>
    <t>Hollingwood Primary School</t>
  </si>
  <si>
    <t>RBDM</t>
  </si>
  <si>
    <t>Holybrook Primary School</t>
  </si>
  <si>
    <t>RBDE</t>
  </si>
  <si>
    <t>Holycroft Primary School</t>
  </si>
  <si>
    <t>RDQZ</t>
  </si>
  <si>
    <t>Home Farm Primary School</t>
  </si>
  <si>
    <t>RBDU</t>
  </si>
  <si>
    <t>Horton Grange Primary School</t>
  </si>
  <si>
    <t>RBJW</t>
  </si>
  <si>
    <t>Horton Park Primary School</t>
  </si>
  <si>
    <t>RBDA</t>
  </si>
  <si>
    <t>Hothfield Junior School</t>
  </si>
  <si>
    <t>RBGF</t>
  </si>
  <si>
    <t>Hoyle Court Primary School</t>
  </si>
  <si>
    <t>RBDY</t>
  </si>
  <si>
    <t>Idle CE Primary School</t>
  </si>
  <si>
    <t>RBGX</t>
  </si>
  <si>
    <t>Ingrow Primary School</t>
  </si>
  <si>
    <t>RBJT</t>
  </si>
  <si>
    <t>Iqra Community Primary School</t>
  </si>
  <si>
    <t>RBDI</t>
  </si>
  <si>
    <t>Keelham Primary School</t>
  </si>
  <si>
    <t>RBDB</t>
  </si>
  <si>
    <t>Keighley St Andrew's CE Primary School</t>
  </si>
  <si>
    <t>RBHF</t>
  </si>
  <si>
    <t>Killinghall Primary School</t>
  </si>
  <si>
    <t>RBEE</t>
  </si>
  <si>
    <t>Knowleswood Primary School</t>
  </si>
  <si>
    <t>RBKK</t>
  </si>
  <si>
    <t>Lapage Primary School and Nursery</t>
  </si>
  <si>
    <t>RBDZ</t>
  </si>
  <si>
    <t>Laycock Primary School</t>
  </si>
  <si>
    <t>RBID</t>
  </si>
  <si>
    <t>Lees Primary School</t>
  </si>
  <si>
    <t>RBHZ</t>
  </si>
  <si>
    <t>Ley Top Primary School</t>
  </si>
  <si>
    <t>RBET</t>
  </si>
  <si>
    <t>Lidget Green Primary School</t>
  </si>
  <si>
    <t>RBJV</t>
  </si>
  <si>
    <t>Lilycroft Primary School</t>
  </si>
  <si>
    <t>RBJE</t>
  </si>
  <si>
    <t>Lister Primary School</t>
  </si>
  <si>
    <t>RBIZ</t>
  </si>
  <si>
    <t>Long Lee Primary School</t>
  </si>
  <si>
    <t>RBKE</t>
  </si>
  <si>
    <t>Low Ash Primary School</t>
  </si>
  <si>
    <t>RBKJ</t>
  </si>
  <si>
    <t>Low Moor CE Primary School</t>
  </si>
  <si>
    <t>RBEB</t>
  </si>
  <si>
    <t>Lower Fields Primary School</t>
  </si>
  <si>
    <t>RBCX</t>
  </si>
  <si>
    <t>Margaret McMillan Primary School</t>
  </si>
  <si>
    <t>RBHN</t>
  </si>
  <si>
    <t>Marshfield Primary School</t>
  </si>
  <si>
    <t>RBDX</t>
  </si>
  <si>
    <t>Menston Primary School</t>
  </si>
  <si>
    <t>RBKT</t>
  </si>
  <si>
    <t>Merlin Top Primary</t>
  </si>
  <si>
    <t>RBGE</t>
  </si>
  <si>
    <t>Miriam Lord Community Primary School</t>
  </si>
  <si>
    <t>RBDK</t>
  </si>
  <si>
    <t>Myrtle Park Primary School</t>
  </si>
  <si>
    <t>RBJS</t>
  </si>
  <si>
    <t>Nessfield Primary School</t>
  </si>
  <si>
    <t>RBES</t>
  </si>
  <si>
    <t>Newby Primary School</t>
  </si>
  <si>
    <t>RBEC</t>
  </si>
  <si>
    <t>Newhall Park Primary School</t>
  </si>
  <si>
    <t>RBDC</t>
  </si>
  <si>
    <t>Oakworth Primary School</t>
  </si>
  <si>
    <t>RBJH</t>
  </si>
  <si>
    <t>Oldfield Primary School</t>
  </si>
  <si>
    <t>RBFR</t>
  </si>
  <si>
    <t>Our Lady &amp; St Brendan's Catholic Primary School</t>
  </si>
  <si>
    <t>RBIM</t>
  </si>
  <si>
    <t>Our Lady of Victories Catholic Primary School</t>
  </si>
  <si>
    <t>RBEU</t>
  </si>
  <si>
    <t>Oxenhope CE Primary School</t>
  </si>
  <si>
    <t>RBIX</t>
  </si>
  <si>
    <t>Parkland Primary School</t>
  </si>
  <si>
    <t>RBHU</t>
  </si>
  <si>
    <t>Parkwood Primary School</t>
  </si>
  <si>
    <t>RBGW</t>
  </si>
  <si>
    <t>Peel Park Primary School</t>
  </si>
  <si>
    <t>RBFH</t>
  </si>
  <si>
    <t>Poplars Farm Primary School</t>
  </si>
  <si>
    <t>RBIO</t>
  </si>
  <si>
    <t>Priestthorpe Primary School</t>
  </si>
  <si>
    <t>RBFG</t>
  </si>
  <si>
    <t>Princeville Primary School and Children's Centre</t>
  </si>
  <si>
    <t>RBGD</t>
  </si>
  <si>
    <t>Reevy Hill Primary School</t>
  </si>
  <si>
    <t>RBCW</t>
  </si>
  <si>
    <t>Riddlesden St Mary's CE Primary</t>
  </si>
  <si>
    <t>RBEP</t>
  </si>
  <si>
    <t>Russell Hall Primary School</t>
  </si>
  <si>
    <t>RBEM</t>
  </si>
  <si>
    <t>Saltaire Primary School</t>
  </si>
  <si>
    <t>RBFE</t>
  </si>
  <si>
    <t>Sandal Primary School and Nursery</t>
  </si>
  <si>
    <t>RBGG</t>
  </si>
  <si>
    <t>Sandy Lane Primary School</t>
  </si>
  <si>
    <t>RBGQ</t>
  </si>
  <si>
    <t>Shibden Head Primary School</t>
  </si>
  <si>
    <t>RBFJ</t>
  </si>
  <si>
    <t>Shipley CE Primary School</t>
  </si>
  <si>
    <t>RBGV</t>
  </si>
  <si>
    <t>Shirley Manor Primary School</t>
  </si>
  <si>
    <t>RBFW</t>
  </si>
  <si>
    <t>Southmere Primary School</t>
  </si>
  <si>
    <t>RBHD</t>
  </si>
  <si>
    <t>Springwood Community Primary School</t>
  </si>
  <si>
    <t>RBCT</t>
  </si>
  <si>
    <t>St Anne's Catholic Primary School</t>
  </si>
  <si>
    <t>RBGI</t>
  </si>
  <si>
    <t>St Anthony's Catholic Primary School (Clayton)</t>
  </si>
  <si>
    <t>RBFZ</t>
  </si>
  <si>
    <t>St Anthony's Catholic Primary School (Shipley)</t>
  </si>
  <si>
    <t>RBKD</t>
  </si>
  <si>
    <t>St Clare's Catholic Primary School</t>
  </si>
  <si>
    <t>RBFF</t>
  </si>
  <si>
    <t>St Columba's Catholic Primary School</t>
  </si>
  <si>
    <t>RBGO</t>
  </si>
  <si>
    <t>St Cuthbert &amp; the First Martyrs' Catholic Primary</t>
  </si>
  <si>
    <t>RBEY</t>
  </si>
  <si>
    <t>St Francis' Catholic Primary School</t>
  </si>
  <si>
    <t>RBHV</t>
  </si>
  <si>
    <t>St James' Church Primary School</t>
  </si>
  <si>
    <t>RBIN</t>
  </si>
  <si>
    <t>St John The Evangelist Catholic Primary School</t>
  </si>
  <si>
    <t>RBHH</t>
  </si>
  <si>
    <t>St John's CE Primary School</t>
  </si>
  <si>
    <t>RBJF</t>
  </si>
  <si>
    <t>St Joseph's Catholic Primary School (Bingley)</t>
  </si>
  <si>
    <t>RBGS</t>
  </si>
  <si>
    <t>St Joseph's Catholic Primary School (Bradford)</t>
  </si>
  <si>
    <t>RBFA</t>
  </si>
  <si>
    <t>St Joseph's Catholic Primary School (Keighley)</t>
  </si>
  <si>
    <t>RBIR</t>
  </si>
  <si>
    <t>St Luke's CE Primary School</t>
  </si>
  <si>
    <t>RBIL</t>
  </si>
  <si>
    <t xml:space="preserve">St Mary's and St Peter's Catholic </t>
  </si>
  <si>
    <t>RBFS</t>
  </si>
  <si>
    <t>St Matthew's Catholic Primary School</t>
  </si>
  <si>
    <t>RBJL</t>
  </si>
  <si>
    <t>St Matthew's CE Primary School</t>
  </si>
  <si>
    <t>RBGP</t>
  </si>
  <si>
    <t>St Paul's CE Primary School</t>
  </si>
  <si>
    <t>RBHQ</t>
  </si>
  <si>
    <t>St Philip's CE Primary School</t>
  </si>
  <si>
    <t>RBIS</t>
  </si>
  <si>
    <t>St Stephen's CE Primary School</t>
  </si>
  <si>
    <t>RBGY</t>
  </si>
  <si>
    <t>St Walburga's Catholic Primary School</t>
  </si>
  <si>
    <t>RBGH</t>
  </si>
  <si>
    <t>St William's Catholic Primary School</t>
  </si>
  <si>
    <t>RBFV</t>
  </si>
  <si>
    <t>St Winefride's Catholic Primary School</t>
  </si>
  <si>
    <t>RBDV</t>
  </si>
  <si>
    <t>Stanbury Village School</t>
  </si>
  <si>
    <t>RBGT</t>
  </si>
  <si>
    <t>Steeton Primary School</t>
  </si>
  <si>
    <t>RBIA</t>
  </si>
  <si>
    <t>Stocks Lane Primary School</t>
  </si>
  <si>
    <t>RBCV</t>
  </si>
  <si>
    <t>Swain House Primary School</t>
  </si>
  <si>
    <t>RBJA</t>
  </si>
  <si>
    <t>Thackley Primary School</t>
  </si>
  <si>
    <t>RBGC</t>
  </si>
  <si>
    <t>The Sacred Heart Catholic Primary School</t>
  </si>
  <si>
    <t>RBDD</t>
  </si>
  <si>
    <t>Thornbury Primary School</t>
  </si>
  <si>
    <t>RBHA</t>
  </si>
  <si>
    <t>Thornton Primary School</t>
  </si>
  <si>
    <t>RBEV</t>
  </si>
  <si>
    <t>Thorpe Primary School</t>
  </si>
  <si>
    <t>RBHC</t>
  </si>
  <si>
    <t>Trinity All Saints CE Primary School</t>
  </si>
  <si>
    <t>RBKP</t>
  </si>
  <si>
    <t>Victoria Primary School</t>
  </si>
  <si>
    <t>RBII</t>
  </si>
  <si>
    <t>Wellington Primary School</t>
  </si>
  <si>
    <t>RBJP</t>
  </si>
  <si>
    <t>Westbourne Primary School</t>
  </si>
  <si>
    <t>RBFM</t>
  </si>
  <si>
    <t>Westminster CE Primary School</t>
  </si>
  <si>
    <t>RBFK</t>
  </si>
  <si>
    <t>Whetley Primary School</t>
  </si>
  <si>
    <t>RBGJ</t>
  </si>
  <si>
    <t>Wibsey Primary School</t>
  </si>
  <si>
    <t>RBFQ</t>
  </si>
  <si>
    <t>Wilsden Primary School</t>
  </si>
  <si>
    <t>RBHE</t>
  </si>
  <si>
    <t>Windhill CE Primary School</t>
  </si>
  <si>
    <t>RBJC</t>
  </si>
  <si>
    <t>Woodlands CE Primary School</t>
  </si>
  <si>
    <t>RBHS</t>
  </si>
  <si>
    <t>Woodside Primary School and Children's Centre</t>
  </si>
  <si>
    <t>RBEZ</t>
  </si>
  <si>
    <t>Worth Valley Primary School</t>
  </si>
  <si>
    <t>RBJJ</t>
  </si>
  <si>
    <t>Worthinghead Primary School</t>
  </si>
  <si>
    <t>RBGM</t>
  </si>
  <si>
    <t>Wycliffe CE Primary School</t>
  </si>
  <si>
    <t>RBDL</t>
  </si>
  <si>
    <t>Beckfoot School</t>
  </si>
  <si>
    <t>SECONDARY</t>
  </si>
  <si>
    <t>RBDR</t>
  </si>
  <si>
    <t>Belle Vue Boys' School</t>
  </si>
  <si>
    <t>RBEG</t>
  </si>
  <si>
    <t>Bingley Grammar School</t>
  </si>
  <si>
    <t>RBEF</t>
  </si>
  <si>
    <t>Buttershaw Business &amp; Enterprise College</t>
  </si>
  <si>
    <t>RBEW</t>
  </si>
  <si>
    <t>Carlton Bolling College</t>
  </si>
  <si>
    <t>RBKV</t>
  </si>
  <si>
    <t>Challenge College</t>
  </si>
  <si>
    <t>RBEH</t>
  </si>
  <si>
    <t>Grange Technology College</t>
  </si>
  <si>
    <t>RBJZ</t>
  </si>
  <si>
    <t>Hanson School</t>
  </si>
  <si>
    <t>RBIH</t>
  </si>
  <si>
    <t>Immanuel College</t>
  </si>
  <si>
    <t>RBIB</t>
  </si>
  <si>
    <t>Laisterdyke Business and Enterprise College</t>
  </si>
  <si>
    <t>RBDH</t>
  </si>
  <si>
    <t>Oakbank School</t>
  </si>
  <si>
    <t>RBCQ</t>
  </si>
  <si>
    <t>Parkside School</t>
  </si>
  <si>
    <t>RBGZ</t>
  </si>
  <si>
    <t>Queensbury School</t>
  </si>
  <si>
    <t>RBFC</t>
  </si>
  <si>
    <t>St Bede's Catholic Grammar School</t>
  </si>
  <si>
    <t>RBFD</t>
  </si>
  <si>
    <t>St Joseph's Catholic College</t>
  </si>
  <si>
    <t>RBDG</t>
  </si>
  <si>
    <t>The Holy Family Catholic School</t>
  </si>
  <si>
    <t>RBEJ</t>
  </si>
  <si>
    <t>Thornton Grammar School</t>
  </si>
  <si>
    <t>RBKB</t>
  </si>
  <si>
    <t>Titus Salt School</t>
  </si>
  <si>
    <t>RBIT</t>
  </si>
  <si>
    <t>Tong High School</t>
  </si>
  <si>
    <t>RFQW</t>
  </si>
  <si>
    <t>Beechcliffe Special School</t>
  </si>
  <si>
    <t>SPECIAL</t>
  </si>
  <si>
    <t>RFQS</t>
  </si>
  <si>
    <t>Chellow Heights Special School</t>
  </si>
  <si>
    <t>RFQT</t>
  </si>
  <si>
    <t>Delius Special School</t>
  </si>
  <si>
    <t>RFQX</t>
  </si>
  <si>
    <t>Hazelbeck Special School</t>
  </si>
  <si>
    <t>RFQV</t>
  </si>
  <si>
    <t>High Park Special School</t>
  </si>
  <si>
    <t>RFQU</t>
  </si>
  <si>
    <t>Phoenix Special School</t>
  </si>
  <si>
    <t>RFQY</t>
  </si>
  <si>
    <t>Southfield Special School</t>
  </si>
  <si>
    <t>TBC 1</t>
  </si>
  <si>
    <t>Oastler School</t>
  </si>
  <si>
    <t>TBC</t>
  </si>
  <si>
    <t>TBC2</t>
  </si>
  <si>
    <t>Central PRU</t>
  </si>
  <si>
    <t>PRU</t>
  </si>
  <si>
    <t>TBC6</t>
  </si>
  <si>
    <t>District PRU</t>
  </si>
  <si>
    <t>TBC8</t>
  </si>
  <si>
    <t>Education in Hospital Airedale</t>
  </si>
  <si>
    <t>TBC7</t>
  </si>
  <si>
    <t>Education in Hospital BRI</t>
  </si>
  <si>
    <t>TBC5</t>
  </si>
  <si>
    <t>Ellar Carr</t>
  </si>
  <si>
    <t>Primary PRU</t>
  </si>
  <si>
    <t>TBC4</t>
  </si>
  <si>
    <t>Tracks</t>
  </si>
  <si>
    <t>FORECAST</t>
  </si>
  <si>
    <t>ATD</t>
  </si>
  <si>
    <t>GAB</t>
  </si>
  <si>
    <t>REVISED</t>
  </si>
  <si>
    <t>Y</t>
  </si>
  <si>
    <t>N</t>
  </si>
  <si>
    <t>CFR 2024-25</t>
  </si>
  <si>
    <t>Year</t>
  </si>
  <si>
    <t>CostC</t>
  </si>
  <si>
    <t>OB01</t>
  </si>
  <si>
    <t>OB02</t>
  </si>
  <si>
    <t>OB03</t>
  </si>
  <si>
    <t>B03</t>
  </si>
  <si>
    <t>B05</t>
  </si>
  <si>
    <t>2024-25</t>
  </si>
  <si>
    <t>Fawcett Primary School</t>
  </si>
  <si>
    <t>Kings Hedges Nursery School</t>
  </si>
  <si>
    <t>Kings Hedges Primary School</t>
  </si>
  <si>
    <t>Trumpington Meadows Primary School</t>
  </si>
  <si>
    <t>2025-26 Master Input</t>
  </si>
  <si>
    <t>missing; break links</t>
  </si>
  <si>
    <t>2025-26</t>
  </si>
  <si>
    <t>B01, B02, B06 balances from CFR 31 March 2025</t>
  </si>
  <si>
    <t>B01+B02</t>
  </si>
  <si>
    <t>Total Revenue Balance</t>
  </si>
  <si>
    <t>Unit 4 Total</t>
  </si>
  <si>
    <t>Diff</t>
  </si>
  <si>
    <t>Capital Balances on SAP</t>
  </si>
  <si>
    <t>COSTC</t>
  </si>
  <si>
    <t>Capital on Unit4</t>
  </si>
  <si>
    <t>2023/24</t>
  </si>
  <si>
    <t>SCHEMES (INCLUDE THOSE ALREADY APPROVED)</t>
  </si>
  <si>
    <t>SAP</t>
  </si>
  <si>
    <t>RCCO 2024/25</t>
  </si>
  <si>
    <t>RCCO 2025/26</t>
  </si>
  <si>
    <t>RCCO 2026/27</t>
  </si>
  <si>
    <t>DESCRIPTION</t>
  </si>
  <si>
    <t>Spend to Save 2024/25</t>
  </si>
  <si>
    <t>Spend to Save 2025/26</t>
  </si>
  <si>
    <t>Spend to Save 2026/27</t>
  </si>
  <si>
    <t>Contracts Review 2024/25</t>
  </si>
  <si>
    <t>Contracts Review 2025/26</t>
  </si>
  <si>
    <t>Contracts Review 2026/27</t>
  </si>
  <si>
    <t>Expansion 2024/25</t>
  </si>
  <si>
    <t>Expansion 2025/26</t>
  </si>
  <si>
    <t>Expansion 2026/27</t>
  </si>
  <si>
    <t>Reduction 2024/25</t>
  </si>
  <si>
    <t>Reduction 2025/26</t>
  </si>
  <si>
    <t>Reduction 2026/27</t>
  </si>
  <si>
    <t>Exceptional 2024/25</t>
  </si>
  <si>
    <t>Exceptional 2025/26</t>
  </si>
  <si>
    <t>Exceptional 2026/27</t>
  </si>
  <si>
    <t>Total of Schemes</t>
  </si>
  <si>
    <t>Silsden Primary School</t>
  </si>
  <si>
    <t>Various IUBs related to site and buildings and expansion (see breakdown on file / in approval letter)</t>
  </si>
  <si>
    <t>RCCO - playground and library, Minibuses</t>
  </si>
  <si>
    <t>Budget Protection (pupil numbers reduction)</t>
  </si>
  <si>
    <t>To safeguard reductionsto funding streams</t>
  </si>
  <si>
    <t>Protection MNS funding review</t>
  </si>
  <si>
    <t>Reduction in PAN and pay awards</t>
  </si>
  <si>
    <t>RCCO - purchase of a minibus</t>
  </si>
  <si>
    <t>RCCO - bungalow refurbishment</t>
  </si>
  <si>
    <t>Reduction in PAN and protected salaries</t>
  </si>
  <si>
    <t>RCCO - New Office Space</t>
  </si>
  <si>
    <t>RCCO - Reception Renovation</t>
  </si>
  <si>
    <t>School Re-org and COVID Recovery Plan</t>
  </si>
  <si>
    <t>Cover long term absence</t>
  </si>
  <si>
    <t>Uncertainty (inflation, energy, NJC pay award)</t>
  </si>
  <si>
    <t>RGQE</t>
  </si>
  <si>
    <t>Park Aspire</t>
  </si>
  <si>
    <t>Totals By Year</t>
  </si>
  <si>
    <t>Totals By Type</t>
  </si>
  <si>
    <t>Already agreed for 2016/17 &amp; 2017/18</t>
  </si>
  <si>
    <t>Bankfoot RCCO £35,000 in 17/18</t>
  </si>
  <si>
    <t>Set IUB Limits for 2024/25</t>
  </si>
  <si>
    <t>(full calc is within the GAB template)</t>
  </si>
  <si>
    <t>IUB Limit March 2025</t>
  </si>
  <si>
    <t>Are your income actuals positive?</t>
  </si>
  <si>
    <t>Variance between Governor Approved Budget and Forecast (Col K - Col E)</t>
  </si>
  <si>
    <t>(these two figure should normally match. You may have MLEI Loan repayments that cause an imbalance - this is ok)</t>
  </si>
  <si>
    <t>Submitted Bugdet</t>
  </si>
  <si>
    <t>Movement</t>
  </si>
  <si>
    <t>2025/26 Budget Monitoring</t>
  </si>
  <si>
    <t>SUMMARY BUDGET POSITION 2025/26</t>
  </si>
  <si>
    <t>Brought Forward Balance March 2025</t>
  </si>
  <si>
    <t>FORECASTED CARRY FORWARD BALANCE AT THE END OF 2025/26 (BO1 + BO2)</t>
  </si>
  <si>
    <t>FORECASTED CARRY FORWARD BALANCE AT THE END OF 2025/26 (BO6)</t>
  </si>
  <si>
    <t>FORECASTED TOTAL SCHOOL REVENUE CARRY FORWARD BALANCE AT THE END OF 2025/26</t>
  </si>
  <si>
    <t>FORECASTED CAPITAL BALANCE TO CARRY FORWARD AT THE END OF 2025/26</t>
  </si>
  <si>
    <t>Change in Forecasted Carry Forward Balance (to be held at March 2026) Monitor vs. Original Budget</t>
  </si>
  <si>
    <t>Instructions</t>
  </si>
  <si>
    <t>Check all contracts are reflected correctly in latest budget. Payroll Reconciliation should be completed each month to ensure you are paying the correct amounts and that your forecast is correct</t>
  </si>
  <si>
    <t>Import your actuals (don't forget to deselect Income in Positive - make it grey)</t>
  </si>
  <si>
    <t xml:space="preserve">Run Budget vs Actuals report. </t>
  </si>
  <si>
    <t>Agreed Budget (Governor Approved), Forecast Budget (Latest forecast budget with the latest staff costings/contracts), Month of last months actuals in it, eg if CEA is for 1.4.25 to 31.5.25 month to be selected should be May)</t>
  </si>
  <si>
    <t>Amend Projected YE Outturn column (Forecast Column).
To amend non staff contract income or expenditure forecasts,  if it’s a permanent change/change that should be seen for a while amend via Budget Entries or if it’s a one off do it via add adjustments.</t>
  </si>
  <si>
    <t xml:space="preserve">Please add notes </t>
  </si>
  <si>
    <t>Export SBS BvA Report (as a Table)</t>
  </si>
  <si>
    <t>Open file</t>
  </si>
  <si>
    <t>Select Enable Editing</t>
  </si>
  <si>
    <t>Copy the full SBS table</t>
  </si>
  <si>
    <t>Paste these into cell A1 of the SBS BvA report (Table) tab in the Budget Monitoring Template</t>
  </si>
  <si>
    <t xml:space="preserve">Check totals on school summary tab match/say the same as whats on SBS BvA totals. </t>
  </si>
  <si>
    <t>If they don't please compare individual lines on the Template tab and let SSCT know which codes are incorrect.</t>
  </si>
  <si>
    <t>If they do match/are the same, please check the Alerts tab</t>
  </si>
  <si>
    <t>Please add comments to the Template tab to explain the Reason for the variance.</t>
  </si>
  <si>
    <t>If there are relevant notes in SBS, please copy and paste these into here </t>
  </si>
  <si>
    <t>Open up Budget Monitoring Template</t>
  </si>
  <si>
    <t>In b) Template tab change:</t>
  </si>
  <si>
    <t>School name in cell B3. Do this by clicking on the drop down menu and selecting your school</t>
  </si>
  <si>
    <t>Change "Position at the end of month" to the correct month in cell I5</t>
  </si>
  <si>
    <t xml:space="preserve">On your Budget vs Actuals report, your Income actuals in the main should be shown as positive figures (you may get the occasional code with a negative - please add notes saying why), if all/most income actuals are positive figures please select Y in cell 03. </t>
  </si>
  <si>
    <t>If your income is shown as negative figures on your Budget vs Actuals report, please select N in cell O3</t>
  </si>
  <si>
    <r>
      <t xml:space="preserve">Once you have reviewed your Budget Monitoring template, completed everything needed, please send to </t>
    </r>
    <r>
      <rPr>
        <b/>
        <sz val="11"/>
        <color theme="1"/>
        <rFont val="Calibri"/>
        <family val="2"/>
        <scheme val="minor"/>
      </rPr>
      <t>bank.account@cambridgeshire.gov.uk</t>
    </r>
  </si>
  <si>
    <t>2025/2026</t>
  </si>
  <si>
    <t>Please review any red highlighed zones below and make sure that you are happy with the content of your forecast before sending through to SSCT. 
You do not need to resolve all of these alerts. They are a quick sense check. 
We have added comment cells to the right of the alerts so you can add comments to them (these comments are optional, however could be useful for your governors/us to know why the alert is showing)</t>
  </si>
  <si>
    <t>Comments on Alerts (Optional)</t>
  </si>
  <si>
    <t>This sheet shows some quick check alerts that schools should consider.
Please review any red highlighed zones below and make sure that you are happy with the content of your forecast before sending through to SSCT. You do not need to resolve all of these alerts. They are a quick sense check.
You can still submit your return with these alerts outstanding.</t>
  </si>
  <si>
    <t>SFA/SSCT Comments</t>
  </si>
  <si>
    <t>Variance is SBSG and rates journal</t>
  </si>
  <si>
    <t>New admission with EHCP already in place</t>
  </si>
  <si>
    <t>UIFSM and PE Grant from I18</t>
  </si>
  <si>
    <t>Term 6 invoices due in July</t>
  </si>
  <si>
    <t>Actuals are unbudgeted misc. income</t>
  </si>
  <si>
    <t>Absence claim May/June 25 - not in budget.  Further claims due</t>
  </si>
  <si>
    <t>Receipts for summer term trips plus resi payments</t>
  </si>
  <si>
    <t>PTA Donation not in original budget</t>
  </si>
  <si>
    <t>UIFSM and PE Grant moved to I06</t>
  </si>
  <si>
    <t xml:space="preserve">Staffing changes/reorganisation (£36800 reduction to projected year end).  Effect of teachers pay award (£9775 increase to projected year end). </t>
  </si>
  <si>
    <t xml:space="preserve">Staffing changes.  </t>
  </si>
  <si>
    <t>Overtime</t>
  </si>
  <si>
    <t xml:space="preserve">Recruited at lower grade than budgeted.  </t>
  </si>
  <si>
    <t>NJC backdated payrise not paid yet - should resolve once paid.</t>
  </si>
  <si>
    <t>Limited spend on recruitment costs reducing percentage</t>
  </si>
  <si>
    <t>Large invoice paid in May.  Spend still on target</t>
  </si>
  <si>
    <t xml:space="preserve">Costs associated with leak.  </t>
  </si>
  <si>
    <t>New contractor at lower cost.  Majority of costs incurred during summer months</t>
  </si>
  <si>
    <t>Bulk order for cleaning materials</t>
  </si>
  <si>
    <t>No bill received to date.  To be investigated</t>
  </si>
  <si>
    <t>Lower useage during summer</t>
  </si>
  <si>
    <t>Variance is rates expense (see income)</t>
  </si>
  <si>
    <t>Refuse costs missed from budget</t>
  </si>
  <si>
    <t>Trip costs skewing percentage.  Covered by income and PP.</t>
  </si>
  <si>
    <t>IT support costs paid for year - skewing overall percentage</t>
  </si>
  <si>
    <t>Overspend on furniture and fittings</t>
  </si>
  <si>
    <t>Cover for absence, part covered by insurance claim.  Anticipated to end in July</t>
  </si>
  <si>
    <t>Invoices expected later in year</t>
  </si>
  <si>
    <t>Reviewed consultancy costs</t>
  </si>
  <si>
    <t>MLEI</t>
  </si>
  <si>
    <t>Higher pupil numbers in summer term, will drop after holidays.  September pupil numbers used in budget for full year.</t>
  </si>
  <si>
    <t>Parental contributions higher due to increased pupil numbers in summer term.  As above</t>
  </si>
  <si>
    <t>Staffing personnel changes.  NJC backdated payrise not paid yet - should resolve once paid.</t>
  </si>
  <si>
    <t>Capital 88888888-05 income.</t>
  </si>
  <si>
    <t>Expenditure (99999999-05) due over the summer</t>
  </si>
  <si>
    <t>Estimated cost of IT equipment</t>
  </si>
  <si>
    <t>CAPITAL BUDGETS CANNOT BE IN DEFICIT AT YEAR END</t>
  </si>
  <si>
    <t>River Cam Primary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</si>
</sst>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_);_(* \(#,##0\);_(* &quot;-&quot;_);_(@_)"/>
    <numFmt numFmtId="166" formatCode="_-* #,##0.0_-;\-* #,##0.0_-;_-* &quot;-&quot;??_-;_-@_-"/>
    <numFmt numFmtId="167" formatCode="#,##0;\(#,##0\)"/>
    <numFmt numFmtId="168" formatCode="&quot;£&quot;#,##0"/>
    <numFmt numFmtId="169" formatCode="#,##0_ ;\-#,##0\ "/>
    <numFmt numFmtId="170" formatCode="mmmm"/>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2"/>
      <name val="Arial"/>
      <family val="2"/>
    </font>
    <font>
      <sz val="12"/>
      <color indexed="10"/>
      <name val="Arial"/>
      <family val="2"/>
    </font>
    <font>
      <sz val="10"/>
      <name val="Arial"/>
      <family val="2"/>
    </font>
    <font>
      <sz val="8"/>
      <name val="Arial"/>
      <family val="2"/>
    </font>
    <font>
      <b/>
      <u/>
      <sz val="10"/>
      <name val="Arial"/>
      <family val="2"/>
    </font>
    <font>
      <b/>
      <sz val="10"/>
      <color indexed="10"/>
      <name val="Arial"/>
      <family val="2"/>
    </font>
    <font>
      <b/>
      <u/>
      <sz val="12"/>
      <color indexed="10"/>
      <name val="Arial"/>
      <family val="2"/>
    </font>
    <font>
      <b/>
      <u/>
      <sz val="11"/>
      <name val="Arial"/>
      <family val="2"/>
    </font>
    <font>
      <b/>
      <i/>
      <u/>
      <sz val="11"/>
      <name val="Arial"/>
      <family val="2"/>
    </font>
    <font>
      <sz val="11"/>
      <name val="Arial"/>
      <family val="2"/>
    </font>
    <font>
      <b/>
      <sz val="11"/>
      <name val="Arial"/>
      <family val="2"/>
    </font>
    <font>
      <b/>
      <sz val="18"/>
      <name val="Arial"/>
      <family val="2"/>
    </font>
    <font>
      <b/>
      <sz val="14"/>
      <name val="Arial"/>
      <family val="2"/>
    </font>
    <font>
      <sz val="14"/>
      <name val="Arial"/>
      <family val="2"/>
    </font>
    <font>
      <b/>
      <sz val="16"/>
      <name val="Arial"/>
      <family val="2"/>
    </font>
    <font>
      <b/>
      <i/>
      <sz val="11"/>
      <name val="Arial"/>
      <family val="2"/>
    </font>
    <font>
      <i/>
      <sz val="11"/>
      <name val="Arial"/>
      <family val="2"/>
    </font>
    <font>
      <b/>
      <i/>
      <sz val="11"/>
      <color indexed="10"/>
      <name val="Arial"/>
      <family val="2"/>
    </font>
    <font>
      <b/>
      <u val="singleAccounting"/>
      <sz val="11"/>
      <name val="Arial"/>
      <family val="2"/>
    </font>
    <font>
      <b/>
      <u/>
      <sz val="16"/>
      <name val="Arial"/>
      <family val="2"/>
    </font>
    <font>
      <b/>
      <sz val="12"/>
      <color indexed="9"/>
      <name val="Arial"/>
      <family val="2"/>
    </font>
    <font>
      <sz val="9"/>
      <name val="Arial"/>
      <family val="2"/>
    </font>
    <font>
      <b/>
      <sz val="9"/>
      <name val="Arial"/>
      <family val="2"/>
    </font>
    <font>
      <u/>
      <sz val="10"/>
      <name val="Arial"/>
      <family val="2"/>
    </font>
    <font>
      <sz val="10"/>
      <name val="Helv"/>
      <charset val="204"/>
    </font>
    <font>
      <b/>
      <sz val="11"/>
      <color indexed="9"/>
      <name val="Arial"/>
      <family val="2"/>
    </font>
    <font>
      <b/>
      <sz val="9"/>
      <color indexed="10"/>
      <name val="Arial"/>
      <family val="2"/>
    </font>
    <font>
      <b/>
      <sz val="8"/>
      <color indexed="10"/>
      <name val="Arial"/>
      <family val="2"/>
    </font>
    <font>
      <b/>
      <u/>
      <sz val="20"/>
      <name val="Arial"/>
      <family val="2"/>
    </font>
    <font>
      <sz val="8"/>
      <color indexed="81"/>
      <name val="Tahoma"/>
      <family val="2"/>
    </font>
    <font>
      <b/>
      <i/>
      <sz val="14"/>
      <name val="Arial"/>
      <family val="2"/>
    </font>
    <font>
      <sz val="10"/>
      <color indexed="9"/>
      <name val="Helv"/>
      <charset val="204"/>
    </font>
    <font>
      <b/>
      <i/>
      <u/>
      <sz val="10"/>
      <color indexed="23"/>
      <name val="Arial"/>
      <family val="2"/>
    </font>
    <font>
      <i/>
      <sz val="11"/>
      <color indexed="23"/>
      <name val="Arial"/>
      <family val="2"/>
    </font>
    <font>
      <b/>
      <i/>
      <sz val="12"/>
      <color indexed="23"/>
      <name val="Arial"/>
      <family val="2"/>
    </font>
    <font>
      <sz val="10"/>
      <color indexed="10"/>
      <name val="Arial"/>
      <family val="2"/>
    </font>
    <font>
      <u/>
      <sz val="10"/>
      <color rgb="FFFF0000"/>
      <name val="Arial"/>
      <family val="2"/>
    </font>
    <font>
      <sz val="10"/>
      <color rgb="FFFF0000"/>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sz val="6.7"/>
      <name val="Arial"/>
      <family val="2"/>
    </font>
    <font>
      <sz val="11"/>
      <color rgb="FFFF0000"/>
      <name val="Arial"/>
      <family val="2"/>
    </font>
    <font>
      <b/>
      <sz val="10"/>
      <color indexed="9"/>
      <name val="Arial"/>
      <family val="2"/>
    </font>
    <font>
      <b/>
      <sz val="10"/>
      <color indexed="12"/>
      <name val="Arial"/>
      <family val="2"/>
    </font>
    <font>
      <sz val="10"/>
      <color indexed="12"/>
      <name val="Arial"/>
      <family val="2"/>
    </font>
    <font>
      <sz val="8"/>
      <color theme="0"/>
      <name val="Arial"/>
      <family val="2"/>
    </font>
    <font>
      <sz val="10"/>
      <color theme="0"/>
      <name val="Arial"/>
      <family val="2"/>
    </font>
    <font>
      <sz val="12"/>
      <color theme="0"/>
      <name val="Arial"/>
      <family val="2"/>
    </font>
    <font>
      <b/>
      <sz val="11"/>
      <color theme="3"/>
      <name val="Arial"/>
      <family val="2"/>
    </font>
    <font>
      <b/>
      <i/>
      <u/>
      <sz val="24"/>
      <name val="Arial"/>
      <family val="2"/>
    </font>
    <font>
      <b/>
      <sz val="11"/>
      <color rgb="FFFFFFFF"/>
      <name val="Calibri"/>
      <family val="2"/>
    </font>
    <font>
      <b/>
      <sz val="12"/>
      <color theme="0"/>
      <name val="Arial"/>
      <family val="2"/>
    </font>
    <font>
      <b/>
      <sz val="11"/>
      <color theme="1"/>
      <name val="Calibri"/>
      <family val="2"/>
      <scheme val="minor"/>
    </font>
    <font>
      <b/>
      <sz val="11"/>
      <name val="Calibri"/>
      <family val="2"/>
    </font>
    <font>
      <sz val="11"/>
      <name val="Calibri"/>
      <family val="2"/>
      <scheme val="minor"/>
    </font>
    <font>
      <b/>
      <u/>
      <sz val="11"/>
      <color theme="1"/>
      <name val="Calibri"/>
      <family val="2"/>
      <scheme val="minor"/>
    </font>
    <font>
      <b/>
      <sz val="10"/>
      <color rgb="FFFFFF00"/>
      <name val="Arial"/>
      <family val="2"/>
    </font>
    <font>
      <b/>
      <sz val="12"/>
      <color rgb="FFFF0000"/>
      <name val="Arial"/>
      <family val="2"/>
    </font>
    <font>
      <b/>
      <sz val="9"/>
      <color indexed="81"/>
      <name val="Tahoma"/>
      <charset val="1"/>
    </font>
    <font>
      <sz val="9"/>
      <color indexed="81"/>
      <name val="Tahoma"/>
      <charset val="1"/>
    </font>
  </fonts>
  <fills count="23">
    <fill>
      <patternFill patternType="none"/>
    </fill>
    <fill>
      <patternFill patternType="gray125"/>
    </fill>
    <fill>
      <patternFill patternType="solid">
        <fgColor indexed="23"/>
      </patternFill>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EDF9FD"/>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22"/>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D2D6D8"/>
      </bottom>
      <diagonal/>
    </border>
    <border>
      <left/>
      <right/>
      <top/>
      <bottom style="medium">
        <color rgb="FFDCDCDC"/>
      </bottom>
      <diagonal/>
    </border>
  </borders>
  <cellStyleXfs count="12">
    <xf numFmtId="0" fontId="0" fillId="0" borderId="0"/>
    <xf numFmtId="43" fontId="9" fillId="0" borderId="0" applyFont="0" applyFill="0" applyBorder="0" applyAlignment="0" applyProtection="0"/>
    <xf numFmtId="0" fontId="9" fillId="2" borderId="0"/>
    <xf numFmtId="0" fontId="37" fillId="2"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1" fillId="0" borderId="0"/>
  </cellStyleXfs>
  <cellXfs count="628">
    <xf numFmtId="0" fontId="0" fillId="0" borderId="0" xfId="0"/>
    <xf numFmtId="3" fontId="12" fillId="0" borderId="1" xfId="1" applyNumberFormat="1" applyFont="1" applyFill="1" applyBorder="1" applyAlignment="1" applyProtection="1">
      <alignment horizontal="right"/>
      <protection hidden="1"/>
    </xf>
    <xf numFmtId="0" fontId="21" fillId="3" borderId="0" xfId="0" applyFont="1" applyFill="1" applyProtection="1">
      <protection hidden="1"/>
    </xf>
    <xf numFmtId="0" fontId="22" fillId="3" borderId="0" xfId="0" applyFont="1" applyFill="1" applyAlignment="1" applyProtection="1">
      <alignment horizontal="right"/>
      <protection hidden="1"/>
    </xf>
    <xf numFmtId="0" fontId="27" fillId="3" borderId="0" xfId="0" applyFont="1" applyFill="1" applyAlignment="1" applyProtection="1">
      <alignment horizontal="center"/>
      <protection hidden="1"/>
    </xf>
    <xf numFmtId="0" fontId="27" fillId="3" borderId="0" xfId="0" applyFont="1" applyFill="1" applyAlignment="1" applyProtection="1">
      <alignment horizontal="center" vertical="center"/>
      <protection hidden="1"/>
    </xf>
    <xf numFmtId="165" fontId="12" fillId="0" borderId="0" xfId="1" applyNumberFormat="1" applyFont="1" applyFill="1" applyBorder="1" applyProtection="1">
      <protection hidden="1"/>
    </xf>
    <xf numFmtId="165" fontId="12" fillId="0" borderId="2" xfId="1" applyNumberFormat="1" applyFont="1" applyFill="1" applyBorder="1" applyProtection="1">
      <protection hidden="1"/>
    </xf>
    <xf numFmtId="0" fontId="33" fillId="3" borderId="0" xfId="0" applyFont="1" applyFill="1" applyProtection="1">
      <protection hidden="1"/>
    </xf>
    <xf numFmtId="0" fontId="33"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0" fillId="3" borderId="0" xfId="0" applyFill="1"/>
    <xf numFmtId="3" fontId="12" fillId="3" borderId="1" xfId="1" applyNumberFormat="1" applyFont="1" applyFill="1" applyBorder="1" applyAlignment="1" applyProtection="1">
      <alignment horizontal="right"/>
      <protection hidden="1"/>
    </xf>
    <xf numFmtId="3" fontId="12" fillId="0" borderId="0" xfId="1" applyNumberFormat="1" applyFont="1" applyFill="1" applyBorder="1" applyAlignment="1" applyProtection="1">
      <alignment horizontal="right"/>
      <protection hidden="1"/>
    </xf>
    <xf numFmtId="0" fontId="0" fillId="0" borderId="0" xfId="0" applyProtection="1">
      <protection hidden="1"/>
    </xf>
    <xf numFmtId="0" fontId="26" fillId="0" borderId="0" xfId="0" applyFont="1" applyProtection="1">
      <protection hidden="1"/>
    </xf>
    <xf numFmtId="0" fontId="10" fillId="0" borderId="0" xfId="0" applyFont="1" applyProtection="1">
      <protection hidden="1"/>
    </xf>
    <xf numFmtId="164" fontId="0" fillId="0" borderId="0" xfId="1" applyNumberFormat="1" applyFont="1" applyProtection="1">
      <protection hidden="1"/>
    </xf>
    <xf numFmtId="164" fontId="0" fillId="0" borderId="0" xfId="1" applyNumberFormat="1" applyFont="1"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10" fillId="0" borderId="5" xfId="0" applyFont="1" applyBorder="1" applyProtection="1">
      <protection hidden="1"/>
    </xf>
    <xf numFmtId="0" fontId="0" fillId="0" borderId="0" xfId="0" applyAlignment="1" applyProtection="1">
      <alignment horizontal="right"/>
      <protection hidden="1"/>
    </xf>
    <xf numFmtId="0" fontId="0" fillId="0" borderId="2" xfId="0" applyBorder="1" applyProtection="1">
      <protection hidden="1"/>
    </xf>
    <xf numFmtId="0" fontId="0" fillId="0" borderId="8" xfId="0" applyBorder="1" applyProtection="1">
      <protection hidden="1"/>
    </xf>
    <xf numFmtId="0" fontId="0" fillId="0" borderId="9" xfId="0" applyBorder="1" applyProtection="1">
      <protection hidden="1"/>
    </xf>
    <xf numFmtId="164" fontId="23" fillId="0" borderId="0" xfId="1" applyNumberFormat="1" applyFont="1" applyBorder="1" applyAlignment="1" applyProtection="1">
      <alignment horizontal="center"/>
      <protection hidden="1"/>
    </xf>
    <xf numFmtId="164" fontId="23" fillId="0" borderId="0" xfId="1" applyNumberFormat="1" applyFont="1" applyBorder="1" applyAlignment="1" applyProtection="1">
      <alignment horizontal="left"/>
      <protection hidden="1"/>
    </xf>
    <xf numFmtId="164" fontId="12" fillId="0" borderId="0" xfId="1" applyNumberFormat="1" applyFont="1" applyBorder="1" applyAlignment="1" applyProtection="1">
      <alignment horizontal="left"/>
      <protection hidden="1"/>
    </xf>
    <xf numFmtId="0" fontId="26" fillId="0" borderId="0" xfId="0" applyFont="1" applyAlignment="1" applyProtection="1">
      <alignment horizontal="center" vertical="center"/>
      <protection hidden="1"/>
    </xf>
    <xf numFmtId="49" fontId="32" fillId="3" borderId="0" xfId="1" applyNumberFormat="1" applyFont="1" applyFill="1" applyBorder="1" applyAlignment="1" applyProtection="1">
      <alignment horizontal="center"/>
      <protection hidden="1"/>
    </xf>
    <xf numFmtId="164" fontId="32" fillId="3" borderId="0" xfId="1" applyNumberFormat="1" applyFont="1" applyFill="1" applyBorder="1" applyAlignment="1" applyProtection="1">
      <alignment horizontal="center"/>
      <protection hidden="1"/>
    </xf>
    <xf numFmtId="164" fontId="26" fillId="3" borderId="10" xfId="1" applyNumberFormat="1" applyFont="1" applyFill="1" applyBorder="1" applyAlignment="1" applyProtection="1">
      <alignment horizontal="center" vertical="center"/>
      <protection hidden="1"/>
    </xf>
    <xf numFmtId="164" fontId="19" fillId="0" borderId="10" xfId="1" applyNumberFormat="1" applyFont="1" applyBorder="1" applyAlignment="1" applyProtection="1">
      <alignment horizontal="center"/>
      <protection hidden="1"/>
    </xf>
    <xf numFmtId="164" fontId="19" fillId="0" borderId="0" xfId="1" applyNumberFormat="1" applyFont="1" applyBorder="1" applyAlignment="1" applyProtection="1">
      <alignment horizontal="left"/>
      <protection hidden="1"/>
    </xf>
    <xf numFmtId="164" fontId="12" fillId="0" borderId="2" xfId="1" applyNumberFormat="1" applyFont="1" applyFill="1" applyBorder="1" applyAlignment="1" applyProtection="1">
      <alignment horizontal="center"/>
      <protection hidden="1"/>
    </xf>
    <xf numFmtId="164" fontId="11" fillId="0" borderId="0" xfId="1" applyNumberFormat="1" applyFont="1" applyBorder="1" applyProtection="1">
      <protection hidden="1"/>
    </xf>
    <xf numFmtId="164" fontId="21" fillId="0" borderId="10" xfId="1" applyNumberFormat="1" applyFont="1" applyBorder="1" applyAlignment="1" applyProtection="1">
      <alignment horizontal="center"/>
      <protection hidden="1"/>
    </xf>
    <xf numFmtId="164" fontId="21" fillId="0" borderId="0" xfId="1" applyNumberFormat="1" applyFont="1" applyBorder="1" applyProtection="1">
      <protection hidden="1"/>
    </xf>
    <xf numFmtId="164" fontId="21" fillId="0" borderId="10" xfId="1" applyNumberFormat="1" applyFont="1" applyFill="1" applyBorder="1" applyAlignment="1" applyProtection="1">
      <alignment horizontal="center"/>
      <protection hidden="1"/>
    </xf>
    <xf numFmtId="164" fontId="22" fillId="0" borderId="0" xfId="1" applyNumberFormat="1" applyFont="1" applyBorder="1" applyProtection="1">
      <protection hidden="1"/>
    </xf>
    <xf numFmtId="164" fontId="12" fillId="0" borderId="0" xfId="1" applyNumberFormat="1" applyFont="1" applyFill="1" applyBorder="1" applyAlignment="1" applyProtection="1">
      <alignment horizontal="center"/>
      <protection hidden="1"/>
    </xf>
    <xf numFmtId="164" fontId="10" fillId="0" borderId="0" xfId="1" applyNumberFormat="1" applyFont="1" applyBorder="1" applyProtection="1">
      <protection hidden="1"/>
    </xf>
    <xf numFmtId="164" fontId="30" fillId="0" borderId="10" xfId="1" applyNumberFormat="1" applyFont="1" applyBorder="1" applyAlignment="1" applyProtection="1">
      <alignment horizontal="center"/>
      <protection hidden="1"/>
    </xf>
    <xf numFmtId="164" fontId="22" fillId="0" borderId="10" xfId="1" applyNumberFormat="1" applyFont="1" applyBorder="1" applyAlignment="1" applyProtection="1">
      <alignment horizontal="left"/>
      <protection hidden="1"/>
    </xf>
    <xf numFmtId="164" fontId="10" fillId="0" borderId="11" xfId="1" applyNumberFormat="1" applyFont="1" applyBorder="1" applyProtection="1">
      <protection hidden="1"/>
    </xf>
    <xf numFmtId="164" fontId="21" fillId="0" borderId="10" xfId="1" applyNumberFormat="1" applyFont="1" applyBorder="1" applyAlignment="1" applyProtection="1">
      <alignment horizontal="left"/>
      <protection hidden="1"/>
    </xf>
    <xf numFmtId="164" fontId="13" fillId="0" borderId="0" xfId="1" applyNumberFormat="1" applyFont="1" applyFill="1" applyBorder="1" applyAlignment="1" applyProtection="1">
      <alignment horizontal="center"/>
      <protection hidden="1"/>
    </xf>
    <xf numFmtId="164" fontId="19" fillId="0" borderId="10" xfId="1" applyNumberFormat="1" applyFont="1" applyBorder="1" applyAlignment="1" applyProtection="1">
      <alignment horizontal="left"/>
      <protection hidden="1"/>
    </xf>
    <xf numFmtId="164" fontId="11" fillId="0" borderId="0" xfId="1" applyNumberFormat="1" applyFont="1" applyFill="1" applyBorder="1" applyProtection="1">
      <protection hidden="1"/>
    </xf>
    <xf numFmtId="165" fontId="12" fillId="3" borderId="0" xfId="1" applyNumberFormat="1" applyFont="1" applyFill="1" applyBorder="1" applyProtection="1">
      <protection hidden="1"/>
    </xf>
    <xf numFmtId="164" fontId="25" fillId="0" borderId="0" xfId="1" applyNumberFormat="1" applyFont="1" applyBorder="1" applyProtection="1">
      <protection hidden="1"/>
    </xf>
    <xf numFmtId="164" fontId="25" fillId="0" borderId="11" xfId="1" applyNumberFormat="1" applyFont="1" applyBorder="1" applyProtection="1">
      <protection hidden="1"/>
    </xf>
    <xf numFmtId="3" fontId="24" fillId="3" borderId="0" xfId="1" applyNumberFormat="1" applyFont="1" applyFill="1" applyBorder="1" applyAlignment="1" applyProtection="1">
      <alignment horizontal="right"/>
      <protection hidden="1"/>
    </xf>
    <xf numFmtId="164" fontId="21" fillId="0" borderId="8" xfId="1" applyNumberFormat="1" applyFont="1" applyBorder="1" applyAlignment="1" applyProtection="1">
      <alignment horizontal="left"/>
      <protection hidden="1"/>
    </xf>
    <xf numFmtId="164" fontId="21" fillId="0" borderId="2" xfId="1" applyNumberFormat="1" applyFont="1" applyBorder="1" applyProtection="1">
      <protection hidden="1"/>
    </xf>
    <xf numFmtId="165" fontId="12" fillId="3" borderId="2" xfId="1" applyNumberFormat="1" applyFont="1" applyFill="1" applyBorder="1" applyProtection="1">
      <protection hidden="1"/>
    </xf>
    <xf numFmtId="164" fontId="11" fillId="0" borderId="2" xfId="1" applyNumberFormat="1" applyFont="1" applyBorder="1" applyProtection="1">
      <protection hidden="1"/>
    </xf>
    <xf numFmtId="164" fontId="10" fillId="0" borderId="12" xfId="1" applyNumberFormat="1" applyFont="1" applyBorder="1" applyProtection="1">
      <protection hidden="1"/>
    </xf>
    <xf numFmtId="164" fontId="11" fillId="0" borderId="2" xfId="1" applyNumberFormat="1" applyFont="1" applyFill="1" applyBorder="1" applyProtection="1">
      <protection hidden="1"/>
    </xf>
    <xf numFmtId="164" fontId="11" fillId="0" borderId="0" xfId="1" applyNumberFormat="1" applyFont="1" applyFill="1" applyProtection="1">
      <protection hidden="1"/>
    </xf>
    <xf numFmtId="164" fontId="11" fillId="0" borderId="0" xfId="1" applyNumberFormat="1" applyFont="1" applyProtection="1">
      <protection hidden="1"/>
    </xf>
    <xf numFmtId="3" fontId="24" fillId="0" borderId="0" xfId="1" applyNumberFormat="1" applyFont="1" applyFill="1" applyBorder="1" applyAlignment="1" applyProtection="1">
      <alignment horizontal="right"/>
      <protection hidden="1"/>
    </xf>
    <xf numFmtId="3" fontId="12" fillId="3" borderId="0" xfId="1" applyNumberFormat="1" applyFont="1" applyFill="1" applyBorder="1" applyAlignment="1" applyProtection="1">
      <alignment horizontal="right"/>
      <protection hidden="1"/>
    </xf>
    <xf numFmtId="0" fontId="0" fillId="3" borderId="0" xfId="0" applyFill="1" applyProtection="1">
      <protection hidden="1"/>
    </xf>
    <xf numFmtId="164" fontId="0" fillId="3" borderId="0" xfId="1" applyNumberFormat="1" applyFont="1" applyFill="1" applyProtection="1">
      <protection hidden="1"/>
    </xf>
    <xf numFmtId="164" fontId="11" fillId="3" borderId="0" xfId="1" applyNumberFormat="1" applyFont="1" applyFill="1" applyProtection="1">
      <protection hidden="1"/>
    </xf>
    <xf numFmtId="164" fontId="22" fillId="3" borderId="0" xfId="1" applyNumberFormat="1" applyFont="1" applyFill="1" applyProtection="1">
      <protection hidden="1"/>
    </xf>
    <xf numFmtId="164" fontId="11" fillId="3" borderId="0" xfId="1" applyNumberFormat="1" applyFont="1" applyFill="1" applyBorder="1" applyProtection="1">
      <protection hidden="1"/>
    </xf>
    <xf numFmtId="164" fontId="0" fillId="0" borderId="0" xfId="1" applyNumberFormat="1" applyFont="1" applyBorder="1" applyAlignment="1" applyProtection="1">
      <alignment horizontal="left"/>
      <protection hidden="1"/>
    </xf>
    <xf numFmtId="164" fontId="0" fillId="3" borderId="13" xfId="1" applyNumberFormat="1" applyFont="1" applyFill="1" applyBorder="1" applyProtection="1">
      <protection hidden="1"/>
    </xf>
    <xf numFmtId="164" fontId="0" fillId="3" borderId="0" xfId="1" applyNumberFormat="1" applyFont="1" applyFill="1" applyAlignment="1" applyProtection="1">
      <alignment horizontal="left"/>
      <protection hidden="1"/>
    </xf>
    <xf numFmtId="164" fontId="22" fillId="3" borderId="0" xfId="1" applyNumberFormat="1" applyFont="1" applyFill="1" applyBorder="1" applyAlignment="1" applyProtection="1">
      <alignment horizontal="center"/>
      <protection hidden="1"/>
    </xf>
    <xf numFmtId="164" fontId="21" fillId="3" borderId="0" xfId="1" applyNumberFormat="1" applyFont="1" applyFill="1" applyBorder="1" applyProtection="1">
      <protection hidden="1"/>
    </xf>
    <xf numFmtId="164" fontId="22" fillId="3" borderId="0" xfId="1" applyNumberFormat="1" applyFont="1" applyFill="1" applyBorder="1" applyAlignment="1" applyProtection="1">
      <alignment horizontal="left"/>
      <protection hidden="1"/>
    </xf>
    <xf numFmtId="164" fontId="20" fillId="3" borderId="0" xfId="1" applyNumberFormat="1" applyFont="1" applyFill="1" applyBorder="1" applyAlignment="1" applyProtection="1">
      <alignment horizontal="left"/>
      <protection hidden="1"/>
    </xf>
    <xf numFmtId="0" fontId="21" fillId="3" borderId="0" xfId="0" applyFont="1" applyFill="1" applyAlignment="1" applyProtection="1">
      <alignment horizontal="left"/>
      <protection hidden="1"/>
    </xf>
    <xf numFmtId="0" fontId="21" fillId="3" borderId="0" xfId="0" applyFont="1" applyFill="1" applyAlignment="1" applyProtection="1">
      <alignment vertical="center"/>
      <protection hidden="1"/>
    </xf>
    <xf numFmtId="0" fontId="28" fillId="3" borderId="0" xfId="0" applyFont="1" applyFill="1" applyAlignment="1" applyProtection="1">
      <alignment vertical="center"/>
      <protection hidden="1"/>
    </xf>
    <xf numFmtId="0" fontId="28" fillId="3" borderId="0" xfId="0" applyFont="1" applyFill="1" applyProtection="1">
      <protection hidden="1"/>
    </xf>
    <xf numFmtId="49" fontId="22" fillId="3" borderId="0" xfId="0" applyNumberFormat="1" applyFont="1" applyFill="1" applyAlignment="1" applyProtection="1">
      <alignment horizontal="right"/>
      <protection hidden="1"/>
    </xf>
    <xf numFmtId="0" fontId="28" fillId="3" borderId="0" xfId="0" applyFont="1" applyFill="1" applyAlignment="1" applyProtection="1">
      <alignment horizontal="left"/>
      <protection hidden="1"/>
    </xf>
    <xf numFmtId="164" fontId="10" fillId="3" borderId="0" xfId="1" applyNumberFormat="1" applyFont="1" applyFill="1" applyBorder="1" applyAlignment="1" applyProtection="1">
      <alignment horizontal="left" wrapText="1"/>
      <protection hidden="1"/>
    </xf>
    <xf numFmtId="3" fontId="11" fillId="5" borderId="7" xfId="1" applyNumberFormat="1" applyFont="1" applyFill="1" applyBorder="1" applyAlignment="1" applyProtection="1">
      <alignment horizontal="right"/>
      <protection locked="0"/>
    </xf>
    <xf numFmtId="164" fontId="10" fillId="0" borderId="14" xfId="1" applyNumberFormat="1" applyFont="1" applyFill="1" applyBorder="1" applyAlignment="1" applyProtection="1">
      <alignment horizontal="right" wrapText="1"/>
      <protection hidden="1"/>
    </xf>
    <xf numFmtId="164" fontId="12" fillId="3" borderId="15" xfId="1" applyNumberFormat="1" applyFont="1" applyFill="1" applyBorder="1" applyProtection="1">
      <protection hidden="1"/>
    </xf>
    <xf numFmtId="3" fontId="12" fillId="3" borderId="16" xfId="1" applyNumberFormat="1" applyFont="1" applyFill="1" applyBorder="1" applyAlignment="1" applyProtection="1">
      <alignment horizontal="right"/>
      <protection hidden="1"/>
    </xf>
    <xf numFmtId="164" fontId="11" fillId="3" borderId="17" xfId="1" applyNumberFormat="1" applyFont="1" applyFill="1" applyBorder="1" applyProtection="1">
      <protection hidden="1"/>
    </xf>
    <xf numFmtId="164" fontId="11" fillId="3" borderId="0" xfId="1" applyNumberFormat="1" applyFont="1" applyFill="1" applyBorder="1" applyAlignment="1" applyProtection="1">
      <alignment horizontal="left"/>
      <protection hidden="1"/>
    </xf>
    <xf numFmtId="164" fontId="0" fillId="3" borderId="0" xfId="1" applyNumberFormat="1" applyFont="1" applyFill="1" applyBorder="1" applyAlignment="1" applyProtection="1">
      <alignment horizontal="left"/>
      <protection hidden="1"/>
    </xf>
    <xf numFmtId="168" fontId="22" fillId="3" borderId="0" xfId="0" applyNumberFormat="1" applyFont="1" applyFill="1" applyAlignment="1" applyProtection="1">
      <alignment horizontal="right" wrapText="1"/>
      <protection hidden="1"/>
    </xf>
    <xf numFmtId="164" fontId="9" fillId="3" borderId="0" xfId="1" applyNumberFormat="1" applyFont="1" applyFill="1" applyAlignment="1" applyProtection="1">
      <alignment horizontal="left"/>
      <protection hidden="1"/>
    </xf>
    <xf numFmtId="164" fontId="22" fillId="7" borderId="0" xfId="1" applyNumberFormat="1" applyFont="1" applyFill="1" applyAlignment="1" applyProtection="1">
      <alignment horizontal="left"/>
      <protection hidden="1"/>
    </xf>
    <xf numFmtId="3" fontId="21" fillId="5" borderId="4" xfId="1" applyNumberFormat="1" applyFont="1" applyFill="1" applyBorder="1" applyAlignment="1" applyProtection="1">
      <alignment horizontal="right"/>
      <protection locked="0"/>
    </xf>
    <xf numFmtId="0" fontId="26" fillId="0" borderId="0" xfId="0" applyFont="1" applyAlignment="1" applyProtection="1">
      <alignment horizontal="center"/>
      <protection hidden="1"/>
    </xf>
    <xf numFmtId="0" fontId="38" fillId="3" borderId="0" xfId="0" applyFont="1" applyFill="1" applyProtection="1">
      <protection hidden="1"/>
    </xf>
    <xf numFmtId="0" fontId="36" fillId="3" borderId="0" xfId="0" applyFont="1" applyFill="1" applyAlignment="1" applyProtection="1">
      <alignment horizontal="left"/>
      <protection hidden="1"/>
    </xf>
    <xf numFmtId="0" fontId="36" fillId="3" borderId="0" xfId="0" applyFont="1" applyFill="1" applyProtection="1">
      <protection hidden="1"/>
    </xf>
    <xf numFmtId="0" fontId="10" fillId="3" borderId="0" xfId="0" applyFont="1" applyFill="1" applyProtection="1">
      <protection hidden="1"/>
    </xf>
    <xf numFmtId="0" fontId="36" fillId="3" borderId="18" xfId="0" applyFont="1" applyFill="1" applyBorder="1" applyProtection="1">
      <protection hidden="1"/>
    </xf>
    <xf numFmtId="0" fontId="36" fillId="6" borderId="18" xfId="0" applyFont="1" applyFill="1" applyBorder="1" applyProtection="1">
      <protection hidden="1"/>
    </xf>
    <xf numFmtId="0" fontId="36" fillId="3" borderId="19" xfId="0" applyFont="1" applyFill="1" applyBorder="1" applyProtection="1">
      <protection hidden="1"/>
    </xf>
    <xf numFmtId="0" fontId="36" fillId="3" borderId="20" xfId="0" applyFont="1" applyFill="1" applyBorder="1" applyProtection="1">
      <protection hidden="1"/>
    </xf>
    <xf numFmtId="0" fontId="36" fillId="6" borderId="20" xfId="0" applyFont="1" applyFill="1" applyBorder="1" applyProtection="1">
      <protection hidden="1"/>
    </xf>
    <xf numFmtId="0" fontId="10" fillId="3" borderId="0" xfId="0" applyFont="1" applyFill="1" applyAlignment="1" applyProtection="1">
      <alignment horizontal="left"/>
      <protection hidden="1"/>
    </xf>
    <xf numFmtId="0" fontId="19" fillId="3" borderId="0" xfId="0" applyFont="1" applyFill="1" applyProtection="1">
      <protection hidden="1"/>
    </xf>
    <xf numFmtId="0" fontId="22" fillId="3" borderId="0" xfId="0" applyFont="1" applyFill="1" applyAlignment="1" applyProtection="1">
      <alignment vertical="center"/>
      <protection hidden="1"/>
    </xf>
    <xf numFmtId="0" fontId="34" fillId="3" borderId="0" xfId="0" applyFont="1" applyFill="1" applyAlignment="1" applyProtection="1">
      <alignment horizontal="center"/>
      <protection hidden="1"/>
    </xf>
    <xf numFmtId="164" fontId="10" fillId="0" borderId="4" xfId="1" applyNumberFormat="1" applyFont="1" applyFill="1" applyBorder="1" applyAlignment="1" applyProtection="1">
      <alignment horizontal="right" wrapText="1"/>
      <protection hidden="1"/>
    </xf>
    <xf numFmtId="1" fontId="12" fillId="0" borderId="0" xfId="1" applyNumberFormat="1" applyFont="1" applyFill="1" applyBorder="1" applyAlignment="1" applyProtection="1">
      <alignment horizontal="center" wrapText="1"/>
      <protection hidden="1"/>
    </xf>
    <xf numFmtId="164" fontId="10" fillId="0" borderId="0" xfId="1" applyNumberFormat="1" applyFont="1" applyBorder="1" applyAlignment="1" applyProtection="1">
      <alignment horizontal="left"/>
      <protection hidden="1"/>
    </xf>
    <xf numFmtId="164" fontId="12" fillId="3" borderId="0" xfId="1" quotePrefix="1" applyNumberFormat="1" applyFont="1" applyFill="1" applyBorder="1" applyAlignment="1" applyProtection="1">
      <alignment wrapText="1"/>
      <protection hidden="1"/>
    </xf>
    <xf numFmtId="0" fontId="11" fillId="0" borderId="0" xfId="0" applyFont="1" applyAlignment="1" applyProtection="1">
      <alignment horizontal="left"/>
      <protection hidden="1"/>
    </xf>
    <xf numFmtId="164" fontId="12" fillId="3" borderId="21" xfId="1" quotePrefix="1" applyNumberFormat="1" applyFont="1" applyFill="1" applyBorder="1" applyAlignment="1" applyProtection="1">
      <alignment wrapText="1"/>
      <protection hidden="1"/>
    </xf>
    <xf numFmtId="164" fontId="10" fillId="0" borderId="0" xfId="1" applyNumberFormat="1" applyFont="1" applyBorder="1" applyAlignment="1" applyProtection="1">
      <alignment vertical="center" wrapText="1"/>
      <protection hidden="1"/>
    </xf>
    <xf numFmtId="164" fontId="10" fillId="0" borderId="1" xfId="1" applyNumberFormat="1" applyFont="1" applyBorder="1" applyAlignment="1" applyProtection="1">
      <alignment horizontal="left" vertical="center"/>
      <protection hidden="1"/>
    </xf>
    <xf numFmtId="1" fontId="11" fillId="0" borderId="1" xfId="1" applyNumberFormat="1" applyFont="1" applyFill="1" applyBorder="1" applyAlignment="1" applyProtection="1">
      <alignment horizontal="left" vertical="center" wrapText="1"/>
      <protection hidden="1"/>
    </xf>
    <xf numFmtId="0" fontId="13" fillId="0" borderId="0" xfId="0" applyFont="1" applyAlignment="1" applyProtection="1">
      <alignment horizontal="left"/>
      <protection hidden="1"/>
    </xf>
    <xf numFmtId="164" fontId="12" fillId="3" borderId="10" xfId="1" applyNumberFormat="1" applyFont="1" applyFill="1" applyBorder="1" applyAlignment="1" applyProtection="1">
      <alignment horizontal="center" vertical="center" wrapText="1"/>
      <protection hidden="1"/>
    </xf>
    <xf numFmtId="164" fontId="11" fillId="0" borderId="0" xfId="1" applyNumberFormat="1" applyFont="1" applyAlignment="1" applyProtection="1">
      <alignment wrapText="1"/>
      <protection hidden="1"/>
    </xf>
    <xf numFmtId="1" fontId="11" fillId="0" borderId="0" xfId="1" applyNumberFormat="1" applyFont="1" applyFill="1" applyBorder="1" applyAlignment="1" applyProtection="1">
      <alignment horizontal="center" vertical="center" wrapText="1"/>
      <protection hidden="1"/>
    </xf>
    <xf numFmtId="1" fontId="12" fillId="0" borderId="0" xfId="1" quotePrefix="1" applyNumberFormat="1" applyFont="1" applyFill="1" applyBorder="1" applyAlignment="1" applyProtection="1">
      <alignment horizontal="center" vertical="center" wrapText="1"/>
      <protection hidden="1"/>
    </xf>
    <xf numFmtId="1" fontId="11" fillId="0" borderId="1" xfId="1" applyNumberFormat="1" applyFont="1" applyFill="1" applyBorder="1" applyAlignment="1" applyProtection="1">
      <alignment horizontal="center" vertical="center" wrapText="1"/>
      <protection hidden="1"/>
    </xf>
    <xf numFmtId="164" fontId="23" fillId="3" borderId="0" xfId="1" applyNumberFormat="1" applyFont="1" applyFill="1" applyBorder="1" applyAlignment="1" applyProtection="1">
      <alignment horizontal="center"/>
      <protection hidden="1"/>
    </xf>
    <xf numFmtId="1" fontId="11" fillId="3" borderId="0" xfId="1" applyNumberFormat="1" applyFont="1" applyFill="1" applyBorder="1" applyAlignment="1" applyProtection="1">
      <alignment horizontal="center" vertical="center" wrapText="1"/>
      <protection hidden="1"/>
    </xf>
    <xf numFmtId="1" fontId="12" fillId="3" borderId="0" xfId="1" quotePrefix="1" applyNumberFormat="1" applyFont="1" applyFill="1" applyBorder="1" applyAlignment="1" applyProtection="1">
      <alignment horizontal="center" vertical="center" wrapText="1"/>
      <protection hidden="1"/>
    </xf>
    <xf numFmtId="1" fontId="12" fillId="3" borderId="0" xfId="1" applyNumberFormat="1" applyFont="1" applyFill="1" applyBorder="1" applyAlignment="1" applyProtection="1">
      <alignment horizontal="center" wrapText="1"/>
      <protection hidden="1"/>
    </xf>
    <xf numFmtId="164" fontId="12" fillId="3" borderId="0" xfId="1" applyNumberFormat="1" applyFont="1" applyFill="1" applyBorder="1" applyAlignment="1" applyProtection="1">
      <alignment horizontal="center"/>
      <protection hidden="1"/>
    </xf>
    <xf numFmtId="3" fontId="12" fillId="3" borderId="11" xfId="1" applyNumberFormat="1" applyFont="1" applyFill="1" applyBorder="1" applyAlignment="1" applyProtection="1">
      <alignment horizontal="right"/>
      <protection hidden="1"/>
    </xf>
    <xf numFmtId="164" fontId="13" fillId="3" borderId="0" xfId="1" applyNumberFormat="1" applyFont="1" applyFill="1" applyBorder="1" applyAlignment="1" applyProtection="1">
      <alignment horizontal="center"/>
      <protection hidden="1"/>
    </xf>
    <xf numFmtId="0" fontId="11" fillId="3" borderId="0" xfId="0" applyFont="1" applyFill="1" applyAlignment="1" applyProtection="1">
      <alignment horizontal="center" vertical="center" wrapText="1"/>
      <protection hidden="1"/>
    </xf>
    <xf numFmtId="164" fontId="10" fillId="0" borderId="10" xfId="1" applyNumberFormat="1" applyFont="1" applyBorder="1" applyProtection="1">
      <protection hidden="1"/>
    </xf>
    <xf numFmtId="0" fontId="12" fillId="3" borderId="0" xfId="0" applyFont="1" applyFill="1" applyAlignment="1" applyProtection="1">
      <alignment horizontal="center" vertical="center" wrapText="1"/>
      <protection hidden="1"/>
    </xf>
    <xf numFmtId="49" fontId="22" fillId="3" borderId="0" xfId="0" applyNumberFormat="1" applyFont="1" applyFill="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0" fontId="21" fillId="3" borderId="0" xfId="0" applyFont="1" applyFill="1" applyAlignment="1" applyProtection="1">
      <alignment horizontal="center" vertical="center" wrapText="1"/>
      <protection hidden="1"/>
    </xf>
    <xf numFmtId="0" fontId="26" fillId="3" borderId="0" xfId="0" applyFont="1" applyFill="1" applyAlignment="1" applyProtection="1">
      <alignment horizontal="center" vertical="center"/>
      <protection hidden="1"/>
    </xf>
    <xf numFmtId="164" fontId="11" fillId="3" borderId="2" xfId="1" applyNumberFormat="1" applyFont="1" applyFill="1" applyBorder="1" applyProtection="1">
      <protection hidden="1"/>
    </xf>
    <xf numFmtId="164" fontId="35" fillId="0" borderId="0" xfId="1" applyNumberFormat="1" applyFont="1" applyBorder="1" applyAlignment="1" applyProtection="1">
      <alignment horizontal="left"/>
      <protection hidden="1"/>
    </xf>
    <xf numFmtId="164" fontId="26" fillId="0" borderId="2" xfId="1" applyNumberFormat="1" applyFont="1" applyBorder="1" applyAlignment="1" applyProtection="1">
      <alignment horizontal="center" vertical="center"/>
      <protection hidden="1"/>
    </xf>
    <xf numFmtId="3" fontId="24" fillId="0" borderId="1" xfId="1" applyNumberFormat="1" applyFont="1" applyFill="1" applyBorder="1" applyAlignment="1" applyProtection="1">
      <alignment horizontal="right"/>
      <protection hidden="1"/>
    </xf>
    <xf numFmtId="3" fontId="11" fillId="0" borderId="4" xfId="1" applyNumberFormat="1" applyFont="1" applyFill="1" applyBorder="1" applyAlignment="1" applyProtection="1">
      <alignment horizontal="right"/>
      <protection hidden="1"/>
    </xf>
    <xf numFmtId="167" fontId="12" fillId="0" borderId="4" xfId="1" applyNumberFormat="1" applyFont="1" applyFill="1" applyBorder="1" applyProtection="1">
      <protection hidden="1"/>
    </xf>
    <xf numFmtId="167" fontId="12" fillId="0" borderId="1" xfId="1" applyNumberFormat="1" applyFont="1" applyFill="1" applyBorder="1" applyProtection="1">
      <protection hidden="1"/>
    </xf>
    <xf numFmtId="167" fontId="12" fillId="0" borderId="0" xfId="1" applyNumberFormat="1" applyFont="1" applyFill="1" applyBorder="1" applyProtection="1">
      <protection hidden="1"/>
    </xf>
    <xf numFmtId="167" fontId="12" fillId="3" borderId="0" xfId="1" applyNumberFormat="1" applyFont="1" applyFill="1" applyBorder="1" applyProtection="1">
      <protection hidden="1"/>
    </xf>
    <xf numFmtId="164" fontId="25" fillId="0" borderId="10" xfId="1" applyNumberFormat="1" applyFont="1" applyBorder="1" applyProtection="1">
      <protection hidden="1"/>
    </xf>
    <xf numFmtId="3" fontId="11" fillId="0" borderId="23" xfId="1" applyNumberFormat="1" applyFont="1" applyFill="1" applyBorder="1" applyAlignment="1" applyProtection="1">
      <alignment horizontal="right"/>
      <protection hidden="1"/>
    </xf>
    <xf numFmtId="164" fontId="19" fillId="0" borderId="24" xfId="1" applyNumberFormat="1" applyFont="1" applyBorder="1" applyAlignment="1" applyProtection="1">
      <alignment horizontal="left"/>
      <protection hidden="1"/>
    </xf>
    <xf numFmtId="164" fontId="21" fillId="0" borderId="25" xfId="1" applyNumberFormat="1" applyFont="1" applyBorder="1" applyProtection="1">
      <protection hidden="1"/>
    </xf>
    <xf numFmtId="164" fontId="12" fillId="0" borderId="25" xfId="1" applyNumberFormat="1" applyFont="1" applyFill="1" applyBorder="1" applyAlignment="1" applyProtection="1">
      <alignment horizontal="center"/>
      <protection hidden="1"/>
    </xf>
    <xf numFmtId="164" fontId="11" fillId="0" borderId="25" xfId="1" applyNumberFormat="1" applyFont="1" applyBorder="1" applyProtection="1">
      <protection hidden="1"/>
    </xf>
    <xf numFmtId="164" fontId="12" fillId="3" borderId="25" xfId="1" applyNumberFormat="1" applyFont="1" applyFill="1" applyBorder="1" applyAlignment="1" applyProtection="1">
      <alignment horizontal="center"/>
      <protection hidden="1"/>
    </xf>
    <xf numFmtId="164" fontId="21" fillId="0" borderId="13" xfId="1" applyNumberFormat="1" applyFont="1" applyBorder="1" applyAlignment="1" applyProtection="1">
      <alignment horizontal="center"/>
      <protection hidden="1"/>
    </xf>
    <xf numFmtId="164" fontId="12" fillId="0" borderId="13" xfId="1" applyNumberFormat="1" applyFont="1" applyBorder="1" applyProtection="1">
      <protection hidden="1"/>
    </xf>
    <xf numFmtId="164" fontId="21" fillId="0" borderId="13" xfId="1" applyNumberFormat="1" applyFont="1" applyBorder="1" applyAlignment="1" applyProtection="1">
      <alignment horizontal="left"/>
      <protection hidden="1"/>
    </xf>
    <xf numFmtId="164" fontId="21" fillId="0" borderId="27" xfId="1" applyNumberFormat="1" applyFont="1" applyBorder="1" applyAlignment="1" applyProtection="1">
      <alignment horizontal="left"/>
      <protection hidden="1"/>
    </xf>
    <xf numFmtId="164" fontId="21" fillId="0" borderId="28" xfId="1" applyNumberFormat="1" applyFont="1" applyBorder="1" applyProtection="1">
      <protection hidden="1"/>
    </xf>
    <xf numFmtId="165" fontId="12" fillId="3" borderId="28" xfId="1" applyNumberFormat="1" applyFont="1" applyFill="1" applyBorder="1" applyProtection="1">
      <protection hidden="1"/>
    </xf>
    <xf numFmtId="164" fontId="11" fillId="0" borderId="28" xfId="1" applyNumberFormat="1" applyFont="1" applyBorder="1" applyProtection="1">
      <protection hidden="1"/>
    </xf>
    <xf numFmtId="165" fontId="12" fillId="0" borderId="28" xfId="1" applyNumberFormat="1" applyFont="1" applyFill="1" applyBorder="1" applyProtection="1">
      <protection hidden="1"/>
    </xf>
    <xf numFmtId="9" fontId="11" fillId="0" borderId="0" xfId="4" applyFont="1" applyFill="1" applyBorder="1" applyAlignment="1" applyProtection="1">
      <alignment horizontal="right"/>
      <protection hidden="1"/>
    </xf>
    <xf numFmtId="9" fontId="12" fillId="3" borderId="0" xfId="4" applyFont="1" applyFill="1" applyBorder="1" applyAlignment="1" applyProtection="1">
      <alignment horizontal="right"/>
      <protection hidden="1"/>
    </xf>
    <xf numFmtId="164" fontId="11" fillId="0" borderId="4" xfId="1" applyNumberFormat="1" applyFont="1" applyBorder="1" applyProtection="1">
      <protection hidden="1"/>
    </xf>
    <xf numFmtId="168" fontId="22" fillId="3" borderId="1" xfId="0" applyNumberFormat="1" applyFont="1" applyFill="1" applyBorder="1" applyAlignment="1" applyProtection="1">
      <alignment horizontal="right" vertical="center" wrapText="1"/>
      <protection hidden="1"/>
    </xf>
    <xf numFmtId="168" fontId="22" fillId="3" borderId="0" xfId="0" applyNumberFormat="1" applyFont="1" applyFill="1" applyAlignment="1" applyProtection="1">
      <alignment horizontal="right" vertical="center" wrapText="1"/>
      <protection hidden="1"/>
    </xf>
    <xf numFmtId="168" fontId="22" fillId="7" borderId="1" xfId="0" applyNumberFormat="1" applyFont="1" applyFill="1" applyBorder="1" applyAlignment="1" applyProtection="1">
      <alignment horizontal="right" vertical="center" wrapText="1"/>
      <protection hidden="1"/>
    </xf>
    <xf numFmtId="167" fontId="12" fillId="3" borderId="1" xfId="1" applyNumberFormat="1" applyFont="1" applyFill="1" applyBorder="1" applyProtection="1">
      <protection hidden="1"/>
    </xf>
    <xf numFmtId="0" fontId="14" fillId="0" borderId="0" xfId="0" applyFont="1"/>
    <xf numFmtId="10" fontId="11" fillId="0" borderId="1" xfId="4" applyNumberFormat="1" applyFont="1" applyFill="1" applyBorder="1" applyAlignment="1" applyProtection="1">
      <alignment horizontal="right"/>
      <protection hidden="1"/>
    </xf>
    <xf numFmtId="3" fontId="14" fillId="0" borderId="0" xfId="0" applyNumberFormat="1" applyFont="1" applyAlignment="1">
      <alignment horizontal="right"/>
    </xf>
    <xf numFmtId="0" fontId="0" fillId="0" borderId="0" xfId="0" applyProtection="1">
      <protection locked="0"/>
    </xf>
    <xf numFmtId="164" fontId="12" fillId="3" borderId="27" xfId="1" applyNumberFormat="1" applyFont="1" applyFill="1" applyBorder="1" applyProtection="1">
      <protection hidden="1"/>
    </xf>
    <xf numFmtId="3" fontId="12" fillId="3" borderId="28" xfId="1" applyNumberFormat="1" applyFont="1" applyFill="1" applyBorder="1" applyAlignment="1" applyProtection="1">
      <alignment horizontal="right"/>
      <protection hidden="1"/>
    </xf>
    <xf numFmtId="164" fontId="11" fillId="3" borderId="29" xfId="1" applyNumberFormat="1" applyFont="1" applyFill="1" applyBorder="1" applyProtection="1">
      <protection hidden="1"/>
    </xf>
    <xf numFmtId="3" fontId="12" fillId="0" borderId="20" xfId="1" applyNumberFormat="1" applyFont="1" applyFill="1" applyBorder="1" applyAlignment="1" applyProtection="1">
      <alignment horizontal="right"/>
      <protection hidden="1"/>
    </xf>
    <xf numFmtId="3" fontId="11" fillId="5" borderId="31" xfId="1" applyNumberFormat="1" applyFont="1" applyFill="1" applyBorder="1" applyAlignment="1" applyProtection="1">
      <alignment horizontal="right"/>
      <protection locked="0"/>
    </xf>
    <xf numFmtId="3" fontId="21" fillId="3" borderId="4" xfId="1" applyNumberFormat="1" applyFont="1" applyFill="1" applyBorder="1" applyAlignment="1" applyProtection="1">
      <alignment horizontal="right"/>
      <protection hidden="1"/>
    </xf>
    <xf numFmtId="0" fontId="22" fillId="3" borderId="0" xfId="0" applyFont="1" applyFill="1" applyAlignment="1" applyProtection="1">
      <alignment horizontal="left"/>
      <protection hidden="1"/>
    </xf>
    <xf numFmtId="10" fontId="11" fillId="0" borderId="4" xfId="1" applyNumberFormat="1" applyFont="1" applyBorder="1" applyAlignment="1" applyProtection="1">
      <alignment horizontal="right"/>
      <protection hidden="1"/>
    </xf>
    <xf numFmtId="167" fontId="10" fillId="3" borderId="4" xfId="1" applyNumberFormat="1" applyFont="1" applyFill="1" applyBorder="1" applyAlignment="1" applyProtection="1">
      <alignment horizontal="right"/>
      <protection hidden="1"/>
    </xf>
    <xf numFmtId="0" fontId="29" fillId="3" borderId="0" xfId="0" applyFont="1" applyFill="1" applyAlignment="1" applyProtection="1">
      <alignment horizontal="center" vertical="center" wrapText="1"/>
      <protection hidden="1"/>
    </xf>
    <xf numFmtId="164" fontId="26" fillId="3" borderId="0" xfId="1" applyNumberFormat="1" applyFont="1" applyFill="1" applyBorder="1" applyAlignment="1" applyProtection="1">
      <alignment horizontal="center"/>
      <protection hidden="1"/>
    </xf>
    <xf numFmtId="0" fontId="36" fillId="0" borderId="0" xfId="0" applyFont="1" applyProtection="1">
      <protection hidden="1"/>
    </xf>
    <xf numFmtId="0" fontId="36" fillId="3" borderId="0" xfId="0" applyFont="1" applyFill="1" applyAlignment="1" applyProtection="1">
      <alignment horizontal="left" wrapText="1"/>
      <protection hidden="1"/>
    </xf>
    <xf numFmtId="43" fontId="21" fillId="0" borderId="32" xfId="1" applyFont="1" applyBorder="1" applyAlignment="1" applyProtection="1">
      <protection hidden="1"/>
    </xf>
    <xf numFmtId="43" fontId="21" fillId="0" borderId="6" xfId="1" applyFont="1" applyBorder="1" applyAlignment="1" applyProtection="1">
      <protection hidden="1"/>
    </xf>
    <xf numFmtId="164" fontId="22" fillId="0" borderId="0" xfId="1" applyNumberFormat="1" applyFont="1" applyProtection="1">
      <protection hidden="1"/>
    </xf>
    <xf numFmtId="164" fontId="10" fillId="0" borderId="4" xfId="1" applyNumberFormat="1" applyFont="1" applyBorder="1" applyAlignment="1" applyProtection="1">
      <alignment horizontal="left"/>
      <protection hidden="1"/>
    </xf>
    <xf numFmtId="0" fontId="36" fillId="3" borderId="0" xfId="0" applyFont="1" applyFill="1" applyAlignment="1" applyProtection="1">
      <alignment horizontal="left" vertical="center" wrapText="1"/>
      <protection hidden="1"/>
    </xf>
    <xf numFmtId="0" fontId="36" fillId="7" borderId="0" xfId="0" applyFont="1" applyFill="1" applyAlignment="1" applyProtection="1">
      <alignment horizontal="left" wrapText="1"/>
      <protection hidden="1"/>
    </xf>
    <xf numFmtId="164" fontId="10" fillId="0" borderId="33" xfId="1" applyNumberFormat="1" applyFont="1" applyFill="1" applyBorder="1" applyAlignment="1" applyProtection="1">
      <alignment horizontal="right" wrapText="1"/>
      <protection hidden="1"/>
    </xf>
    <xf numFmtId="0" fontId="36" fillId="0" borderId="0" xfId="0" applyFont="1" applyAlignment="1" applyProtection="1">
      <alignment wrapText="1"/>
      <protection hidden="1"/>
    </xf>
    <xf numFmtId="43" fontId="21" fillId="0" borderId="34" xfId="1" applyFont="1" applyFill="1" applyBorder="1" applyAlignment="1" applyProtection="1">
      <protection hidden="1"/>
    </xf>
    <xf numFmtId="164" fontId="11" fillId="0" borderId="7" xfId="1" applyNumberFormat="1" applyFont="1" applyFill="1" applyBorder="1" applyAlignment="1" applyProtection="1">
      <alignment wrapText="1"/>
      <protection hidden="1"/>
    </xf>
    <xf numFmtId="14" fontId="11" fillId="5" borderId="4" xfId="1" applyNumberFormat="1" applyFont="1" applyFill="1" applyBorder="1" applyAlignment="1" applyProtection="1">
      <alignment horizontal="right"/>
      <protection locked="0"/>
    </xf>
    <xf numFmtId="164" fontId="11" fillId="0" borderId="6" xfId="1" applyNumberFormat="1" applyFont="1" applyFill="1" applyBorder="1" applyAlignment="1" applyProtection="1">
      <alignment wrapText="1"/>
      <protection hidden="1"/>
    </xf>
    <xf numFmtId="164" fontId="11" fillId="0" borderId="4" xfId="1" applyNumberFormat="1" applyFont="1" applyFill="1" applyBorder="1" applyAlignment="1" applyProtection="1">
      <alignment wrapText="1"/>
      <protection hidden="1"/>
    </xf>
    <xf numFmtId="43" fontId="21" fillId="0" borderId="35" xfId="1" applyFont="1" applyFill="1" applyBorder="1" applyAlignment="1" applyProtection="1">
      <protection hidden="1"/>
    </xf>
    <xf numFmtId="164" fontId="11" fillId="0" borderId="36" xfId="1" applyNumberFormat="1" applyFont="1" applyFill="1" applyBorder="1" applyAlignment="1" applyProtection="1">
      <alignment wrapText="1"/>
      <protection hidden="1"/>
    </xf>
    <xf numFmtId="164" fontId="11" fillId="0" borderId="31" xfId="1" applyNumberFormat="1" applyFont="1" applyFill="1" applyBorder="1" applyAlignment="1" applyProtection="1">
      <alignment wrapText="1"/>
      <protection hidden="1"/>
    </xf>
    <xf numFmtId="14" fontId="11" fillId="5" borderId="37" xfId="1" applyNumberFormat="1" applyFont="1" applyFill="1" applyBorder="1" applyAlignment="1" applyProtection="1">
      <alignment horizontal="right"/>
      <protection locked="0"/>
    </xf>
    <xf numFmtId="3" fontId="36" fillId="3" borderId="1" xfId="0" applyNumberFormat="1" applyFont="1" applyFill="1" applyBorder="1" applyProtection="1">
      <protection hidden="1"/>
    </xf>
    <xf numFmtId="1" fontId="36" fillId="3" borderId="1" xfId="0" applyNumberFormat="1" applyFont="1" applyFill="1" applyBorder="1" applyAlignment="1" applyProtection="1">
      <alignment horizontal="center"/>
      <protection hidden="1"/>
    </xf>
    <xf numFmtId="0" fontId="16" fillId="0" borderId="0" xfId="0" applyFont="1"/>
    <xf numFmtId="0" fontId="10" fillId="0" borderId="0" xfId="0" applyFont="1" applyAlignment="1">
      <alignment wrapText="1"/>
    </xf>
    <xf numFmtId="3" fontId="10" fillId="0" borderId="0" xfId="0" applyNumberFormat="1" applyFont="1" applyAlignment="1">
      <alignment horizontal="right"/>
    </xf>
    <xf numFmtId="1" fontId="43" fillId="3" borderId="0" xfId="0" applyNumberFormat="1" applyFont="1" applyFill="1" applyAlignment="1" applyProtection="1">
      <alignment horizontal="left" wrapText="1"/>
      <protection hidden="1"/>
    </xf>
    <xf numFmtId="14" fontId="36" fillId="3" borderId="0" xfId="0" applyNumberFormat="1" applyFont="1" applyFill="1" applyAlignment="1" applyProtection="1">
      <alignment horizontal="right"/>
      <protection hidden="1"/>
    </xf>
    <xf numFmtId="164" fontId="21" fillId="5" borderId="4" xfId="1" applyNumberFormat="1" applyFont="1" applyFill="1" applyBorder="1" applyAlignment="1" applyProtection="1">
      <alignment horizontal="left"/>
      <protection locked="0"/>
    </xf>
    <xf numFmtId="0" fontId="21" fillId="3" borderId="0" xfId="0" applyFont="1" applyFill="1" applyAlignment="1" applyProtection="1">
      <alignment wrapText="1"/>
      <protection hidden="1"/>
    </xf>
    <xf numFmtId="43" fontId="16" fillId="3" borderId="0" xfId="1" applyFont="1" applyFill="1" applyBorder="1" applyAlignment="1" applyProtection="1">
      <alignment wrapText="1"/>
      <protection hidden="1"/>
    </xf>
    <xf numFmtId="43" fontId="44" fillId="0" borderId="1" xfId="1" applyFont="1" applyBorder="1" applyAlignment="1" applyProtection="1">
      <alignment horizontal="right" wrapText="1"/>
      <protection hidden="1"/>
    </xf>
    <xf numFmtId="0" fontId="10" fillId="0" borderId="38" xfId="0" applyFont="1" applyBorder="1" applyProtection="1">
      <protection locked="0"/>
    </xf>
    <xf numFmtId="0" fontId="14" fillId="0" borderId="0" xfId="0" applyFont="1" applyProtection="1">
      <protection locked="0"/>
    </xf>
    <xf numFmtId="0" fontId="10" fillId="0" borderId="0" xfId="0" applyFont="1" applyAlignment="1" applyProtection="1">
      <alignment wrapText="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left" wrapText="1"/>
      <protection locked="0"/>
    </xf>
    <xf numFmtId="0" fontId="10" fillId="5" borderId="0" xfId="0" applyFont="1" applyFill="1" applyAlignment="1" applyProtection="1">
      <alignment horizontal="center" wrapText="1"/>
      <protection locked="0"/>
    </xf>
    <xf numFmtId="167" fontId="14" fillId="0" borderId="0" xfId="0" applyNumberFormat="1"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1" fontId="43" fillId="3" borderId="0" xfId="0" applyNumberFormat="1" applyFont="1" applyFill="1" applyProtection="1">
      <protection hidden="1"/>
    </xf>
    <xf numFmtId="3" fontId="45" fillId="3" borderId="3" xfId="0" applyNumberFormat="1" applyFont="1" applyFill="1" applyBorder="1" applyAlignment="1" applyProtection="1">
      <alignment horizontal="right"/>
      <protection hidden="1"/>
    </xf>
    <xf numFmtId="43" fontId="16" fillId="6" borderId="1" xfId="1" applyFont="1" applyFill="1" applyBorder="1" applyAlignment="1" applyProtection="1">
      <alignment horizontal="right" wrapText="1"/>
      <protection hidden="1"/>
    </xf>
    <xf numFmtId="3" fontId="12" fillId="6" borderId="20" xfId="1" applyNumberFormat="1" applyFont="1" applyFill="1" applyBorder="1" applyAlignment="1" applyProtection="1">
      <alignment horizontal="right"/>
      <protection hidden="1"/>
    </xf>
    <xf numFmtId="3" fontId="46" fillId="0" borderId="20" xfId="1" applyNumberFormat="1" applyFont="1" applyFill="1" applyBorder="1" applyAlignment="1" applyProtection="1">
      <alignment horizontal="right"/>
      <protection hidden="1"/>
    </xf>
    <xf numFmtId="43" fontId="21" fillId="0" borderId="39" xfId="1" applyFont="1" applyBorder="1" applyAlignment="1" applyProtection="1">
      <protection hidden="1"/>
    </xf>
    <xf numFmtId="3" fontId="45" fillId="3" borderId="40" xfId="0" applyNumberFormat="1" applyFont="1" applyFill="1" applyBorder="1" applyAlignment="1" applyProtection="1">
      <alignment horizontal="right"/>
      <protection hidden="1"/>
    </xf>
    <xf numFmtId="43" fontId="21" fillId="0" borderId="34" xfId="1" applyFont="1" applyBorder="1" applyAlignment="1" applyProtection="1">
      <protection hidden="1"/>
    </xf>
    <xf numFmtId="43" fontId="21" fillId="0" borderId="35" xfId="1" applyFont="1" applyBorder="1" applyAlignment="1" applyProtection="1">
      <protection hidden="1"/>
    </xf>
    <xf numFmtId="43" fontId="21" fillId="0" borderId="36" xfId="1" applyFont="1" applyBorder="1" applyAlignment="1" applyProtection="1">
      <protection hidden="1"/>
    </xf>
    <xf numFmtId="3" fontId="45" fillId="3" borderId="41" xfId="0" applyNumberFormat="1" applyFont="1" applyFill="1" applyBorder="1" applyAlignment="1" applyProtection="1">
      <alignment horizontal="right"/>
      <protection hidden="1"/>
    </xf>
    <xf numFmtId="3" fontId="45" fillId="3" borderId="42" xfId="0" applyNumberFormat="1" applyFont="1" applyFill="1" applyBorder="1" applyAlignment="1" applyProtection="1">
      <alignment horizontal="right"/>
      <protection hidden="1"/>
    </xf>
    <xf numFmtId="3" fontId="22" fillId="6" borderId="3" xfId="0" applyNumberFormat="1" applyFont="1" applyFill="1" applyBorder="1" applyAlignment="1" applyProtection="1">
      <alignment horizontal="right"/>
      <protection hidden="1"/>
    </xf>
    <xf numFmtId="3" fontId="22" fillId="6" borderId="41" xfId="0" applyNumberFormat="1" applyFont="1" applyFill="1" applyBorder="1" applyAlignment="1" applyProtection="1">
      <alignment horizontal="right"/>
      <protection hidden="1"/>
    </xf>
    <xf numFmtId="0" fontId="47" fillId="0" borderId="38" xfId="0" applyFont="1" applyBorder="1" applyAlignment="1" applyProtection="1">
      <alignment horizontal="left"/>
      <protection locked="0"/>
    </xf>
    <xf numFmtId="0" fontId="16" fillId="0" borderId="0" xfId="0" applyFont="1" applyAlignment="1" applyProtection="1">
      <alignment horizontal="left"/>
      <protection locked="0"/>
    </xf>
    <xf numFmtId="3" fontId="10" fillId="0" borderId="0" xfId="0" applyNumberFormat="1" applyFont="1" applyAlignment="1">
      <alignment horizontal="right" wrapText="1"/>
    </xf>
    <xf numFmtId="0" fontId="14" fillId="0" borderId="0" xfId="0" applyFont="1" applyAlignment="1">
      <alignment wrapText="1"/>
    </xf>
    <xf numFmtId="0" fontId="10" fillId="5" borderId="0" xfId="0" applyFont="1" applyFill="1" applyAlignment="1" applyProtection="1">
      <alignment horizontal="right" wrapText="1"/>
      <protection locked="0"/>
    </xf>
    <xf numFmtId="0" fontId="14" fillId="0" borderId="0" xfId="0" applyFont="1" applyAlignment="1" applyProtection="1">
      <alignment horizontal="right"/>
      <protection locked="0"/>
    </xf>
    <xf numFmtId="0" fontId="22" fillId="9" borderId="0" xfId="0" applyFont="1" applyFill="1" applyAlignment="1" applyProtection="1">
      <alignment vertical="center"/>
      <protection hidden="1"/>
    </xf>
    <xf numFmtId="0" fontId="29" fillId="9" borderId="0" xfId="0" applyFont="1" applyFill="1" applyAlignment="1" applyProtection="1">
      <alignment horizontal="center" vertical="center" wrapText="1"/>
      <protection hidden="1"/>
    </xf>
    <xf numFmtId="167" fontId="12" fillId="3" borderId="1" xfId="1" applyNumberFormat="1" applyFont="1" applyFill="1" applyBorder="1" applyProtection="1">
      <protection locked="0" hidden="1"/>
    </xf>
    <xf numFmtId="0" fontId="9" fillId="0" borderId="0" xfId="0" applyFont="1" applyAlignment="1" applyProtection="1">
      <alignment horizontal="left"/>
      <protection locked="0"/>
    </xf>
    <xf numFmtId="0" fontId="9" fillId="0" borderId="0" xfId="0" applyFont="1" applyProtection="1">
      <protection locked="0"/>
    </xf>
    <xf numFmtId="0" fontId="9" fillId="0" borderId="30" xfId="0" applyFont="1" applyBorder="1" applyAlignment="1" applyProtection="1">
      <alignment horizontal="left"/>
      <protection hidden="1"/>
    </xf>
    <xf numFmtId="164" fontId="21" fillId="3" borderId="0" xfId="1" applyNumberFormat="1" applyFont="1" applyFill="1" applyAlignment="1" applyProtection="1">
      <alignment horizontal="left"/>
      <protection hidden="1"/>
    </xf>
    <xf numFmtId="164" fontId="21" fillId="0" borderId="0" xfId="1" applyNumberFormat="1" applyFont="1" applyAlignment="1" applyProtection="1">
      <alignment horizontal="left"/>
      <protection hidden="1"/>
    </xf>
    <xf numFmtId="0" fontId="9" fillId="0" borderId="0" xfId="0" applyFont="1"/>
    <xf numFmtId="0" fontId="9" fillId="0" borderId="30" xfId="0" applyFont="1" applyBorder="1" applyProtection="1">
      <protection hidden="1"/>
    </xf>
    <xf numFmtId="164" fontId="50" fillId="0" borderId="0" xfId="1" applyNumberFormat="1" applyFont="1" applyFill="1" applyBorder="1" applyAlignment="1" applyProtection="1">
      <alignment horizontal="left"/>
      <protection hidden="1"/>
    </xf>
    <xf numFmtId="3" fontId="10" fillId="10" borderId="0" xfId="0" applyNumberFormat="1" applyFont="1" applyFill="1" applyAlignment="1">
      <alignment horizontal="right" wrapText="1"/>
    </xf>
    <xf numFmtId="0" fontId="21" fillId="9" borderId="0" xfId="0" applyFont="1" applyFill="1" applyProtection="1">
      <protection hidden="1"/>
    </xf>
    <xf numFmtId="0" fontId="21" fillId="9" borderId="0" xfId="0" applyFont="1" applyFill="1" applyAlignment="1" applyProtection="1">
      <alignment horizontal="left"/>
      <protection hidden="1"/>
    </xf>
    <xf numFmtId="0" fontId="28" fillId="9" borderId="0" xfId="0" applyFont="1" applyFill="1" applyProtection="1">
      <protection hidden="1"/>
    </xf>
    <xf numFmtId="0" fontId="28" fillId="9" borderId="0" xfId="0" applyFont="1" applyFill="1" applyAlignment="1" applyProtection="1">
      <alignment horizontal="left"/>
      <protection hidden="1"/>
    </xf>
    <xf numFmtId="164" fontId="12" fillId="11" borderId="1" xfId="1" applyNumberFormat="1" applyFont="1" applyFill="1" applyBorder="1" applyAlignment="1" applyProtection="1">
      <alignment vertical="center" wrapText="1"/>
      <protection locked="0"/>
    </xf>
    <xf numFmtId="0" fontId="10" fillId="10" borderId="0" xfId="0" applyFont="1" applyFill="1" applyAlignment="1" applyProtection="1">
      <alignment horizontal="right" wrapText="1"/>
      <protection locked="0"/>
    </xf>
    <xf numFmtId="0" fontId="49" fillId="0" borderId="0" xfId="0" applyFont="1" applyAlignment="1" applyProtection="1">
      <alignment horizontal="right"/>
      <protection locked="0"/>
    </xf>
    <xf numFmtId="0" fontId="50" fillId="0" borderId="0" xfId="0" applyFont="1" applyAlignment="1" applyProtection="1">
      <alignment horizontal="right" wrapText="1"/>
      <protection locked="0"/>
    </xf>
    <xf numFmtId="167" fontId="49" fillId="0" borderId="0" xfId="0" applyNumberFormat="1" applyFont="1" applyAlignment="1" applyProtection="1">
      <alignment horizontal="right"/>
      <protection locked="0"/>
    </xf>
    <xf numFmtId="0" fontId="10" fillId="10" borderId="0" xfId="0" applyFont="1" applyFill="1" applyAlignment="1" applyProtection="1">
      <alignment horizontal="left" wrapText="1"/>
      <protection locked="0"/>
    </xf>
    <xf numFmtId="0" fontId="16" fillId="0" borderId="0" xfId="0" applyFont="1" applyAlignment="1">
      <alignment horizontal="left"/>
    </xf>
    <xf numFmtId="3" fontId="0" fillId="0" borderId="0" xfId="0" applyNumberFormat="1" applyAlignment="1">
      <alignment horizontal="right"/>
    </xf>
    <xf numFmtId="3" fontId="0" fillId="0" borderId="0" xfId="0" applyNumberFormat="1" applyAlignment="1">
      <alignment horizontal="left"/>
    </xf>
    <xf numFmtId="3" fontId="49" fillId="0" borderId="0" xfId="0" applyNumberFormat="1" applyFont="1"/>
    <xf numFmtId="3" fontId="0" fillId="0" borderId="0" xfId="0" applyNumberFormat="1"/>
    <xf numFmtId="0" fontId="0" fillId="0" borderId="0" xfId="0" applyAlignment="1">
      <alignment horizontal="left"/>
    </xf>
    <xf numFmtId="0" fontId="10" fillId="0" borderId="0" xfId="0" applyFont="1" applyAlignment="1">
      <alignment horizontal="left" wrapText="1"/>
    </xf>
    <xf numFmtId="0" fontId="10" fillId="0" borderId="0" xfId="0" applyFont="1" applyAlignment="1">
      <alignment horizontal="center" wrapText="1"/>
    </xf>
    <xf numFmtId="3" fontId="10" fillId="0" borderId="0" xfId="0" applyNumberFormat="1" applyFont="1" applyAlignment="1">
      <alignment horizontal="left" wrapText="1"/>
    </xf>
    <xf numFmtId="3" fontId="10" fillId="0" borderId="0" xfId="0" applyNumberFormat="1" applyFont="1" applyAlignment="1">
      <alignment wrapText="1"/>
    </xf>
    <xf numFmtId="0" fontId="0" fillId="0" borderId="0" xfId="0" applyAlignment="1">
      <alignment horizontal="center"/>
    </xf>
    <xf numFmtId="0" fontId="9" fillId="0" borderId="0" xfId="0" applyFont="1" applyAlignment="1">
      <alignment horizontal="left"/>
    </xf>
    <xf numFmtId="0" fontId="10" fillId="0" borderId="0" xfId="0" applyFont="1"/>
    <xf numFmtId="3" fontId="10" fillId="0" borderId="4" xfId="0" applyNumberFormat="1" applyFont="1" applyBorder="1" applyAlignment="1">
      <alignment horizontal="right"/>
    </xf>
    <xf numFmtId="3" fontId="10" fillId="0" borderId="23" xfId="0" applyNumberFormat="1" applyFont="1" applyBorder="1" applyAlignment="1">
      <alignment horizontal="right"/>
    </xf>
    <xf numFmtId="3" fontId="10" fillId="0" borderId="1" xfId="0" applyNumberFormat="1" applyFont="1" applyBorder="1" applyAlignment="1">
      <alignment horizontal="right"/>
    </xf>
    <xf numFmtId="3" fontId="47" fillId="0" borderId="0" xfId="0" applyNumberFormat="1" applyFont="1" applyAlignment="1">
      <alignment horizontal="right"/>
    </xf>
    <xf numFmtId="0" fontId="48" fillId="0" borderId="0" xfId="0" applyFont="1"/>
    <xf numFmtId="0" fontId="49" fillId="0" borderId="0" xfId="0" applyFont="1"/>
    <xf numFmtId="3" fontId="9" fillId="10" borderId="0" xfId="0" applyNumberFormat="1" applyFont="1" applyFill="1" applyAlignment="1">
      <alignment horizontal="right"/>
    </xf>
    <xf numFmtId="3" fontId="9" fillId="10" borderId="2" xfId="0" applyNumberFormat="1" applyFont="1" applyFill="1" applyBorder="1" applyAlignment="1">
      <alignment horizontal="right"/>
    </xf>
    <xf numFmtId="0" fontId="10" fillId="10" borderId="0" xfId="0" applyFont="1" applyFill="1" applyAlignment="1">
      <alignment wrapText="1"/>
    </xf>
    <xf numFmtId="0" fontId="47" fillId="10" borderId="38" xfId="0" applyFont="1" applyFill="1" applyBorder="1" applyAlignment="1" applyProtection="1">
      <alignment horizontal="left"/>
      <protection locked="0"/>
    </xf>
    <xf numFmtId="0" fontId="51" fillId="0" borderId="0" xfId="0" applyFont="1" applyProtection="1">
      <protection locked="0"/>
    </xf>
    <xf numFmtId="0" fontId="51" fillId="0" borderId="0" xfId="0" applyFont="1" applyAlignment="1" applyProtection="1">
      <alignment vertical="top"/>
      <protection locked="0"/>
    </xf>
    <xf numFmtId="0" fontId="51" fillId="12" borderId="0" xfId="0" applyFont="1" applyFill="1" applyProtection="1">
      <protection locked="0"/>
    </xf>
    <xf numFmtId="0" fontId="14" fillId="13" borderId="0" xfId="0" applyFont="1" applyFill="1" applyAlignment="1">
      <alignment horizontal="right"/>
    </xf>
    <xf numFmtId="0" fontId="49" fillId="13" borderId="0" xfId="0" applyFont="1" applyFill="1" applyAlignment="1">
      <alignment horizontal="right"/>
    </xf>
    <xf numFmtId="0" fontId="10" fillId="13" borderId="0" xfId="0" applyFont="1" applyFill="1" applyAlignment="1">
      <alignment horizontal="right" wrapText="1"/>
    </xf>
    <xf numFmtId="0" fontId="49" fillId="13" borderId="0" xfId="0" applyFont="1" applyFill="1" applyAlignment="1">
      <alignment horizontal="right" wrapText="1"/>
    </xf>
    <xf numFmtId="3" fontId="49" fillId="13" borderId="0" xfId="0" applyNumberFormat="1" applyFont="1" applyFill="1" applyAlignment="1">
      <alignment horizontal="right"/>
    </xf>
    <xf numFmtId="0" fontId="10" fillId="13" borderId="0" xfId="0" applyFont="1" applyFill="1" applyAlignment="1" applyProtection="1">
      <alignment horizontal="right" wrapText="1"/>
      <protection locked="0"/>
    </xf>
    <xf numFmtId="167" fontId="10" fillId="13" borderId="0" xfId="0" applyNumberFormat="1" applyFont="1" applyFill="1" applyAlignment="1" applyProtection="1">
      <alignment horizontal="right"/>
      <protection locked="0"/>
    </xf>
    <xf numFmtId="0" fontId="9" fillId="0" borderId="38" xfId="0" applyFont="1" applyBorder="1" applyAlignment="1" applyProtection="1">
      <alignment horizontal="center"/>
      <protection locked="0"/>
    </xf>
    <xf numFmtId="3" fontId="9" fillId="5" borderId="30" xfId="0" applyNumberFormat="1" applyFont="1" applyFill="1" applyBorder="1" applyAlignment="1" applyProtection="1">
      <alignment horizontal="center"/>
      <protection locked="0"/>
    </xf>
    <xf numFmtId="0" fontId="10" fillId="14" borderId="5" xfId="0" applyFont="1" applyFill="1" applyBorder="1" applyProtection="1">
      <protection hidden="1"/>
    </xf>
    <xf numFmtId="0" fontId="0" fillId="14" borderId="6" xfId="0" applyFill="1" applyBorder="1" applyProtection="1">
      <protection hidden="1"/>
    </xf>
    <xf numFmtId="0" fontId="0" fillId="14" borderId="7" xfId="0" applyFill="1" applyBorder="1" applyProtection="1">
      <protection hidden="1"/>
    </xf>
    <xf numFmtId="49" fontId="10" fillId="14" borderId="4" xfId="0" applyNumberFormat="1" applyFont="1" applyFill="1" applyBorder="1" applyAlignment="1" applyProtection="1">
      <alignment horizontal="right"/>
      <protection hidden="1"/>
    </xf>
    <xf numFmtId="0" fontId="0" fillId="15" borderId="0" xfId="0" applyFill="1"/>
    <xf numFmtId="11" fontId="54" fillId="15" borderId="51" xfId="0" applyNumberFormat="1" applyFont="1" applyFill="1" applyBorder="1" applyAlignment="1">
      <alignment vertical="center"/>
    </xf>
    <xf numFmtId="0" fontId="54" fillId="15" borderId="51" xfId="0" applyFont="1" applyFill="1" applyBorder="1" applyAlignment="1">
      <alignment vertical="center"/>
    </xf>
    <xf numFmtId="0" fontId="54" fillId="15" borderId="51" xfId="0" applyFont="1" applyFill="1" applyBorder="1" applyAlignment="1">
      <alignment horizontal="right" vertical="center"/>
    </xf>
    <xf numFmtId="0" fontId="54" fillId="15" borderId="51" xfId="0" applyFont="1" applyFill="1" applyBorder="1" applyAlignment="1">
      <alignment horizontal="center" vertical="center" wrapText="1"/>
    </xf>
    <xf numFmtId="0" fontId="54" fillId="15" borderId="52" xfId="0" applyFont="1" applyFill="1" applyBorder="1" applyAlignment="1">
      <alignment horizontal="center" vertical="center" wrapText="1"/>
    </xf>
    <xf numFmtId="0" fontId="54" fillId="16" borderId="52" xfId="0" applyFont="1" applyFill="1" applyBorder="1" applyAlignment="1">
      <alignment horizontal="center" vertical="center" wrapText="1"/>
    </xf>
    <xf numFmtId="0" fontId="54" fillId="16" borderId="51" xfId="0" applyFont="1" applyFill="1" applyBorder="1" applyAlignment="1">
      <alignment horizontal="center" vertical="center" wrapText="1"/>
    </xf>
    <xf numFmtId="0" fontId="54" fillId="16" borderId="51" xfId="0" applyFont="1" applyFill="1" applyBorder="1" applyAlignment="1">
      <alignment vertical="center"/>
    </xf>
    <xf numFmtId="0" fontId="54" fillId="16" borderId="51" xfId="0" applyFont="1" applyFill="1" applyBorder="1" applyAlignment="1">
      <alignment horizontal="right" vertical="center"/>
    </xf>
    <xf numFmtId="0" fontId="55" fillId="3" borderId="0" xfId="0" applyFont="1" applyFill="1" applyAlignment="1" applyProtection="1">
      <alignment horizontal="left"/>
      <protection hidden="1"/>
    </xf>
    <xf numFmtId="164" fontId="10" fillId="0" borderId="0" xfId="1" applyNumberFormat="1" applyFont="1" applyBorder="1" applyAlignment="1" applyProtection="1">
      <alignment horizontal="center"/>
      <protection hidden="1"/>
    </xf>
    <xf numFmtId="1" fontId="9" fillId="0" borderId="0" xfId="1" applyNumberFormat="1" applyFont="1" applyFill="1" applyBorder="1" applyAlignment="1" applyProtection="1">
      <alignment horizontal="center" vertical="center" wrapText="1"/>
      <protection hidden="1"/>
    </xf>
    <xf numFmtId="1" fontId="10" fillId="0" borderId="0" xfId="1" quotePrefix="1" applyNumberFormat="1" applyFont="1" applyFill="1" applyBorder="1" applyAlignment="1" applyProtection="1">
      <alignment horizontal="center" vertical="center" wrapText="1"/>
      <protection hidden="1"/>
    </xf>
    <xf numFmtId="1" fontId="10" fillId="0" borderId="0" xfId="1" applyNumberFormat="1" applyFont="1" applyFill="1" applyBorder="1" applyAlignment="1" applyProtection="1">
      <alignment horizontal="center" wrapText="1"/>
      <protection hidden="1"/>
    </xf>
    <xf numFmtId="49" fontId="56" fillId="3" borderId="0" xfId="1" applyNumberFormat="1" applyFont="1" applyFill="1" applyBorder="1" applyAlignment="1" applyProtection="1">
      <alignment horizontal="center"/>
      <protection hidden="1"/>
    </xf>
    <xf numFmtId="49" fontId="57" fillId="3" borderId="0" xfId="0" applyNumberFormat="1" applyFont="1" applyFill="1" applyAlignment="1" applyProtection="1">
      <alignment horizontal="center" vertical="center" textRotation="90" wrapText="1"/>
      <protection hidden="1"/>
    </xf>
    <xf numFmtId="164" fontId="10" fillId="0" borderId="0" xfId="1" applyNumberFormat="1" applyFont="1" applyFill="1" applyBorder="1" applyAlignment="1" applyProtection="1">
      <alignment horizontal="center"/>
      <protection hidden="1"/>
    </xf>
    <xf numFmtId="165" fontId="10" fillId="0" borderId="0" xfId="1" applyNumberFormat="1" applyFont="1" applyFill="1" applyBorder="1" applyProtection="1">
      <protection hidden="1"/>
    </xf>
    <xf numFmtId="164" fontId="47" fillId="0" borderId="0" xfId="1" applyNumberFormat="1" applyFont="1" applyFill="1" applyBorder="1" applyAlignment="1" applyProtection="1">
      <alignment horizontal="center"/>
      <protection hidden="1"/>
    </xf>
    <xf numFmtId="3" fontId="10" fillId="0" borderId="0" xfId="1" applyNumberFormat="1" applyFont="1" applyFill="1" applyBorder="1" applyAlignment="1" applyProtection="1">
      <alignment horizontal="right"/>
      <protection hidden="1"/>
    </xf>
    <xf numFmtId="164" fontId="9" fillId="0" borderId="2" xfId="1" applyNumberFormat="1" applyFont="1" applyFill="1" applyBorder="1" applyProtection="1">
      <protection hidden="1"/>
    </xf>
    <xf numFmtId="164" fontId="9" fillId="0" borderId="0" xfId="1" applyNumberFormat="1" applyFont="1" applyFill="1" applyBorder="1" applyProtection="1">
      <protection hidden="1"/>
    </xf>
    <xf numFmtId="164" fontId="10" fillId="0" borderId="25" xfId="1" applyNumberFormat="1" applyFont="1" applyFill="1" applyBorder="1" applyAlignment="1" applyProtection="1">
      <alignment horizontal="center"/>
      <protection hidden="1"/>
    </xf>
    <xf numFmtId="165" fontId="10" fillId="0" borderId="28" xfId="1" applyNumberFormat="1" applyFont="1" applyFill="1" applyBorder="1" applyProtection="1">
      <protection hidden="1"/>
    </xf>
    <xf numFmtId="3" fontId="9" fillId="0" borderId="0" xfId="1" applyNumberFormat="1" applyFont="1" applyFill="1" applyBorder="1" applyAlignment="1" applyProtection="1">
      <alignment horizontal="right"/>
      <protection hidden="1"/>
    </xf>
    <xf numFmtId="165" fontId="10" fillId="0" borderId="2" xfId="1" applyNumberFormat="1" applyFont="1" applyFill="1" applyBorder="1" applyProtection="1">
      <protection hidden="1"/>
    </xf>
    <xf numFmtId="164" fontId="9" fillId="0" borderId="0" xfId="1" applyNumberFormat="1" applyFont="1" applyFill="1" applyProtection="1">
      <protection hidden="1"/>
    </xf>
    <xf numFmtId="164" fontId="9" fillId="0" borderId="0" xfId="1" applyNumberFormat="1" applyFont="1" applyProtection="1">
      <protection hidden="1"/>
    </xf>
    <xf numFmtId="164" fontId="59" fillId="0" borderId="0" xfId="1" applyNumberFormat="1" applyFont="1" applyBorder="1" applyAlignment="1" applyProtection="1">
      <alignment horizontal="center" vertical="center" wrapText="1"/>
      <protection hidden="1"/>
    </xf>
    <xf numFmtId="10" fontId="60" fillId="0" borderId="0" xfId="4" applyNumberFormat="1" applyFont="1" applyBorder="1" applyProtection="1">
      <protection hidden="1"/>
    </xf>
    <xf numFmtId="10" fontId="59" fillId="0" borderId="0" xfId="4" applyNumberFormat="1" applyFont="1" applyBorder="1" applyProtection="1">
      <protection hidden="1"/>
    </xf>
    <xf numFmtId="164" fontId="61" fillId="0" borderId="0" xfId="1" applyNumberFormat="1" applyFont="1" applyBorder="1" applyProtection="1">
      <protection hidden="1"/>
    </xf>
    <xf numFmtId="164" fontId="9" fillId="0" borderId="0" xfId="1" applyNumberFormat="1" applyFont="1" applyBorder="1" applyProtection="1">
      <protection hidden="1"/>
    </xf>
    <xf numFmtId="164" fontId="9" fillId="0" borderId="0" xfId="1" applyNumberFormat="1" applyFont="1" applyFill="1" applyBorder="1" applyAlignment="1" applyProtection="1">
      <protection hidden="1"/>
    </xf>
    <xf numFmtId="164" fontId="9" fillId="0" borderId="0" xfId="1" applyNumberFormat="1" applyFont="1" applyBorder="1" applyAlignment="1" applyProtection="1">
      <alignment horizontal="left"/>
      <protection hidden="1"/>
    </xf>
    <xf numFmtId="164" fontId="9" fillId="0" borderId="1" xfId="1" applyNumberFormat="1" applyFont="1" applyBorder="1" applyAlignment="1" applyProtection="1">
      <alignment horizontal="left" vertical="center"/>
      <protection hidden="1"/>
    </xf>
    <xf numFmtId="3" fontId="9" fillId="0" borderId="1" xfId="1" quotePrefix="1" applyNumberFormat="1" applyFont="1" applyFill="1" applyBorder="1" applyAlignment="1" applyProtection="1">
      <alignment horizontal="center"/>
      <protection locked="0"/>
    </xf>
    <xf numFmtId="164" fontId="11" fillId="0" borderId="0" xfId="1" applyNumberFormat="1" applyFont="1" applyBorder="1" applyAlignment="1" applyProtection="1">
      <protection hidden="1"/>
    </xf>
    <xf numFmtId="164" fontId="11" fillId="0" borderId="0" xfId="1" applyNumberFormat="1" applyFont="1" applyBorder="1" applyAlignment="1" applyProtection="1">
      <alignment horizontal="left"/>
      <protection hidden="1"/>
    </xf>
    <xf numFmtId="0" fontId="9" fillId="3" borderId="0" xfId="0" applyFont="1" applyFill="1" applyAlignment="1" applyProtection="1">
      <alignment horizontal="center" vertical="center"/>
      <protection hidden="1"/>
    </xf>
    <xf numFmtId="164" fontId="9" fillId="0" borderId="11" xfId="1" applyNumberFormat="1" applyFont="1" applyBorder="1" applyProtection="1">
      <protection hidden="1"/>
    </xf>
    <xf numFmtId="3" fontId="11" fillId="3" borderId="11" xfId="1" applyNumberFormat="1" applyFont="1" applyFill="1" applyBorder="1" applyAlignment="1" applyProtection="1">
      <alignment horizontal="right"/>
      <protection hidden="1"/>
    </xf>
    <xf numFmtId="164" fontId="9" fillId="0" borderId="10" xfId="1" applyNumberFormat="1" applyFont="1" applyBorder="1" applyProtection="1">
      <protection hidden="1"/>
    </xf>
    <xf numFmtId="166" fontId="9" fillId="0" borderId="0" xfId="1" applyNumberFormat="1" applyFont="1" applyBorder="1" applyProtection="1">
      <protection hidden="1"/>
    </xf>
    <xf numFmtId="164" fontId="9" fillId="0" borderId="2" xfId="1" applyNumberFormat="1" applyFont="1" applyBorder="1" applyProtection="1">
      <protection hidden="1"/>
    </xf>
    <xf numFmtId="164" fontId="9" fillId="0" borderId="25" xfId="1" applyNumberFormat="1" applyFont="1" applyBorder="1" applyProtection="1">
      <protection hidden="1"/>
    </xf>
    <xf numFmtId="164" fontId="9" fillId="0" borderId="28" xfId="1" applyNumberFormat="1" applyFont="1" applyBorder="1" applyProtection="1">
      <protection hidden="1"/>
    </xf>
    <xf numFmtId="3" fontId="11" fillId="3" borderId="0" xfId="1" applyNumberFormat="1" applyFont="1" applyFill="1" applyBorder="1" applyAlignment="1" applyProtection="1">
      <alignment horizontal="right"/>
      <protection hidden="1"/>
    </xf>
    <xf numFmtId="3" fontId="11" fillId="0" borderId="0" xfId="1" applyNumberFormat="1" applyFont="1" applyFill="1" applyBorder="1" applyAlignment="1" applyProtection="1">
      <alignment horizontal="right"/>
      <protection hidden="1"/>
    </xf>
    <xf numFmtId="164" fontId="22" fillId="0" borderId="2" xfId="1" applyNumberFormat="1" applyFont="1" applyBorder="1" applyProtection="1">
      <protection hidden="1"/>
    </xf>
    <xf numFmtId="164" fontId="21" fillId="0" borderId="0" xfId="1" applyNumberFormat="1" applyFont="1" applyProtection="1">
      <protection hidden="1"/>
    </xf>
    <xf numFmtId="164" fontId="9" fillId="0" borderId="0" xfId="1" applyNumberFormat="1" applyFont="1" applyAlignment="1" applyProtection="1">
      <alignment horizontal="left"/>
      <protection hidden="1"/>
    </xf>
    <xf numFmtId="0" fontId="15" fillId="4" borderId="0" xfId="0" applyFont="1" applyFill="1" applyAlignment="1" applyProtection="1">
      <alignment horizontal="center"/>
      <protection hidden="1"/>
    </xf>
    <xf numFmtId="164" fontId="9" fillId="3" borderId="0" xfId="1" applyNumberFormat="1" applyFont="1" applyFill="1" applyProtection="1">
      <protection hidden="1"/>
    </xf>
    <xf numFmtId="0" fontId="15" fillId="4" borderId="0" xfId="0" applyFont="1" applyFill="1" applyProtection="1">
      <protection hidden="1"/>
    </xf>
    <xf numFmtId="0" fontId="15" fillId="4" borderId="0" xfId="0" applyFont="1" applyFill="1" applyAlignment="1" applyProtection="1">
      <alignment horizontal="left"/>
      <protection hidden="1"/>
    </xf>
    <xf numFmtId="0" fontId="9" fillId="0" borderId="0" xfId="0" applyFont="1" applyProtection="1">
      <protection hidden="1"/>
    </xf>
    <xf numFmtId="1" fontId="15" fillId="0" borderId="0" xfId="0" applyNumberFormat="1" applyFont="1" applyProtection="1">
      <protection hidden="1"/>
    </xf>
    <xf numFmtId="0" fontId="15" fillId="0" borderId="0" xfId="0" applyFont="1" applyProtection="1">
      <protection hidden="1"/>
    </xf>
    <xf numFmtId="10" fontId="12" fillId="18" borderId="1" xfId="4" applyNumberFormat="1" applyFont="1" applyFill="1" applyBorder="1" applyAlignment="1" applyProtection="1">
      <alignment horizontal="right"/>
      <protection hidden="1"/>
    </xf>
    <xf numFmtId="167" fontId="12" fillId="18" borderId="1" xfId="1" applyNumberFormat="1" applyFont="1" applyFill="1" applyBorder="1" applyProtection="1">
      <protection hidden="1"/>
    </xf>
    <xf numFmtId="0" fontId="63" fillId="3" borderId="0" xfId="0" applyFont="1" applyFill="1" applyAlignment="1" applyProtection="1">
      <alignment horizontal="left"/>
      <protection hidden="1"/>
    </xf>
    <xf numFmtId="0" fontId="21"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4" fillId="0" borderId="0" xfId="0" applyFont="1" applyAlignment="1" applyProtection="1">
      <alignment horizontal="right"/>
      <protection hidden="1"/>
    </xf>
    <xf numFmtId="0" fontId="24" fillId="0" borderId="0" xfId="0" applyFont="1" applyAlignment="1" applyProtection="1">
      <alignment horizontal="center"/>
      <protection hidden="1"/>
    </xf>
    <xf numFmtId="0" fontId="19" fillId="3" borderId="0" xfId="0" applyFont="1" applyFill="1" applyAlignment="1" applyProtection="1">
      <alignment horizontal="left"/>
      <protection hidden="1"/>
    </xf>
    <xf numFmtId="0" fontId="22" fillId="3" borderId="0" xfId="0" applyFont="1" applyFill="1" applyAlignment="1" applyProtection="1">
      <alignment horizontal="center"/>
      <protection hidden="1"/>
    </xf>
    <xf numFmtId="0" fontId="27" fillId="9" borderId="0" xfId="0" applyFont="1" applyFill="1" applyAlignment="1" applyProtection="1">
      <alignment horizontal="right" vertical="center"/>
      <protection hidden="1"/>
    </xf>
    <xf numFmtId="170" fontId="0" fillId="0" borderId="0" xfId="0" applyNumberFormat="1" applyProtection="1">
      <protection hidden="1"/>
    </xf>
    <xf numFmtId="170" fontId="9" fillId="0" borderId="0" xfId="0" applyNumberFormat="1" applyFont="1" applyProtection="1">
      <protection hidden="1"/>
    </xf>
    <xf numFmtId="170" fontId="26" fillId="0" borderId="0" xfId="1" applyNumberFormat="1" applyFont="1" applyBorder="1" applyAlignment="1" applyProtection="1">
      <alignment horizontal="right"/>
      <protection hidden="1"/>
    </xf>
    <xf numFmtId="170" fontId="12" fillId="11" borderId="1" xfId="1" applyNumberFormat="1" applyFont="1" applyFill="1" applyBorder="1" applyAlignment="1" applyProtection="1">
      <alignment horizontal="center" vertical="center" wrapText="1"/>
      <protection locked="0"/>
    </xf>
    <xf numFmtId="164" fontId="61" fillId="9" borderId="0" xfId="1" applyNumberFormat="1" applyFont="1" applyFill="1" applyBorder="1" applyProtection="1">
      <protection hidden="1"/>
    </xf>
    <xf numFmtId="164" fontId="65" fillId="0" borderId="0" xfId="1" applyNumberFormat="1" applyFont="1" applyBorder="1" applyProtection="1">
      <protection hidden="1"/>
    </xf>
    <xf numFmtId="164" fontId="60" fillId="0" borderId="0" xfId="1" applyNumberFormat="1" applyFont="1" applyBorder="1" applyProtection="1">
      <protection hidden="1"/>
    </xf>
    <xf numFmtId="0" fontId="6" fillId="0" borderId="0" xfId="7"/>
    <xf numFmtId="4" fontId="6" fillId="0" borderId="0" xfId="7" applyNumberFormat="1"/>
    <xf numFmtId="0" fontId="64" fillId="0" borderId="0" xfId="7" applyFont="1"/>
    <xf numFmtId="4" fontId="64" fillId="0" borderId="0" xfId="7" applyNumberFormat="1" applyFont="1"/>
    <xf numFmtId="0" fontId="7" fillId="0" borderId="0" xfId="6"/>
    <xf numFmtId="4" fontId="7" fillId="0" borderId="0" xfId="6" applyNumberFormat="1"/>
    <xf numFmtId="0" fontId="64" fillId="0" borderId="0" xfId="6" applyFont="1"/>
    <xf numFmtId="4" fontId="64" fillId="0" borderId="0" xfId="6" applyNumberFormat="1" applyFont="1"/>
    <xf numFmtId="164" fontId="9" fillId="0" borderId="25" xfId="1" applyNumberFormat="1" applyFont="1" applyBorder="1" applyAlignment="1" applyProtection="1">
      <alignment horizontal="left"/>
      <protection hidden="1"/>
    </xf>
    <xf numFmtId="0" fontId="35" fillId="3" borderId="18" xfId="0" applyFont="1" applyFill="1" applyBorder="1" applyProtection="1">
      <protection hidden="1"/>
    </xf>
    <xf numFmtId="0" fontId="35" fillId="6" borderId="19" xfId="0" applyFont="1" applyFill="1" applyBorder="1" applyProtection="1">
      <protection hidden="1"/>
    </xf>
    <xf numFmtId="0" fontId="9" fillId="3" borderId="0" xfId="0" applyFont="1" applyFill="1" applyAlignment="1" applyProtection="1">
      <alignment horizontal="left"/>
      <protection hidden="1"/>
    </xf>
    <xf numFmtId="167" fontId="9" fillId="3" borderId="4" xfId="1" applyNumberFormat="1" applyFont="1" applyFill="1" applyBorder="1" applyAlignment="1" applyProtection="1">
      <alignment horizontal="right"/>
      <protection hidden="1"/>
    </xf>
    <xf numFmtId="165" fontId="9" fillId="0" borderId="0" xfId="1" applyNumberFormat="1" applyFont="1" applyFill="1" applyBorder="1" applyAlignment="1" applyProtection="1">
      <alignment horizontal="right"/>
      <protection hidden="1"/>
    </xf>
    <xf numFmtId="164" fontId="9" fillId="0" borderId="0" xfId="1" applyNumberFormat="1" applyFont="1" applyFill="1" applyBorder="1" applyAlignment="1" applyProtection="1">
      <alignment horizontal="right"/>
      <protection hidden="1"/>
    </xf>
    <xf numFmtId="164" fontId="21" fillId="3" borderId="0" xfId="1" applyNumberFormat="1" applyFont="1" applyFill="1" applyProtection="1">
      <protection hidden="1"/>
    </xf>
    <xf numFmtId="0" fontId="21" fillId="7" borderId="0" xfId="0" applyFont="1" applyFill="1" applyAlignment="1" applyProtection="1">
      <alignment horizontal="left"/>
      <protection hidden="1"/>
    </xf>
    <xf numFmtId="0" fontId="9" fillId="0" borderId="30" xfId="0" applyFont="1" applyBorder="1" applyAlignment="1" applyProtection="1">
      <alignment horizontal="center"/>
      <protection hidden="1"/>
    </xf>
    <xf numFmtId="0" fontId="9" fillId="0" borderId="38" xfId="0" applyFont="1" applyBorder="1" applyAlignment="1" applyProtection="1">
      <alignment horizontal="left"/>
      <protection locked="0"/>
    </xf>
    <xf numFmtId="0" fontId="9" fillId="0" borderId="38" xfId="0" applyFont="1" applyBorder="1" applyAlignment="1" applyProtection="1">
      <alignment horizontal="right"/>
      <protection locked="0"/>
    </xf>
    <xf numFmtId="3" fontId="9" fillId="5" borderId="30" xfId="0" applyNumberFormat="1" applyFont="1" applyFill="1" applyBorder="1" applyAlignment="1" applyProtection="1">
      <alignment horizontal="right"/>
      <protection locked="0"/>
    </xf>
    <xf numFmtId="0" fontId="9" fillId="0" borderId="0" xfId="0" applyFont="1" applyAlignment="1" applyProtection="1">
      <alignment horizontal="center"/>
      <protection locked="0"/>
    </xf>
    <xf numFmtId="0" fontId="9" fillId="0" borderId="0" xfId="0" applyFont="1" applyAlignment="1" applyProtection="1">
      <alignment horizontal="right"/>
      <protection locked="0"/>
    </xf>
    <xf numFmtId="3" fontId="9" fillId="0" borderId="0" xfId="1" applyNumberFormat="1" applyFont="1" applyFill="1" applyBorder="1" applyAlignment="1" applyProtection="1">
      <alignment horizontal="right"/>
      <protection locked="0"/>
    </xf>
    <xf numFmtId="3" fontId="9" fillId="0" borderId="0" xfId="0" applyNumberFormat="1" applyFont="1" applyAlignment="1">
      <alignment horizontal="right"/>
    </xf>
    <xf numFmtId="0" fontId="9" fillId="13" borderId="0" xfId="0" applyFont="1" applyFill="1" applyAlignment="1">
      <alignment horizontal="right"/>
    </xf>
    <xf numFmtId="3" fontId="9" fillId="0" borderId="0" xfId="0" applyNumberFormat="1" applyFont="1" applyAlignment="1">
      <alignment horizontal="left"/>
    </xf>
    <xf numFmtId="0" fontId="9" fillId="0" borderId="0" xfId="0" applyFont="1" applyAlignment="1">
      <alignment wrapText="1"/>
    </xf>
    <xf numFmtId="3" fontId="9" fillId="13" borderId="0" xfId="0" applyNumberFormat="1" applyFont="1" applyFill="1" applyAlignment="1">
      <alignment horizontal="right"/>
    </xf>
    <xf numFmtId="3" fontId="9" fillId="0" borderId="0" xfId="0" applyNumberFormat="1" applyFont="1"/>
    <xf numFmtId="167" fontId="9" fillId="13" borderId="0" xfId="0" applyNumberFormat="1" applyFont="1" applyFill="1" applyAlignment="1" applyProtection="1">
      <alignment horizontal="right"/>
      <protection locked="0"/>
    </xf>
    <xf numFmtId="167" fontId="9" fillId="0" borderId="0" xfId="0" applyNumberFormat="1" applyFont="1" applyProtection="1">
      <protection locked="0"/>
    </xf>
    <xf numFmtId="167" fontId="9" fillId="10" borderId="0" xfId="0" applyNumberFormat="1" applyFont="1" applyFill="1" applyAlignment="1" applyProtection="1">
      <alignment horizontal="right"/>
      <protection locked="0"/>
    </xf>
    <xf numFmtId="0" fontId="9" fillId="13" borderId="0" xfId="0" applyFont="1" applyFill="1" applyAlignment="1" applyProtection="1">
      <alignment horizontal="right"/>
      <protection locked="0"/>
    </xf>
    <xf numFmtId="0" fontId="9" fillId="0" borderId="2" xfId="0" applyFont="1" applyBorder="1"/>
    <xf numFmtId="167" fontId="9" fillId="20" borderId="4" xfId="1" applyNumberFormat="1" applyFont="1" applyFill="1" applyBorder="1" applyAlignment="1" applyProtection="1">
      <alignment horizontal="right"/>
      <protection hidden="1"/>
    </xf>
    <xf numFmtId="10" fontId="12" fillId="0" borderId="0" xfId="4" applyNumberFormat="1" applyFont="1" applyFill="1" applyBorder="1" applyAlignment="1" applyProtection="1">
      <alignment horizontal="center"/>
      <protection hidden="1"/>
    </xf>
    <xf numFmtId="0" fontId="67" fillId="0" borderId="0" xfId="9" applyFont="1"/>
    <xf numFmtId="0" fontId="68" fillId="0" borderId="0" xfId="9" applyFont="1"/>
    <xf numFmtId="4" fontId="68" fillId="0" borderId="0" xfId="9" applyNumberFormat="1" applyFont="1"/>
    <xf numFmtId="4" fontId="67" fillId="0" borderId="0" xfId="9" applyNumberFormat="1" applyFont="1"/>
    <xf numFmtId="0" fontId="67" fillId="21" borderId="0" xfId="9" applyFont="1" applyFill="1"/>
    <xf numFmtId="0" fontId="69" fillId="0" borderId="0" xfId="10" applyFont="1"/>
    <xf numFmtId="0" fontId="3" fillId="0" borderId="0" xfId="10"/>
    <xf numFmtId="0" fontId="3" fillId="0" borderId="0" xfId="10" applyAlignment="1">
      <alignment wrapText="1"/>
    </xf>
    <xf numFmtId="0" fontId="3" fillId="0" borderId="0" xfId="10" applyAlignment="1">
      <alignment horizontal="left" wrapText="1" indent="2"/>
    </xf>
    <xf numFmtId="0" fontId="3" fillId="0" borderId="0" xfId="10" applyAlignment="1">
      <alignment vertical="top" wrapText="1"/>
    </xf>
    <xf numFmtId="0" fontId="3" fillId="0" borderId="0" xfId="10" applyAlignment="1">
      <alignment horizontal="left"/>
    </xf>
    <xf numFmtId="0" fontId="3" fillId="0" borderId="0" xfId="10" applyAlignment="1">
      <alignment horizontal="left" indent="1"/>
    </xf>
    <xf numFmtId="0" fontId="3" fillId="0" borderId="0" xfId="10" applyAlignment="1">
      <alignment horizontal="left" wrapText="1" indent="1"/>
    </xf>
    <xf numFmtId="0" fontId="2" fillId="0" borderId="0" xfId="10" applyFont="1" applyAlignment="1">
      <alignment horizontal="left" wrapText="1"/>
    </xf>
    <xf numFmtId="3" fontId="12" fillId="17" borderId="1" xfId="1" applyNumberFormat="1" applyFont="1" applyFill="1" applyBorder="1" applyAlignment="1" applyProtection="1">
      <alignment horizontal="right"/>
      <protection hidden="1"/>
    </xf>
    <xf numFmtId="0" fontId="24" fillId="0" borderId="0" xfId="0" applyFont="1" applyAlignment="1">
      <alignment horizontal="left"/>
    </xf>
    <xf numFmtId="170" fontId="42" fillId="3" borderId="4" xfId="0" applyNumberFormat="1" applyFont="1" applyFill="1" applyBorder="1" applyAlignment="1">
      <alignment horizontal="center" vertical="center" wrapText="1"/>
    </xf>
    <xf numFmtId="0" fontId="22" fillId="3" borderId="0" xfId="0" applyFont="1" applyFill="1" applyAlignment="1">
      <alignment horizontal="left"/>
    </xf>
    <xf numFmtId="0" fontId="0" fillId="0" borderId="0" xfId="0" applyAlignment="1">
      <alignment horizontal="right"/>
    </xf>
    <xf numFmtId="0" fontId="17" fillId="0" borderId="0" xfId="0" applyFont="1" applyAlignment="1">
      <alignment horizontal="right"/>
    </xf>
    <xf numFmtId="0" fontId="23" fillId="0" borderId="0" xfId="0" applyFont="1" applyAlignment="1">
      <alignment horizontal="right"/>
    </xf>
    <xf numFmtId="0" fontId="10" fillId="0" borderId="28" xfId="0" applyFont="1" applyBorder="1" applyAlignment="1">
      <alignment horizontal="left" wrapText="1"/>
    </xf>
    <xf numFmtId="0" fontId="10" fillId="0" borderId="28" xfId="0" applyFont="1" applyBorder="1" applyAlignment="1">
      <alignment horizontal="right" wrapText="1"/>
    </xf>
    <xf numFmtId="0" fontId="10" fillId="19" borderId="28" xfId="0" applyFont="1" applyFill="1" applyBorder="1" applyAlignment="1">
      <alignment horizontal="right" wrapText="1"/>
    </xf>
    <xf numFmtId="0" fontId="10" fillId="19" borderId="28" xfId="0" applyFont="1" applyFill="1" applyBorder="1" applyAlignment="1">
      <alignment horizontal="left" wrapText="1"/>
    </xf>
    <xf numFmtId="3" fontId="10" fillId="19" borderId="28" xfId="0" applyNumberFormat="1" applyFont="1" applyFill="1" applyBorder="1" applyAlignment="1">
      <alignment horizontal="right" wrapText="1"/>
    </xf>
    <xf numFmtId="1" fontId="9" fillId="0" borderId="0" xfId="0" applyNumberFormat="1" applyFont="1"/>
    <xf numFmtId="1" fontId="0" fillId="8" borderId="24" xfId="0" applyNumberFormat="1" applyFill="1" applyBorder="1" applyAlignment="1">
      <alignment horizontal="left"/>
    </xf>
    <xf numFmtId="1" fontId="0" fillId="8" borderId="25" xfId="0" applyNumberFormat="1" applyFill="1" applyBorder="1" applyAlignment="1">
      <alignment horizontal="left"/>
    </xf>
    <xf numFmtId="169" fontId="0" fillId="5" borderId="25" xfId="1" applyNumberFormat="1" applyFont="1" applyFill="1" applyBorder="1" applyAlignment="1" applyProtection="1">
      <alignment horizontal="right"/>
    </xf>
    <xf numFmtId="3" fontId="0" fillId="19" borderId="25" xfId="0" applyNumberFormat="1" applyFill="1" applyBorder="1" applyAlignment="1">
      <alignment horizontal="right"/>
    </xf>
    <xf numFmtId="0" fontId="0" fillId="19" borderId="25" xfId="0" applyFill="1" applyBorder="1" applyAlignment="1">
      <alignment horizontal="left"/>
    </xf>
    <xf numFmtId="0" fontId="0" fillId="19" borderId="25" xfId="0" applyFill="1" applyBorder="1" applyAlignment="1">
      <alignment horizontal="right"/>
    </xf>
    <xf numFmtId="14" fontId="0" fillId="19" borderId="25" xfId="0" applyNumberFormat="1" applyFill="1" applyBorder="1" applyAlignment="1">
      <alignment horizontal="right"/>
    </xf>
    <xf numFmtId="3" fontId="0" fillId="19" borderId="25" xfId="0" applyNumberFormat="1" applyFill="1" applyBorder="1" applyAlignment="1">
      <alignment horizontal="left"/>
    </xf>
    <xf numFmtId="3" fontId="9" fillId="19" borderId="25" xfId="0" applyNumberFormat="1" applyFont="1" applyFill="1" applyBorder="1" applyAlignment="1">
      <alignment horizontal="right" wrapText="1"/>
    </xf>
    <xf numFmtId="3" fontId="9" fillId="19" borderId="26" xfId="0" applyNumberFormat="1" applyFont="1" applyFill="1" applyBorder="1" applyAlignment="1">
      <alignment horizontal="right" wrapText="1"/>
    </xf>
    <xf numFmtId="1" fontId="0" fillId="8" borderId="13" xfId="0" applyNumberFormat="1" applyFill="1" applyBorder="1" applyAlignment="1">
      <alignment horizontal="left"/>
    </xf>
    <xf numFmtId="1" fontId="0" fillId="8" borderId="0" xfId="0" applyNumberFormat="1" applyFill="1" applyAlignment="1">
      <alignment horizontal="left"/>
    </xf>
    <xf numFmtId="169" fontId="0" fillId="5" borderId="0" xfId="1" applyNumberFormat="1" applyFont="1" applyFill="1" applyBorder="1" applyAlignment="1" applyProtection="1">
      <alignment horizontal="right"/>
    </xf>
    <xf numFmtId="3" fontId="0" fillId="19" borderId="0" xfId="0" applyNumberFormat="1" applyFill="1" applyAlignment="1">
      <alignment horizontal="right"/>
    </xf>
    <xf numFmtId="3" fontId="0" fillId="19" borderId="0" xfId="0" applyNumberFormat="1" applyFill="1" applyAlignment="1">
      <alignment horizontal="left"/>
    </xf>
    <xf numFmtId="3" fontId="0" fillId="19" borderId="21" xfId="0" applyNumberFormat="1" applyFill="1" applyBorder="1" applyAlignment="1">
      <alignment horizontal="right"/>
    </xf>
    <xf numFmtId="1" fontId="0" fillId="0" borderId="0" xfId="0" applyNumberFormat="1"/>
    <xf numFmtId="1" fontId="0" fillId="8" borderId="27" xfId="0" applyNumberFormat="1" applyFill="1" applyBorder="1" applyAlignment="1">
      <alignment horizontal="left"/>
    </xf>
    <xf numFmtId="1" fontId="0" fillId="8" borderId="28" xfId="0" applyNumberFormat="1" applyFill="1" applyBorder="1" applyAlignment="1">
      <alignment horizontal="left"/>
    </xf>
    <xf numFmtId="169" fontId="0" fillId="5" borderId="28" xfId="1" applyNumberFormat="1" applyFont="1" applyFill="1" applyBorder="1" applyAlignment="1" applyProtection="1">
      <alignment horizontal="right"/>
    </xf>
    <xf numFmtId="3" fontId="0" fillId="19" borderId="28" xfId="0" applyNumberFormat="1" applyFill="1" applyBorder="1" applyAlignment="1">
      <alignment horizontal="right"/>
    </xf>
    <xf numFmtId="3" fontId="0" fillId="19" borderId="28" xfId="0" applyNumberFormat="1" applyFill="1" applyBorder="1" applyAlignment="1">
      <alignment horizontal="left"/>
    </xf>
    <xf numFmtId="3" fontId="0" fillId="19" borderId="29" xfId="0" applyNumberFormat="1" applyFill="1" applyBorder="1" applyAlignment="1">
      <alignment horizontal="right"/>
    </xf>
    <xf numFmtId="0" fontId="16" fillId="8" borderId="24" xfId="0" applyFont="1" applyFill="1" applyBorder="1"/>
    <xf numFmtId="0" fontId="0" fillId="8" borderId="25" xfId="0" applyFill="1" applyBorder="1" applyAlignment="1">
      <alignment horizontal="left"/>
    </xf>
    <xf numFmtId="0" fontId="0" fillId="8" borderId="25" xfId="0" applyFill="1" applyBorder="1" applyAlignment="1">
      <alignment horizontal="right"/>
    </xf>
    <xf numFmtId="0" fontId="0" fillId="8" borderId="26" xfId="0" applyFill="1" applyBorder="1" applyAlignment="1">
      <alignment horizontal="right"/>
    </xf>
    <xf numFmtId="0" fontId="0" fillId="8" borderId="13" xfId="0" applyFill="1" applyBorder="1"/>
    <xf numFmtId="0" fontId="0" fillId="8" borderId="0" xfId="0" applyFill="1" applyAlignment="1">
      <alignment horizontal="left"/>
    </xf>
    <xf numFmtId="0" fontId="10" fillId="8" borderId="0" xfId="0" applyFont="1" applyFill="1" applyAlignment="1">
      <alignment horizontal="left"/>
    </xf>
    <xf numFmtId="49" fontId="10" fillId="8" borderId="0" xfId="0" applyNumberFormat="1" applyFont="1" applyFill="1" applyAlignment="1">
      <alignment horizontal="left"/>
    </xf>
    <xf numFmtId="0" fontId="10" fillId="8" borderId="0" xfId="0" applyFont="1" applyFill="1" applyAlignment="1">
      <alignment horizontal="right"/>
    </xf>
    <xf numFmtId="49" fontId="10" fillId="8" borderId="0" xfId="0" applyNumberFormat="1" applyFont="1" applyFill="1" applyAlignment="1">
      <alignment horizontal="right"/>
    </xf>
    <xf numFmtId="0" fontId="0" fillId="8" borderId="21" xfId="0" applyFill="1" applyBorder="1" applyAlignment="1">
      <alignment horizontal="right"/>
    </xf>
    <xf numFmtId="0" fontId="0" fillId="8" borderId="0" xfId="0" applyFill="1" applyAlignment="1">
      <alignment horizontal="right"/>
    </xf>
    <xf numFmtId="3" fontId="0" fillId="8" borderId="0" xfId="0" applyNumberFormat="1" applyFill="1" applyAlignment="1">
      <alignment horizontal="left"/>
    </xf>
    <xf numFmtId="3" fontId="0" fillId="8" borderId="0" xfId="0" applyNumberFormat="1" applyFill="1" applyAlignment="1">
      <alignment horizontal="right"/>
    </xf>
    <xf numFmtId="0" fontId="0" fillId="8" borderId="27" xfId="0" applyFill="1" applyBorder="1"/>
    <xf numFmtId="0" fontId="0" fillId="8" borderId="28" xfId="0" applyFill="1" applyBorder="1" applyAlignment="1">
      <alignment horizontal="left"/>
    </xf>
    <xf numFmtId="0" fontId="0" fillId="8" borderId="28" xfId="0" applyFill="1" applyBorder="1" applyAlignment="1">
      <alignment horizontal="right"/>
    </xf>
    <xf numFmtId="0" fontId="0" fillId="8" borderId="29" xfId="0" applyFill="1" applyBorder="1" applyAlignment="1">
      <alignment horizontal="right"/>
    </xf>
    <xf numFmtId="0" fontId="17" fillId="0" borderId="0" xfId="0" applyFont="1"/>
    <xf numFmtId="0" fontId="10" fillId="0" borderId="30" xfId="0" applyFont="1" applyBorder="1" applyAlignment="1">
      <alignment horizontal="center"/>
    </xf>
    <xf numFmtId="0" fontId="10" fillId="0" borderId="30" xfId="0" applyFont="1" applyBorder="1" applyAlignment="1">
      <alignment horizontal="left"/>
    </xf>
    <xf numFmtId="0" fontId="9" fillId="0" borderId="30" xfId="0" applyFont="1" applyBorder="1" applyAlignment="1">
      <alignment horizontal="left"/>
    </xf>
    <xf numFmtId="3" fontId="11" fillId="3" borderId="3" xfId="1" applyNumberFormat="1" applyFont="1" applyFill="1" applyBorder="1" applyAlignment="1" applyProtection="1">
      <alignment horizontal="right"/>
      <protection locked="0" hidden="1"/>
    </xf>
    <xf numFmtId="3" fontId="11" fillId="17" borderId="3" xfId="1" applyNumberFormat="1" applyFont="1" applyFill="1" applyBorder="1" applyAlignment="1" applyProtection="1">
      <alignment horizontal="right"/>
      <protection locked="0" hidden="1"/>
    </xf>
    <xf numFmtId="3" fontId="11" fillId="3" borderId="4" xfId="1" applyNumberFormat="1" applyFont="1" applyFill="1" applyBorder="1" applyAlignment="1" applyProtection="1">
      <alignment horizontal="right"/>
      <protection locked="0" hidden="1"/>
    </xf>
    <xf numFmtId="3" fontId="11" fillId="17" borderId="4" xfId="1" applyNumberFormat="1" applyFont="1" applyFill="1" applyBorder="1" applyAlignment="1" applyProtection="1">
      <alignment horizontal="right"/>
      <protection locked="0" hidden="1"/>
    </xf>
    <xf numFmtId="167" fontId="12" fillId="0" borderId="1" xfId="1" applyNumberFormat="1" applyFont="1" applyFill="1" applyBorder="1" applyProtection="1">
      <protection locked="0" hidden="1"/>
    </xf>
    <xf numFmtId="3" fontId="11" fillId="0" borderId="4" xfId="1" applyNumberFormat="1" applyFont="1" applyFill="1" applyBorder="1" applyAlignment="1" applyProtection="1">
      <alignment horizontal="right"/>
      <protection locked="0" hidden="1"/>
    </xf>
    <xf numFmtId="3" fontId="11" fillId="0" borderId="23" xfId="1" applyNumberFormat="1" applyFont="1" applyFill="1" applyBorder="1" applyAlignment="1" applyProtection="1">
      <alignment horizontal="right"/>
      <protection locked="0" hidden="1"/>
    </xf>
    <xf numFmtId="164" fontId="9" fillId="0" borderId="45" xfId="1" applyNumberFormat="1" applyFont="1" applyBorder="1" applyAlignment="1" applyProtection="1">
      <alignment horizontal="left"/>
      <protection hidden="1"/>
    </xf>
    <xf numFmtId="164" fontId="17" fillId="0" borderId="0" xfId="1" applyNumberFormat="1" applyFont="1" applyBorder="1" applyAlignment="1" applyProtection="1">
      <alignment horizontal="left"/>
      <protection hidden="1"/>
    </xf>
    <xf numFmtId="164" fontId="9" fillId="0" borderId="2" xfId="1" applyNumberFormat="1" applyFont="1" applyBorder="1" applyAlignment="1" applyProtection="1">
      <alignment horizontal="left"/>
      <protection hidden="1"/>
    </xf>
    <xf numFmtId="164" fontId="9" fillId="0" borderId="28" xfId="1" applyNumberFormat="1" applyFont="1" applyBorder="1" applyAlignment="1" applyProtection="1">
      <alignment horizontal="left"/>
      <protection hidden="1"/>
    </xf>
    <xf numFmtId="164" fontId="10" fillId="0" borderId="45" xfId="1" applyNumberFormat="1" applyFont="1" applyBorder="1" applyAlignment="1" applyProtection="1">
      <alignment horizontal="left"/>
      <protection hidden="1"/>
    </xf>
    <xf numFmtId="164" fontId="11" fillId="0" borderId="11" xfId="1" applyNumberFormat="1" applyFont="1" applyBorder="1" applyProtection="1">
      <protection hidden="1"/>
    </xf>
    <xf numFmtId="164" fontId="12" fillId="0" borderId="11" xfId="1" applyNumberFormat="1" applyFont="1" applyBorder="1" applyAlignment="1" applyProtection="1">
      <alignment horizontal="left"/>
      <protection hidden="1"/>
    </xf>
    <xf numFmtId="164" fontId="12" fillId="0" borderId="11" xfId="1" applyNumberFormat="1" applyFont="1" applyBorder="1" applyAlignment="1" applyProtection="1">
      <alignment vertical="center" wrapText="1"/>
      <protection hidden="1"/>
    </xf>
    <xf numFmtId="164" fontId="9" fillId="0" borderId="4" xfId="1" applyNumberFormat="1" applyFont="1" applyBorder="1" applyProtection="1">
      <protection locked="0"/>
    </xf>
    <xf numFmtId="164" fontId="10" fillId="0" borderId="11" xfId="1" applyNumberFormat="1" applyFont="1" applyBorder="1" applyProtection="1">
      <protection locked="0"/>
    </xf>
    <xf numFmtId="164" fontId="9" fillId="0" borderId="11" xfId="1" applyNumberFormat="1" applyFont="1" applyBorder="1" applyProtection="1">
      <protection locked="0"/>
    </xf>
    <xf numFmtId="164" fontId="9" fillId="0" borderId="3" xfId="1" applyNumberFormat="1" applyFont="1" applyBorder="1" applyProtection="1">
      <protection locked="0"/>
    </xf>
    <xf numFmtId="164" fontId="12" fillId="0" borderId="11" xfId="1" applyNumberFormat="1" applyFont="1" applyBorder="1" applyAlignment="1" applyProtection="1">
      <alignment horizontal="left"/>
      <protection locked="0"/>
    </xf>
    <xf numFmtId="9" fontId="58" fillId="3" borderId="11" xfId="4" applyFont="1" applyFill="1" applyBorder="1" applyAlignment="1" applyProtection="1">
      <alignment horizontal="right"/>
      <protection locked="0"/>
    </xf>
    <xf numFmtId="9" fontId="57" fillId="3" borderId="11" xfId="4" applyFont="1" applyFill="1" applyBorder="1" applyAlignment="1" applyProtection="1">
      <alignment horizontal="right"/>
      <protection locked="0"/>
    </xf>
    <xf numFmtId="164" fontId="9" fillId="0" borderId="0" xfId="1" applyNumberFormat="1" applyFont="1" applyFill="1" applyBorder="1" applyProtection="1">
      <protection locked="0"/>
    </xf>
    <xf numFmtId="164" fontId="10" fillId="0" borderId="0" xfId="1" applyNumberFormat="1" applyFont="1" applyFill="1" applyBorder="1" applyAlignment="1" applyProtection="1">
      <alignment horizontal="center"/>
      <protection locked="0"/>
    </xf>
    <xf numFmtId="3" fontId="11" fillId="3" borderId="3" xfId="1" applyNumberFormat="1" applyFont="1" applyFill="1" applyBorder="1" applyAlignment="1" applyProtection="1">
      <alignment horizontal="right"/>
      <protection hidden="1"/>
    </xf>
    <xf numFmtId="3" fontId="11" fillId="3" borderId="4" xfId="1" applyNumberFormat="1" applyFont="1" applyFill="1" applyBorder="1" applyAlignment="1" applyProtection="1">
      <alignment horizontal="right"/>
      <protection hidden="1"/>
    </xf>
    <xf numFmtId="164" fontId="9" fillId="17" borderId="4" xfId="1" applyNumberFormat="1" applyFont="1" applyFill="1" applyBorder="1" applyAlignment="1" applyProtection="1">
      <alignment horizontal="left"/>
      <protection locked="0" hidden="1"/>
    </xf>
    <xf numFmtId="0" fontId="18" fillId="0" borderId="0" xfId="0" applyFont="1" applyAlignment="1" applyProtection="1">
      <alignment horizontal="center"/>
      <protection hidden="1"/>
    </xf>
    <xf numFmtId="0" fontId="31" fillId="3" borderId="0" xfId="0" applyFont="1" applyFill="1" applyAlignment="1" applyProtection="1">
      <alignment horizontal="center"/>
      <protection hidden="1"/>
    </xf>
    <xf numFmtId="167" fontId="10" fillId="3" borderId="23" xfId="1" applyNumberFormat="1" applyFont="1" applyFill="1" applyBorder="1" applyAlignment="1" applyProtection="1">
      <alignment horizontal="right" vertical="center"/>
      <protection hidden="1"/>
    </xf>
    <xf numFmtId="167" fontId="10" fillId="3" borderId="3" xfId="1" applyNumberFormat="1" applyFont="1" applyFill="1" applyBorder="1" applyAlignment="1" applyProtection="1">
      <alignment horizontal="right" vertical="center"/>
      <protection hidden="1"/>
    </xf>
    <xf numFmtId="164" fontId="12" fillId="0" borderId="13" xfId="1" applyNumberFormat="1" applyFont="1" applyBorder="1" applyAlignment="1" applyProtection="1">
      <alignment vertical="center" wrapText="1"/>
      <protection hidden="1"/>
    </xf>
    <xf numFmtId="164" fontId="12" fillId="0" borderId="0" xfId="1" applyNumberFormat="1" applyFont="1" applyAlignment="1" applyProtection="1">
      <alignment vertical="center" wrapText="1"/>
      <protection hidden="1"/>
    </xf>
    <xf numFmtId="0" fontId="29" fillId="3" borderId="0" xfId="0" applyFont="1" applyFill="1" applyAlignment="1" applyProtection="1">
      <alignment horizontal="center" vertical="center" wrapText="1"/>
      <protection hidden="1"/>
    </xf>
    <xf numFmtId="0" fontId="24" fillId="3" borderId="23"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34" fillId="5" borderId="43" xfId="0" applyFont="1" applyFill="1" applyBorder="1" applyAlignment="1" applyProtection="1">
      <alignment horizontal="center"/>
      <protection locked="0"/>
    </xf>
    <xf numFmtId="0" fontId="10" fillId="0" borderId="44"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22"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49" fontId="39" fillId="3" borderId="0" xfId="0" applyNumberFormat="1" applyFont="1" applyFill="1" applyAlignment="1" applyProtection="1">
      <alignment horizontal="center" vertical="center" wrapText="1" shrinkToFit="1"/>
      <protection hidden="1"/>
    </xf>
    <xf numFmtId="164" fontId="40" fillId="0" borderId="0" xfId="1" applyNumberFormat="1" applyFont="1" applyBorder="1" applyAlignment="1" applyProtection="1">
      <alignment horizontal="center"/>
      <protection hidden="1"/>
    </xf>
    <xf numFmtId="164" fontId="12" fillId="0" borderId="15" xfId="1" applyNumberFormat="1" applyFont="1" applyBorder="1" applyAlignment="1" applyProtection="1">
      <alignment horizontal="left" vertical="center"/>
      <protection hidden="1"/>
    </xf>
    <xf numFmtId="0" fontId="11" fillId="0" borderId="16" xfId="0" applyFont="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164" fontId="11" fillId="0" borderId="15" xfId="1" applyNumberFormat="1" applyFont="1" applyBorder="1" applyAlignment="1" applyProtection="1">
      <alignment horizontal="left" vertical="center"/>
      <protection hidden="1"/>
    </xf>
    <xf numFmtId="164" fontId="11" fillId="0" borderId="16" xfId="1" applyNumberFormat="1" applyFont="1" applyBorder="1" applyAlignment="1" applyProtection="1">
      <alignment horizontal="left" vertical="center"/>
      <protection hidden="1"/>
    </xf>
    <xf numFmtId="164" fontId="11" fillId="0" borderId="17" xfId="1" applyNumberFormat="1" applyFont="1" applyBorder="1" applyAlignment="1" applyProtection="1">
      <alignment horizontal="left" vertical="center"/>
      <protection hidden="1"/>
    </xf>
    <xf numFmtId="164" fontId="26" fillId="14" borderId="44" xfId="1" applyNumberFormat="1" applyFont="1" applyFill="1" applyBorder="1" applyAlignment="1" applyProtection="1">
      <alignment horizontal="center" vertical="center"/>
      <protection hidden="1"/>
    </xf>
    <xf numFmtId="164" fontId="26" fillId="14" borderId="45" xfId="1" applyNumberFormat="1" applyFont="1" applyFill="1" applyBorder="1" applyAlignment="1" applyProtection="1">
      <alignment horizontal="center" vertical="center"/>
      <protection hidden="1"/>
    </xf>
    <xf numFmtId="164" fontId="26" fillId="14" borderId="22" xfId="1" applyNumberFormat="1" applyFont="1" applyFill="1" applyBorder="1" applyAlignment="1" applyProtection="1">
      <alignment horizontal="center" vertical="center"/>
      <protection hidden="1"/>
    </xf>
    <xf numFmtId="164" fontId="31" fillId="14" borderId="10" xfId="1" applyNumberFormat="1" applyFont="1" applyFill="1" applyBorder="1" applyAlignment="1" applyProtection="1">
      <alignment horizontal="center" vertical="center"/>
      <protection hidden="1"/>
    </xf>
    <xf numFmtId="164" fontId="31" fillId="14" borderId="0" xfId="1" applyNumberFormat="1" applyFont="1" applyFill="1" applyBorder="1" applyAlignment="1" applyProtection="1">
      <alignment horizontal="center" vertical="center"/>
      <protection hidden="1"/>
    </xf>
    <xf numFmtId="164" fontId="31" fillId="14" borderId="12" xfId="1" applyNumberFormat="1" applyFont="1" applyFill="1" applyBorder="1" applyAlignment="1" applyProtection="1">
      <alignment horizontal="center" vertical="center"/>
      <protection hidden="1"/>
    </xf>
    <xf numFmtId="164" fontId="21" fillId="5" borderId="4" xfId="1" applyNumberFormat="1" applyFont="1" applyFill="1" applyBorder="1" applyAlignment="1" applyProtection="1">
      <alignment horizontal="left" wrapText="1"/>
      <protection locked="0"/>
    </xf>
    <xf numFmtId="164" fontId="21" fillId="5" borderId="23" xfId="1" applyNumberFormat="1" applyFont="1" applyFill="1" applyBorder="1" applyAlignment="1" applyProtection="1">
      <alignment horizontal="left" wrapText="1"/>
      <protection locked="0"/>
    </xf>
    <xf numFmtId="164" fontId="26" fillId="3" borderId="0" xfId="1" applyNumberFormat="1" applyFont="1" applyFill="1" applyBorder="1" applyAlignment="1" applyProtection="1">
      <alignment horizontal="center"/>
      <protection hidden="1"/>
    </xf>
    <xf numFmtId="164" fontId="21" fillId="3" borderId="0" xfId="1" applyNumberFormat="1" applyFont="1" applyFill="1" applyAlignment="1" applyProtection="1">
      <alignment horizontal="left" wrapText="1"/>
      <protection hidden="1"/>
    </xf>
    <xf numFmtId="0" fontId="36" fillId="3" borderId="0" xfId="0" applyFont="1" applyFill="1" applyAlignment="1" applyProtection="1">
      <alignment horizontal="left" wrapText="1"/>
      <protection hidden="1"/>
    </xf>
    <xf numFmtId="43" fontId="10" fillId="0" borderId="15" xfId="1" applyFont="1" applyBorder="1" applyAlignment="1" applyProtection="1">
      <alignment horizontal="left" vertical="center" wrapText="1"/>
      <protection hidden="1"/>
    </xf>
    <xf numFmtId="0" fontId="9" fillId="0" borderId="16" xfId="0" applyFont="1" applyBorder="1" applyAlignment="1" applyProtection="1">
      <alignment horizontal="left" vertical="center"/>
      <protection hidden="1"/>
    </xf>
    <xf numFmtId="164" fontId="10" fillId="0" borderId="4" xfId="1" applyNumberFormat="1" applyFont="1" applyBorder="1" applyAlignment="1" applyProtection="1">
      <alignment wrapText="1"/>
      <protection hidden="1"/>
    </xf>
    <xf numFmtId="164" fontId="21" fillId="5" borderId="5" xfId="1" applyNumberFormat="1" applyFont="1" applyFill="1" applyBorder="1" applyAlignment="1" applyProtection="1">
      <alignment horizontal="left"/>
      <protection locked="0"/>
    </xf>
    <xf numFmtId="164" fontId="21" fillId="5" borderId="6" xfId="1" applyNumberFormat="1" applyFont="1" applyFill="1" applyBorder="1" applyAlignment="1" applyProtection="1">
      <alignment horizontal="left"/>
      <protection locked="0"/>
    </xf>
    <xf numFmtId="164" fontId="21" fillId="5" borderId="7" xfId="1" applyNumberFormat="1" applyFont="1" applyFill="1" applyBorder="1" applyAlignment="1" applyProtection="1">
      <alignment horizontal="left"/>
      <protection locked="0"/>
    </xf>
    <xf numFmtId="164" fontId="10" fillId="0" borderId="5" xfId="1" applyNumberFormat="1" applyFont="1" applyFill="1" applyBorder="1" applyAlignment="1" applyProtection="1">
      <alignment horizontal="left" wrapText="1"/>
      <protection hidden="1"/>
    </xf>
    <xf numFmtId="164" fontId="10" fillId="0" borderId="6" xfId="1" applyNumberFormat="1" applyFont="1" applyFill="1" applyBorder="1" applyAlignment="1" applyProtection="1">
      <alignment horizontal="left" wrapText="1"/>
      <protection hidden="1"/>
    </xf>
    <xf numFmtId="164" fontId="10" fillId="0" borderId="7" xfId="1" applyNumberFormat="1" applyFont="1" applyFill="1" applyBorder="1" applyAlignment="1" applyProtection="1">
      <alignment horizontal="left" wrapText="1"/>
      <protection hidden="1"/>
    </xf>
    <xf numFmtId="0" fontId="21" fillId="5" borderId="9" xfId="0" applyFont="1" applyFill="1" applyBorder="1" applyAlignment="1" applyProtection="1">
      <alignment horizontal="left" wrapText="1"/>
      <protection locked="0"/>
    </xf>
    <xf numFmtId="0" fontId="21" fillId="5" borderId="3" xfId="0" applyFont="1" applyFill="1" applyBorder="1" applyAlignment="1" applyProtection="1">
      <alignment horizontal="left" wrapText="1"/>
      <protection locked="0"/>
    </xf>
    <xf numFmtId="0" fontId="21" fillId="5" borderId="40" xfId="0" applyFont="1" applyFill="1" applyBorder="1" applyAlignment="1" applyProtection="1">
      <alignment horizontal="left" wrapText="1"/>
      <protection locked="0"/>
    </xf>
    <xf numFmtId="164" fontId="10" fillId="0" borderId="39" xfId="1" applyNumberFormat="1" applyFont="1" applyBorder="1" applyAlignment="1" applyProtection="1">
      <alignment horizontal="left" wrapText="1"/>
      <protection hidden="1"/>
    </xf>
    <xf numFmtId="164" fontId="10" fillId="0" borderId="32" xfId="1" applyNumberFormat="1" applyFont="1" applyBorder="1" applyAlignment="1" applyProtection="1">
      <alignment horizontal="left" wrapText="1"/>
      <protection hidden="1"/>
    </xf>
    <xf numFmtId="164" fontId="10" fillId="0" borderId="14" xfId="1" applyNumberFormat="1" applyFont="1" applyBorder="1" applyAlignment="1" applyProtection="1">
      <alignment horizontal="left" wrapText="1"/>
      <protection hidden="1"/>
    </xf>
    <xf numFmtId="43" fontId="16" fillId="0" borderId="48" xfId="1" applyFont="1" applyBorder="1" applyAlignment="1" applyProtection="1">
      <alignment horizontal="left" wrapText="1"/>
      <protection hidden="1"/>
    </xf>
    <xf numFmtId="43" fontId="16" fillId="0" borderId="49" xfId="1" applyFont="1" applyBorder="1" applyAlignment="1" applyProtection="1">
      <alignment horizontal="left" wrapText="1"/>
      <protection hidden="1"/>
    </xf>
    <xf numFmtId="0" fontId="9" fillId="0" borderId="49" xfId="0" applyFont="1" applyBorder="1" applyAlignment="1" applyProtection="1">
      <alignment horizontal="left" wrapText="1"/>
      <protection hidden="1"/>
    </xf>
    <xf numFmtId="0" fontId="36" fillId="0" borderId="50" xfId="0" applyFont="1" applyBorder="1" applyAlignment="1" applyProtection="1">
      <alignment horizontal="left" wrapText="1"/>
      <protection hidden="1"/>
    </xf>
    <xf numFmtId="0" fontId="21" fillId="5" borderId="31" xfId="0" applyFont="1" applyFill="1" applyBorder="1" applyAlignment="1" applyProtection="1">
      <alignment horizontal="left" wrapText="1"/>
      <protection locked="0"/>
    </xf>
    <xf numFmtId="0" fontId="21" fillId="5" borderId="37" xfId="0" applyFont="1" applyFill="1" applyBorder="1" applyAlignment="1" applyProtection="1">
      <alignment horizontal="left" wrapText="1"/>
      <protection locked="0"/>
    </xf>
    <xf numFmtId="0" fontId="21" fillId="5" borderId="47" xfId="0" applyFont="1" applyFill="1" applyBorder="1" applyAlignment="1" applyProtection="1">
      <alignment horizontal="left" wrapText="1"/>
      <protection locked="0"/>
    </xf>
    <xf numFmtId="0" fontId="21" fillId="5" borderId="7" xfId="0" applyFont="1" applyFill="1" applyBorder="1" applyAlignment="1" applyProtection="1">
      <alignment horizontal="left" wrapText="1"/>
      <protection locked="0"/>
    </xf>
    <xf numFmtId="0" fontId="21" fillId="5" borderId="4" xfId="0" applyFont="1" applyFill="1" applyBorder="1" applyAlignment="1" applyProtection="1">
      <alignment horizontal="left" wrapText="1"/>
      <protection locked="0"/>
    </xf>
    <xf numFmtId="0" fontId="21" fillId="5" borderId="46" xfId="0" applyFont="1" applyFill="1" applyBorder="1" applyAlignment="1" applyProtection="1">
      <alignment horizontal="left" wrapText="1"/>
      <protection locked="0"/>
    </xf>
    <xf numFmtId="0" fontId="28" fillId="3" borderId="24" xfId="0" applyFont="1" applyFill="1" applyBorder="1" applyAlignment="1" applyProtection="1">
      <alignment horizontal="center" vertical="top" wrapText="1"/>
      <protection locked="0"/>
    </xf>
    <xf numFmtId="0" fontId="28" fillId="3" borderId="25" xfId="0" applyFont="1" applyFill="1" applyBorder="1" applyAlignment="1" applyProtection="1">
      <alignment horizontal="center" vertical="top" wrapText="1"/>
      <protection locked="0"/>
    </xf>
    <xf numFmtId="0" fontId="28" fillId="3" borderId="26" xfId="0" applyFont="1" applyFill="1" applyBorder="1" applyAlignment="1" applyProtection="1">
      <alignment horizontal="center" vertical="top" wrapText="1"/>
      <protection locked="0"/>
    </xf>
    <xf numFmtId="0" fontId="28" fillId="3" borderId="27" xfId="0" applyFont="1" applyFill="1" applyBorder="1" applyAlignment="1" applyProtection="1">
      <alignment horizontal="center" vertical="top" wrapText="1"/>
      <protection locked="0"/>
    </xf>
    <xf numFmtId="0" fontId="28" fillId="3" borderId="28" xfId="0" applyFont="1" applyFill="1" applyBorder="1" applyAlignment="1" applyProtection="1">
      <alignment horizontal="center" vertical="top" wrapText="1"/>
      <protection locked="0"/>
    </xf>
    <xf numFmtId="0" fontId="28" fillId="3" borderId="29" xfId="0" applyFont="1" applyFill="1" applyBorder="1" applyAlignment="1" applyProtection="1">
      <alignment horizontal="center" vertical="top" wrapText="1"/>
      <protection locked="0"/>
    </xf>
    <xf numFmtId="0" fontId="22" fillId="3" borderId="0" xfId="0" applyFont="1" applyFill="1" applyAlignment="1" applyProtection="1">
      <alignment horizontal="left"/>
      <protection hidden="1"/>
    </xf>
    <xf numFmtId="0" fontId="21" fillId="3" borderId="24" xfId="0" applyFont="1" applyFill="1" applyBorder="1" applyAlignment="1" applyProtection="1">
      <alignment horizontal="center" vertical="top" wrapText="1"/>
      <protection locked="0"/>
    </xf>
    <xf numFmtId="0" fontId="21" fillId="3" borderId="25" xfId="0" applyFont="1" applyFill="1" applyBorder="1" applyAlignment="1" applyProtection="1">
      <alignment horizontal="center" vertical="top" wrapText="1"/>
      <protection locked="0"/>
    </xf>
    <xf numFmtId="0" fontId="21" fillId="3" borderId="26" xfId="0" applyFont="1" applyFill="1" applyBorder="1" applyAlignment="1" applyProtection="1">
      <alignment horizontal="center" vertical="top" wrapText="1"/>
      <protection locked="0"/>
    </xf>
    <xf numFmtId="0" fontId="21" fillId="3" borderId="27" xfId="0" applyFont="1" applyFill="1" applyBorder="1" applyAlignment="1" applyProtection="1">
      <alignment horizontal="center" vertical="top" wrapText="1"/>
      <protection locked="0"/>
    </xf>
    <xf numFmtId="0" fontId="21" fillId="3" borderId="28" xfId="0" applyFont="1" applyFill="1" applyBorder="1" applyAlignment="1" applyProtection="1">
      <alignment horizontal="center" vertical="top" wrapText="1"/>
      <protection locked="0"/>
    </xf>
    <xf numFmtId="0" fontId="21" fillId="3" borderId="29" xfId="0" applyFont="1" applyFill="1" applyBorder="1" applyAlignment="1" applyProtection="1">
      <alignment horizontal="center" vertical="top" wrapText="1"/>
      <protection locked="0"/>
    </xf>
    <xf numFmtId="0" fontId="27" fillId="3" borderId="18" xfId="0" applyFont="1" applyFill="1" applyBorder="1" applyAlignment="1" applyProtection="1">
      <alignment horizontal="center" vertical="center"/>
      <protection hidden="1"/>
    </xf>
    <xf numFmtId="0" fontId="27" fillId="3" borderId="20" xfId="0" applyFont="1" applyFill="1" applyBorder="1" applyAlignment="1" applyProtection="1">
      <alignment horizontal="center" vertical="center"/>
      <protection hidden="1"/>
    </xf>
    <xf numFmtId="0" fontId="27" fillId="9" borderId="18" xfId="0" applyFont="1" applyFill="1" applyBorder="1" applyAlignment="1" applyProtection="1">
      <alignment horizontal="center" vertical="center"/>
      <protection hidden="1"/>
    </xf>
    <xf numFmtId="0" fontId="27" fillId="9" borderId="20" xfId="0" applyFont="1" applyFill="1" applyBorder="1" applyAlignment="1" applyProtection="1">
      <alignment horizontal="center" vertical="center"/>
      <protection hidden="1"/>
    </xf>
    <xf numFmtId="164" fontId="31" fillId="3" borderId="0" xfId="1" applyNumberFormat="1" applyFont="1" applyFill="1" applyBorder="1" applyAlignment="1" applyProtection="1">
      <alignment horizontal="center"/>
      <protection hidden="1"/>
    </xf>
    <xf numFmtId="0" fontId="27" fillId="3" borderId="18"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62" fillId="3" borderId="0" xfId="0" applyFont="1" applyFill="1" applyAlignment="1" applyProtection="1">
      <alignment horizontal="left" vertical="center" wrapText="1"/>
      <protection hidden="1"/>
    </xf>
    <xf numFmtId="0" fontId="23" fillId="0" borderId="0" xfId="0" applyFont="1" applyAlignment="1">
      <alignment horizontal="right"/>
    </xf>
    <xf numFmtId="0" fontId="0" fillId="0" borderId="0" xfId="0" applyAlignment="1">
      <alignment horizontal="right"/>
    </xf>
    <xf numFmtId="49" fontId="22" fillId="3" borderId="12" xfId="0" applyNumberFormat="1" applyFont="1" applyFill="1" applyBorder="1" applyAlignment="1" applyProtection="1">
      <alignment horizontal="center" vertical="center" wrapText="1"/>
      <protection hidden="1"/>
    </xf>
    <xf numFmtId="164" fontId="11" fillId="0" borderId="12" xfId="1" applyNumberFormat="1" applyFont="1" applyBorder="1" applyAlignment="1" applyProtection="1">
      <alignment horizontal="left"/>
      <protection hidden="1"/>
    </xf>
    <xf numFmtId="164" fontId="9" fillId="0" borderId="12" xfId="1" applyNumberFormat="1" applyFont="1" applyBorder="1" applyAlignment="1" applyProtection="1">
      <alignment horizontal="left"/>
      <protection hidden="1"/>
    </xf>
    <xf numFmtId="3" fontId="11" fillId="0" borderId="3" xfId="1" applyNumberFormat="1" applyFont="1" applyFill="1" applyBorder="1" applyAlignment="1" applyProtection="1">
      <alignment horizontal="right"/>
      <protection hidden="1"/>
    </xf>
    <xf numFmtId="3" fontId="11" fillId="17" borderId="3" xfId="1" applyNumberFormat="1" applyFont="1" applyFill="1" applyBorder="1" applyAlignment="1" applyProtection="1">
      <alignment horizontal="right"/>
      <protection hidden="1"/>
    </xf>
    <xf numFmtId="9" fontId="58" fillId="3" borderId="11" xfId="4" applyFont="1" applyFill="1" applyBorder="1" applyAlignment="1" applyProtection="1">
      <alignment horizontal="right"/>
      <protection hidden="1"/>
    </xf>
    <xf numFmtId="167" fontId="12" fillId="22" borderId="4" xfId="1" applyNumberFormat="1" applyFont="1" applyFill="1" applyBorder="1" applyProtection="1">
      <protection hidden="1"/>
    </xf>
    <xf numFmtId="164" fontId="70" fillId="17" borderId="4" xfId="1" applyNumberFormat="1" applyFont="1" applyFill="1" applyBorder="1" applyAlignment="1" applyProtection="1">
      <alignment horizontal="left"/>
      <protection locked="0" hidden="1"/>
    </xf>
    <xf numFmtId="9" fontId="58" fillId="22" borderId="11" xfId="4" applyFont="1" applyFill="1" applyBorder="1" applyAlignment="1" applyProtection="1">
      <alignment horizontal="right"/>
      <protection hidden="1"/>
    </xf>
    <xf numFmtId="9" fontId="57" fillId="3" borderId="11" xfId="4" applyFont="1" applyFill="1" applyBorder="1" applyAlignment="1" applyProtection="1">
      <alignment horizontal="right"/>
      <protection hidden="1"/>
    </xf>
    <xf numFmtId="164" fontId="9" fillId="0" borderId="22" xfId="1" applyNumberFormat="1" applyFont="1" applyBorder="1" applyAlignment="1" applyProtection="1">
      <alignment horizontal="left"/>
      <protection hidden="1"/>
    </xf>
    <xf numFmtId="3" fontId="11" fillId="17" borderId="4" xfId="1" applyNumberFormat="1" applyFont="1" applyFill="1" applyBorder="1" applyAlignment="1" applyProtection="1">
      <alignment horizontal="right"/>
      <protection hidden="1"/>
    </xf>
    <xf numFmtId="164" fontId="70" fillId="17" borderId="4" xfId="1" applyNumberFormat="1" applyFont="1" applyFill="1" applyBorder="1" applyAlignment="1" applyProtection="1">
      <alignment horizontal="left" wrapText="1"/>
      <protection locked="0" hidden="1"/>
    </xf>
    <xf numFmtId="9" fontId="58" fillId="0" borderId="11" xfId="4" applyFont="1" applyFill="1" applyBorder="1" applyAlignment="1" applyProtection="1">
      <alignment horizontal="right"/>
      <protection hidden="1"/>
    </xf>
    <xf numFmtId="164" fontId="17" fillId="0" borderId="12" xfId="1" applyNumberFormat="1" applyFont="1" applyBorder="1" applyAlignment="1" applyProtection="1">
      <alignment horizontal="left"/>
      <protection hidden="1"/>
    </xf>
    <xf numFmtId="164" fontId="9" fillId="0" borderId="9" xfId="1" applyNumberFormat="1" applyFont="1" applyBorder="1" applyAlignment="1" applyProtection="1">
      <alignment horizontal="left"/>
      <protection hidden="1"/>
    </xf>
    <xf numFmtId="164" fontId="31" fillId="14" borderId="44" xfId="1" applyNumberFormat="1" applyFont="1" applyFill="1" applyBorder="1" applyAlignment="1" applyProtection="1">
      <alignment horizontal="center" vertical="center"/>
      <protection hidden="1"/>
    </xf>
    <xf numFmtId="164" fontId="31" fillId="14" borderId="45" xfId="1" applyNumberFormat="1" applyFont="1" applyFill="1" applyBorder="1" applyAlignment="1" applyProtection="1">
      <alignment horizontal="center" vertical="center"/>
      <protection hidden="1"/>
    </xf>
    <xf numFmtId="164" fontId="31" fillId="14" borderId="22" xfId="1" applyNumberFormat="1" applyFont="1" applyFill="1" applyBorder="1" applyAlignment="1" applyProtection="1">
      <alignment horizontal="center" vertical="center"/>
      <protection hidden="1"/>
    </xf>
    <xf numFmtId="164" fontId="9" fillId="0" borderId="26" xfId="1" applyNumberFormat="1" applyFont="1" applyBorder="1" applyAlignment="1" applyProtection="1">
      <alignment horizontal="left"/>
      <protection hidden="1"/>
    </xf>
    <xf numFmtId="164" fontId="9" fillId="0" borderId="21" xfId="1" applyNumberFormat="1" applyFont="1" applyBorder="1" applyAlignment="1" applyProtection="1">
      <alignment horizontal="left"/>
      <protection hidden="1"/>
    </xf>
    <xf numFmtId="164" fontId="17" fillId="0" borderId="21" xfId="1" applyNumberFormat="1" applyFont="1" applyBorder="1" applyAlignment="1" applyProtection="1">
      <alignment horizontal="left"/>
      <protection hidden="1"/>
    </xf>
    <xf numFmtId="164" fontId="9" fillId="0" borderId="29" xfId="1" applyNumberFormat="1" applyFont="1" applyBorder="1" applyAlignment="1" applyProtection="1">
      <alignment horizontal="left"/>
      <protection hidden="1"/>
    </xf>
    <xf numFmtId="164" fontId="10" fillId="0" borderId="22" xfId="1" applyNumberFormat="1" applyFont="1" applyBorder="1" applyAlignment="1" applyProtection="1">
      <alignment horizontal="left"/>
      <protection hidden="1"/>
    </xf>
    <xf numFmtId="167" fontId="71" fillId="0" borderId="1" xfId="1" applyNumberFormat="1" applyFont="1" applyFill="1" applyBorder="1" applyProtection="1">
      <protection hidden="1"/>
    </xf>
    <xf numFmtId="164" fontId="49" fillId="0" borderId="22" xfId="1" applyNumberFormat="1" applyFont="1" applyBorder="1" applyAlignment="1" applyProtection="1">
      <alignment horizontal="left"/>
      <protection hidden="1"/>
    </xf>
    <xf numFmtId="164" fontId="24" fillId="11" borderId="1" xfId="1" applyNumberFormat="1" applyFont="1" applyFill="1" applyBorder="1" applyAlignment="1" applyProtection="1">
      <alignment vertical="center" wrapText="1"/>
      <protection locked="0"/>
    </xf>
  </cellXfs>
  <cellStyles count="12">
    <cellStyle name="Comma" xfId="1" builtinId="3"/>
    <cellStyle name="Filled" xfId="2" xr:uid="{00000000-0005-0000-0000-000001000000}"/>
    <cellStyle name="Heading" xfId="3" xr:uid="{00000000-0005-0000-0000-000002000000}"/>
    <cellStyle name="Normal" xfId="0" builtinId="0"/>
    <cellStyle name="Normal 2" xfId="5" xr:uid="{0F123F24-3F91-418B-AB34-1254BC0B6314}"/>
    <cellStyle name="Normal 3" xfId="6" xr:uid="{BC7D0DE6-2F2A-42D8-9E97-5518F2261AC5}"/>
    <cellStyle name="Normal 4" xfId="7" xr:uid="{97F7F70F-817C-4D7B-9CD7-3FDF961445B8}"/>
    <cellStyle name="Normal 5" xfId="8" xr:uid="{B65BE97A-E159-4AE3-A6BD-2A9F80843261}"/>
    <cellStyle name="Normal 6" xfId="9" xr:uid="{80202C85-31E5-41C8-A18A-483A37545AE8}"/>
    <cellStyle name="Normal 7" xfId="10" xr:uid="{A5AB5543-D47B-4367-B5F0-BF1E50D3B00F}"/>
    <cellStyle name="Normal 8" xfId="11" xr:uid="{9A1242AC-80DE-4EA5-AE2F-C3623104964D}"/>
    <cellStyle name="Percent" xfId="4" builtinId="5"/>
  </cellStyles>
  <dxfs count="20">
    <dxf>
      <font>
        <color auto="1"/>
      </font>
      <fill>
        <patternFill>
          <bgColor rgb="FFFFFF0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auto="1"/>
      </font>
      <fill>
        <patternFill>
          <bgColor indexed="42"/>
        </patternFill>
      </fill>
    </dxf>
    <dxf>
      <font>
        <condense val="0"/>
        <extend val="0"/>
        <color auto="1"/>
      </font>
      <fill>
        <patternFill>
          <bgColor indexed="42"/>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3"/>
        </patternFill>
      </fill>
    </dxf>
    <dxf>
      <font>
        <b/>
        <i/>
        <condense val="0"/>
        <extend val="0"/>
      </font>
      <fill>
        <patternFill>
          <bgColor indexed="10"/>
        </patternFill>
      </fill>
    </dxf>
    <dxf>
      <fill>
        <patternFill>
          <bgColor indexed="10"/>
        </patternFill>
      </fill>
    </dxf>
    <dxf>
      <fill>
        <patternFill>
          <bgColor indexed="13"/>
        </patternFill>
      </fill>
    </dxf>
    <dxf>
      <fill>
        <patternFill>
          <bgColor indexed="13"/>
        </patternFill>
      </fill>
    </dxf>
    <dxf>
      <fill>
        <patternFill>
          <bgColor indexed="9"/>
        </patternFill>
      </fill>
    </dxf>
    <dxf>
      <fill>
        <patternFill>
          <bgColor indexed="10"/>
        </patternFill>
      </fill>
    </dxf>
    <dxf>
      <font>
        <b/>
        <i val="0"/>
        <condense val="0"/>
        <extend val="0"/>
      </font>
      <fill>
        <patternFill>
          <bgColor indexed="10"/>
        </patternFill>
      </fill>
    </dxf>
    <dxf>
      <fill>
        <patternFill>
          <bgColor indexed="13"/>
        </patternFill>
      </fill>
    </dxf>
  </dxfs>
  <tableStyles count="0" defaultTableStyle="TableStyleMedium2" defaultPivotStyle="PivotStyleLight16"/>
  <colors>
    <mruColors>
      <color rgb="FFFFFF99"/>
      <color rgb="FFFFFFA7"/>
      <color rgb="FF99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320040</xdr:colOff>
          <xdr:row>3</xdr:row>
          <xdr:rowOff>0</xdr:rowOff>
        </xdr:from>
        <xdr:to>
          <xdr:col>11</xdr:col>
          <xdr:colOff>281940</xdr:colOff>
          <xdr:row>70</xdr:row>
          <xdr:rowOff>38100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ccandpcc-my.sharepoint.com/personal/stephanie_kirbyshire_cambridgeshire_gov_uk/Documents/Documents/Budget%20vs%20Actuals%20Cumulative%20Duxford%20June.xlsx" TargetMode="External"/><Relationship Id="rId1" Type="http://schemas.openxmlformats.org/officeDocument/2006/relationships/externalLinkPath" Target="https://cccandpcc-my.sharepoint.com/personal/stephanie_kirbyshire_cambridgeshire_gov_uk/Documents/Documents/Budget%20vs%20Actuals%20Cumulative%20Duxford%20Ju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ccandpcc.sharepoint.com/sites/CCCFinanceTeam/Shared%20Documents/CCC%20Finance%20Team%20&#8211;%20Work/Schools/SSCT/2025-26/Quarterly%20Monitoring%20Template/Q1/Returns%20from%20School/Exemplar%20Working%20Copy.xlsx" TargetMode="External"/><Relationship Id="rId1" Type="http://schemas.openxmlformats.org/officeDocument/2006/relationships/externalLinkPath" Target="Returns%20from%20School/Exemplar%20Working%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vs Actuals Cumulative"/>
    </sheetNames>
    <sheetDataSet>
      <sheetData sheetId="0" refreshError="1">
        <row r="129">
          <cell r="D129">
            <v>5935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etter PLEASE READ"/>
      <sheetName val="PRINT SCREEN CFR"/>
      <sheetName val="Instructions"/>
      <sheetName val="a) School Summary"/>
      <sheetName val="b) Template"/>
      <sheetName val="c) IUB reporting March 2024"/>
      <sheetName val="d) IUB reporting March 2025"/>
      <sheetName val="SBS BvA Report (Table)"/>
      <sheetName val="&quot;Alerts&quot;"/>
      <sheetName val="SSCT"/>
      <sheetName val="Data - CFR 2024-25"/>
      <sheetName val="Data - 2025-26 Approved Budget"/>
      <sheetName val="Data - Revenue Balances Mar 25"/>
      <sheetName val="Data - Capital Balances Mar 24"/>
      <sheetName val="Data - IUB March 2024"/>
      <sheetName val="Data - IUB Thresholds Mar 25"/>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ow r="4">
          <cell r="B4">
            <v>3373</v>
          </cell>
          <cell r="C4" t="str">
            <v>Abbots Ripton CofE Primary School</v>
          </cell>
          <cell r="D4" t="str">
            <v>Primary</v>
          </cell>
          <cell r="E4" t="str">
            <v>30EP3373</v>
          </cell>
        </row>
        <row r="5">
          <cell r="B5">
            <v>3061</v>
          </cell>
          <cell r="C5" t="str">
            <v>Alconbury CofE Primary School</v>
          </cell>
          <cell r="D5" t="str">
            <v>Primary</v>
          </cell>
          <cell r="E5" t="str">
            <v>30EP3061</v>
          </cell>
        </row>
        <row r="6">
          <cell r="B6">
            <v>2083</v>
          </cell>
          <cell r="C6" t="str">
            <v>Alderman Payne Primary School</v>
          </cell>
          <cell r="D6" t="str">
            <v>Primary</v>
          </cell>
          <cell r="E6" t="str">
            <v>30EP2083</v>
          </cell>
        </row>
        <row r="7">
          <cell r="B7">
            <v>2118</v>
          </cell>
          <cell r="C7" t="str">
            <v>Arbury Primary School</v>
          </cell>
          <cell r="D7" t="str">
            <v>Primary</v>
          </cell>
          <cell r="E7" t="str">
            <v>30EP2118</v>
          </cell>
        </row>
        <row r="8">
          <cell r="B8">
            <v>2217</v>
          </cell>
          <cell r="C8" t="str">
            <v>Ashbeach Primary School</v>
          </cell>
          <cell r="D8" t="str">
            <v>Primary</v>
          </cell>
          <cell r="E8" t="str">
            <v>30EP2217</v>
          </cell>
        </row>
        <row r="9">
          <cell r="B9">
            <v>3067</v>
          </cell>
          <cell r="C9" t="str">
            <v>Barnabas Oley CofE Primary school</v>
          </cell>
          <cell r="D9" t="str">
            <v>Primary</v>
          </cell>
          <cell r="E9" t="str">
            <v>30EP3067</v>
          </cell>
        </row>
        <row r="10">
          <cell r="B10">
            <v>3001</v>
          </cell>
          <cell r="C10" t="str">
            <v>Barrington CofE VC Primary School</v>
          </cell>
          <cell r="D10" t="str">
            <v>Primary</v>
          </cell>
          <cell r="E10" t="str">
            <v>30EP3001</v>
          </cell>
        </row>
        <row r="11">
          <cell r="B11">
            <v>3301</v>
          </cell>
          <cell r="C11" t="str">
            <v>Barton CofE VA Primary School</v>
          </cell>
          <cell r="D11" t="str">
            <v>Primary</v>
          </cell>
          <cell r="E11" t="str">
            <v>30EP3301</v>
          </cell>
        </row>
        <row r="12">
          <cell r="B12">
            <v>2002</v>
          </cell>
          <cell r="C12" t="str">
            <v>Bassingbourn Primary School</v>
          </cell>
          <cell r="D12" t="str">
            <v>Primary</v>
          </cell>
          <cell r="E12" t="str">
            <v>30EP2002</v>
          </cell>
        </row>
        <row r="13">
          <cell r="B13">
            <v>2082</v>
          </cell>
          <cell r="C13" t="str">
            <v>Beaupre Community Primary School</v>
          </cell>
          <cell r="D13" t="str">
            <v>Primary</v>
          </cell>
          <cell r="E13" t="str">
            <v>30EP2082</v>
          </cell>
        </row>
        <row r="14">
          <cell r="B14">
            <v>3943</v>
          </cell>
          <cell r="C14" t="str">
            <v>Bellbird Primary School</v>
          </cell>
          <cell r="D14" t="str">
            <v>Primary</v>
          </cell>
          <cell r="E14" t="str">
            <v>30EP3943</v>
          </cell>
        </row>
        <row r="15">
          <cell r="B15">
            <v>2060</v>
          </cell>
          <cell r="C15" t="str">
            <v>Benwick Primary School</v>
          </cell>
          <cell r="D15" t="str">
            <v>Primary</v>
          </cell>
          <cell r="E15" t="str">
            <v>30EP2060</v>
          </cell>
        </row>
        <row r="16">
          <cell r="B16">
            <v>2312</v>
          </cell>
          <cell r="C16" t="str">
            <v>Bewick Bridge Community Primary School</v>
          </cell>
          <cell r="D16" t="str">
            <v>Primary</v>
          </cell>
          <cell r="E16" t="str">
            <v>30EP2312</v>
          </cell>
        </row>
        <row r="17">
          <cell r="B17">
            <v>3942</v>
          </cell>
          <cell r="C17" t="str">
            <v>Brampton Village Primary School</v>
          </cell>
          <cell r="D17" t="str">
            <v>Primary</v>
          </cell>
          <cell r="E17" t="str">
            <v>30EP3942</v>
          </cell>
        </row>
        <row r="18">
          <cell r="B18">
            <v>3081</v>
          </cell>
          <cell r="C18" t="str">
            <v>Brington CofE Primary School</v>
          </cell>
          <cell r="D18" t="str">
            <v>Primary</v>
          </cell>
          <cell r="E18" t="str">
            <v>30EP3081</v>
          </cell>
        </row>
        <row r="19">
          <cell r="B19">
            <v>1005</v>
          </cell>
          <cell r="C19" t="str">
            <v>Brunswick Nursery School</v>
          </cell>
          <cell r="D19" t="str">
            <v>Nursery</v>
          </cell>
          <cell r="E19" t="str">
            <v>30EN1005</v>
          </cell>
        </row>
        <row r="20">
          <cell r="B20">
            <v>2327</v>
          </cell>
          <cell r="C20" t="str">
            <v>Burwell Village College (Primary)</v>
          </cell>
          <cell r="D20" t="str">
            <v>Primary</v>
          </cell>
          <cell r="E20" t="str">
            <v>30EP2327</v>
          </cell>
        </row>
        <row r="21">
          <cell r="B21">
            <v>2452</v>
          </cell>
          <cell r="C21" t="str">
            <v>Bushmead Primary School</v>
          </cell>
          <cell r="D21" t="str">
            <v>Primary</v>
          </cell>
          <cell r="E21" t="str">
            <v>30EP2452</v>
          </cell>
        </row>
        <row r="22">
          <cell r="B22">
            <v>2004</v>
          </cell>
          <cell r="C22" t="str">
            <v>Caldecote Primary School</v>
          </cell>
          <cell r="D22" t="str">
            <v>Primary</v>
          </cell>
          <cell r="E22" t="str">
            <v>30EP2004</v>
          </cell>
        </row>
        <row r="23">
          <cell r="B23">
            <v>3008</v>
          </cell>
          <cell r="C23" t="str">
            <v>Castle Camps Church of England (Controlled) Primary School</v>
          </cell>
          <cell r="D23" t="str">
            <v>Primary</v>
          </cell>
          <cell r="E23" t="str">
            <v>30EP3008</v>
          </cell>
        </row>
        <row r="24">
          <cell r="B24">
            <v>7026</v>
          </cell>
          <cell r="C24" t="str">
            <v>Castle School, Cambridge</v>
          </cell>
          <cell r="D24" t="str">
            <v>Special</v>
          </cell>
          <cell r="E24" t="str">
            <v>30ES7026</v>
          </cell>
        </row>
        <row r="25">
          <cell r="B25">
            <v>3050</v>
          </cell>
          <cell r="C25" t="str">
            <v>Cherry Hinton Church of England Voluntary Controlled Primary School</v>
          </cell>
          <cell r="D25" t="str">
            <v>Primary</v>
          </cell>
          <cell r="E25" t="str">
            <v>30EP3050</v>
          </cell>
        </row>
        <row r="26">
          <cell r="B26">
            <v>3009</v>
          </cell>
          <cell r="C26" t="str">
            <v>Cheveley CofE Primary School</v>
          </cell>
          <cell r="D26" t="str">
            <v>Primary</v>
          </cell>
          <cell r="E26" t="str">
            <v>30EP3009</v>
          </cell>
        </row>
        <row r="27">
          <cell r="B27">
            <v>2091</v>
          </cell>
          <cell r="C27" t="str">
            <v>Clarkson Infants School</v>
          </cell>
          <cell r="D27" t="str">
            <v>Primary</v>
          </cell>
          <cell r="E27" t="str">
            <v>30EP2091</v>
          </cell>
        </row>
        <row r="28">
          <cell r="B28">
            <v>2065</v>
          </cell>
          <cell r="C28" t="str">
            <v>Coates Primary School</v>
          </cell>
          <cell r="D28" t="str">
            <v>Primary</v>
          </cell>
          <cell r="E28" t="str">
            <v>30EP2065</v>
          </cell>
        </row>
        <row r="29">
          <cell r="B29">
            <v>1006</v>
          </cell>
          <cell r="C29" t="str">
            <v>Colleges Nursery School</v>
          </cell>
          <cell r="D29" t="str">
            <v>Nursery</v>
          </cell>
          <cell r="E29" t="str">
            <v>30EN1006</v>
          </cell>
        </row>
        <row r="30">
          <cell r="B30">
            <v>2119</v>
          </cell>
          <cell r="C30" t="str">
            <v>Colville Primary School</v>
          </cell>
          <cell r="D30" t="str">
            <v>Primary</v>
          </cell>
          <cell r="E30" t="str">
            <v>30EP2119</v>
          </cell>
        </row>
        <row r="31">
          <cell r="B31">
            <v>3011</v>
          </cell>
          <cell r="C31" t="str">
            <v>Coton Church of England (Voluntary Controlled) Primary School</v>
          </cell>
          <cell r="D31" t="str">
            <v>Primary</v>
          </cell>
          <cell r="E31" t="str">
            <v>30EP3011</v>
          </cell>
        </row>
        <row r="32">
          <cell r="B32">
            <v>2006</v>
          </cell>
          <cell r="C32" t="str">
            <v>Cottenham Primary School</v>
          </cell>
          <cell r="D32" t="str">
            <v>Primary</v>
          </cell>
          <cell r="E32" t="str">
            <v>30EP2006</v>
          </cell>
        </row>
        <row r="33">
          <cell r="B33">
            <v>3012</v>
          </cell>
          <cell r="C33" t="str">
            <v>Dry Drayton CofE (C) Primary School</v>
          </cell>
          <cell r="D33" t="str">
            <v>Primary</v>
          </cell>
          <cell r="E33" t="str">
            <v>30EP3012</v>
          </cell>
        </row>
        <row r="34">
          <cell r="B34">
            <v>3041</v>
          </cell>
          <cell r="C34" t="str">
            <v>Duxford Church of England Community Primary School</v>
          </cell>
          <cell r="D34" t="str">
            <v>Primary</v>
          </cell>
          <cell r="E34" t="str">
            <v>30EP3041</v>
          </cell>
        </row>
        <row r="35">
          <cell r="B35">
            <v>2246</v>
          </cell>
          <cell r="C35" t="str">
            <v>Eastfield Infant and Nursery School</v>
          </cell>
          <cell r="D35" t="str">
            <v>Primary</v>
          </cell>
          <cell r="E35" t="str">
            <v>30EP2246</v>
          </cell>
        </row>
        <row r="36">
          <cell r="B36">
            <v>3308</v>
          </cell>
          <cell r="C36" t="str">
            <v>Elsworth CofE VA Primary School</v>
          </cell>
          <cell r="D36" t="str">
            <v>Primary</v>
          </cell>
          <cell r="E36" t="str">
            <v>30EP3308</v>
          </cell>
        </row>
        <row r="37">
          <cell r="B37">
            <v>3368</v>
          </cell>
          <cell r="C37" t="str">
            <v>Elton CofE Primary School of the Foundation of Frances and Jane Proby</v>
          </cell>
          <cell r="D37" t="str">
            <v>Primary</v>
          </cell>
          <cell r="E37" t="str">
            <v>30EP3368</v>
          </cell>
        </row>
        <row r="38">
          <cell r="B38">
            <v>2444</v>
          </cell>
          <cell r="C38" t="str">
            <v>Ely St John's Community Primary School</v>
          </cell>
          <cell r="D38" t="str">
            <v>Primary</v>
          </cell>
          <cell r="E38" t="str">
            <v>30EP2444</v>
          </cell>
        </row>
        <row r="39">
          <cell r="B39">
            <v>3074</v>
          </cell>
          <cell r="C39" t="str">
            <v>Eynesbury CofE C Primary School</v>
          </cell>
          <cell r="D39" t="str">
            <v>Primary</v>
          </cell>
          <cell r="E39" t="str">
            <v>30EP3074</v>
          </cell>
        </row>
        <row r="40">
          <cell r="B40">
            <v>2336</v>
          </cell>
          <cell r="C40" t="str">
            <v>Fawcett Primary School</v>
          </cell>
          <cell r="D40" t="str">
            <v>Primary</v>
          </cell>
          <cell r="E40" t="str">
            <v>30EP2336</v>
          </cell>
        </row>
        <row r="41">
          <cell r="B41">
            <v>2010</v>
          </cell>
          <cell r="C41" t="str">
            <v>Fen Drayton Primary School</v>
          </cell>
          <cell r="D41" t="str">
            <v>Primary</v>
          </cell>
          <cell r="E41" t="str">
            <v>30EP2010</v>
          </cell>
        </row>
        <row r="42">
          <cell r="B42">
            <v>2208</v>
          </cell>
          <cell r="C42" t="str">
            <v>Fenstanton and Hilton Primary School</v>
          </cell>
          <cell r="D42" t="str">
            <v>Primary</v>
          </cell>
          <cell r="E42" t="str">
            <v>30EP2208</v>
          </cell>
        </row>
        <row r="43">
          <cell r="B43">
            <v>3065</v>
          </cell>
          <cell r="C43" t="str">
            <v>Folksworth CofE Primary School</v>
          </cell>
          <cell r="D43" t="str">
            <v>Primary</v>
          </cell>
          <cell r="E43" t="str">
            <v>30EP3065</v>
          </cell>
        </row>
        <row r="44">
          <cell r="B44">
            <v>3014</v>
          </cell>
          <cell r="C44" t="str">
            <v>Fordham CofE Primary School</v>
          </cell>
          <cell r="D44" t="str">
            <v>Primary</v>
          </cell>
          <cell r="E44" t="str">
            <v>30EP3014</v>
          </cell>
        </row>
        <row r="45">
          <cell r="B45">
            <v>2321</v>
          </cell>
          <cell r="C45" t="str">
            <v>Fourfields Community Primary School</v>
          </cell>
          <cell r="D45" t="str">
            <v>Primary</v>
          </cell>
          <cell r="E45" t="str">
            <v>30EP2321</v>
          </cell>
        </row>
        <row r="46">
          <cell r="B46">
            <v>2011</v>
          </cell>
          <cell r="C46" t="str">
            <v>Fowlmere Primary School</v>
          </cell>
          <cell r="D46" t="str">
            <v>Primary</v>
          </cell>
          <cell r="E46" t="str">
            <v>30EP2011</v>
          </cell>
        </row>
        <row r="47">
          <cell r="B47">
            <v>2012</v>
          </cell>
          <cell r="C47" t="str">
            <v>Foxton Primary School</v>
          </cell>
          <cell r="D47" t="str">
            <v>Primary</v>
          </cell>
          <cell r="E47" t="str">
            <v>30EP2012</v>
          </cell>
        </row>
        <row r="48">
          <cell r="B48">
            <v>2068</v>
          </cell>
          <cell r="C48" t="str">
            <v>Friday Bridge Community Primary School</v>
          </cell>
          <cell r="D48" t="str">
            <v>Primary</v>
          </cell>
          <cell r="E48" t="str">
            <v>30EP2068</v>
          </cell>
        </row>
        <row r="49">
          <cell r="B49">
            <v>2328</v>
          </cell>
          <cell r="C49" t="str">
            <v>Fulbourn Primary School</v>
          </cell>
          <cell r="D49" t="str">
            <v>Primary</v>
          </cell>
          <cell r="E49" t="str">
            <v>30EP2328</v>
          </cell>
        </row>
        <row r="50">
          <cell r="B50">
            <v>7025</v>
          </cell>
          <cell r="C50" t="str">
            <v>Granta School</v>
          </cell>
          <cell r="D50" t="str">
            <v>Special</v>
          </cell>
          <cell r="E50" t="str">
            <v>30ES7025</v>
          </cell>
        </row>
        <row r="51">
          <cell r="B51">
            <v>2016</v>
          </cell>
          <cell r="C51" t="str">
            <v>Great Abington Primary School</v>
          </cell>
          <cell r="D51" t="str">
            <v>Primary</v>
          </cell>
          <cell r="E51" t="str">
            <v>30EP2016</v>
          </cell>
        </row>
        <row r="52">
          <cell r="B52">
            <v>3310</v>
          </cell>
          <cell r="C52" t="str">
            <v>Great and Little Shelford CofE (Aided) Primary School</v>
          </cell>
          <cell r="D52" t="str">
            <v>Primary</v>
          </cell>
          <cell r="E52" t="str">
            <v>30EP3310</v>
          </cell>
        </row>
        <row r="53">
          <cell r="B53">
            <v>3068</v>
          </cell>
          <cell r="C53" t="str">
            <v>Great Paxton CofE Primary School</v>
          </cell>
          <cell r="D53" t="str">
            <v>Primary</v>
          </cell>
          <cell r="E53" t="str">
            <v>30EP3068</v>
          </cell>
        </row>
        <row r="54">
          <cell r="B54">
            <v>2315</v>
          </cell>
          <cell r="C54" t="str">
            <v>Hardwick and Cambourne Community Primary School</v>
          </cell>
          <cell r="D54" t="str">
            <v>Primary</v>
          </cell>
          <cell r="E54" t="str">
            <v>30EP2315</v>
          </cell>
        </row>
        <row r="55">
          <cell r="B55">
            <v>2018</v>
          </cell>
          <cell r="C55" t="str">
            <v>Harston and Newton Community Primary School</v>
          </cell>
          <cell r="D55" t="str">
            <v>Primary</v>
          </cell>
          <cell r="E55" t="str">
            <v>30EP2018</v>
          </cell>
        </row>
        <row r="56">
          <cell r="B56">
            <v>3035</v>
          </cell>
          <cell r="C56" t="str">
            <v>Haslingfield Endowed Primary School</v>
          </cell>
          <cell r="D56" t="str">
            <v>Primary</v>
          </cell>
          <cell r="E56" t="str">
            <v>30EP3035</v>
          </cell>
        </row>
        <row r="57">
          <cell r="B57">
            <v>2205</v>
          </cell>
          <cell r="C57" t="str">
            <v>Hauxton Primary School</v>
          </cell>
          <cell r="D57" t="str">
            <v>Primary</v>
          </cell>
          <cell r="E57" t="str">
            <v>30EP2205</v>
          </cell>
        </row>
        <row r="58">
          <cell r="B58">
            <v>2211</v>
          </cell>
          <cell r="C58" t="str">
            <v>Hemingford Grey Primary School</v>
          </cell>
          <cell r="D58" t="str">
            <v>Primary</v>
          </cell>
          <cell r="E58" t="str">
            <v>30EP2211</v>
          </cell>
        </row>
        <row r="59">
          <cell r="B59">
            <v>1003</v>
          </cell>
          <cell r="C59" t="str">
            <v>Histon Early Years Centre</v>
          </cell>
          <cell r="D59" t="str">
            <v>Nursery</v>
          </cell>
          <cell r="E59" t="str">
            <v>30EN1003</v>
          </cell>
        </row>
        <row r="60">
          <cell r="B60">
            <v>3071</v>
          </cell>
          <cell r="C60" t="str">
            <v>Holywell CofE Primary School</v>
          </cell>
          <cell r="D60" t="str">
            <v>Primary</v>
          </cell>
          <cell r="E60" t="str">
            <v>30EP3071</v>
          </cell>
        </row>
        <row r="61">
          <cell r="B61">
            <v>1002</v>
          </cell>
          <cell r="C61" t="str">
            <v>Homerton Early Years Centre</v>
          </cell>
          <cell r="D61" t="str">
            <v>Nursery</v>
          </cell>
          <cell r="E61" t="str">
            <v>30EN1002</v>
          </cell>
        </row>
        <row r="62">
          <cell r="B62">
            <v>2212</v>
          </cell>
          <cell r="C62" t="str">
            <v>Houghton Primary School</v>
          </cell>
          <cell r="D62" t="str">
            <v>Primary</v>
          </cell>
          <cell r="E62" t="str">
            <v>30EP2212</v>
          </cell>
        </row>
        <row r="63">
          <cell r="B63">
            <v>1007</v>
          </cell>
          <cell r="C63" t="str">
            <v>Huntingdon Nursery School</v>
          </cell>
          <cell r="D63" t="str">
            <v>Nursery</v>
          </cell>
          <cell r="E63" t="str">
            <v>30EN1007</v>
          </cell>
        </row>
        <row r="64">
          <cell r="B64">
            <v>3945</v>
          </cell>
          <cell r="C64" t="str">
            <v>Huntingdon Primary School</v>
          </cell>
          <cell r="D64" t="str">
            <v>Primary</v>
          </cell>
          <cell r="E64" t="str">
            <v>30EP3945</v>
          </cell>
        </row>
        <row r="65">
          <cell r="B65">
            <v>3022</v>
          </cell>
          <cell r="C65" t="str">
            <v>Isleham Church of England Primary School</v>
          </cell>
          <cell r="D65" t="str">
            <v>Primary</v>
          </cell>
          <cell r="E65" t="str">
            <v>30EP3022</v>
          </cell>
        </row>
        <row r="66">
          <cell r="B66">
            <v>2442</v>
          </cell>
          <cell r="C66" t="str">
            <v>Kettlefields Primary School</v>
          </cell>
          <cell r="D66" t="str">
            <v>Primary</v>
          </cell>
          <cell r="E66" t="str">
            <v>30EP2442</v>
          </cell>
        </row>
        <row r="67">
          <cell r="B67">
            <v>2331</v>
          </cell>
          <cell r="C67" t="str">
            <v>Kinderley Primary School</v>
          </cell>
          <cell r="D67" t="str">
            <v>Primary</v>
          </cell>
          <cell r="E67" t="str">
            <v>30EP2331</v>
          </cell>
        </row>
        <row r="68">
          <cell r="B68">
            <v>1000</v>
          </cell>
          <cell r="C68" t="str">
            <v>Kings Hedges Nursery School</v>
          </cell>
          <cell r="D68" t="str">
            <v>Nursery</v>
          </cell>
          <cell r="E68" t="str">
            <v>30EN1000</v>
          </cell>
        </row>
        <row r="69">
          <cell r="B69">
            <v>3000</v>
          </cell>
          <cell r="C69" t="str">
            <v>Kings Hedges Primary School</v>
          </cell>
          <cell r="D69" t="str">
            <v>Primary</v>
          </cell>
          <cell r="E69" t="str">
            <v>30EP3000</v>
          </cell>
        </row>
        <row r="70">
          <cell r="B70">
            <v>2446</v>
          </cell>
          <cell r="D70" t="str">
            <v>Primary</v>
          </cell>
          <cell r="E70" t="str">
            <v>30EP2446</v>
          </cell>
        </row>
        <row r="71">
          <cell r="B71">
            <v>3317</v>
          </cell>
          <cell r="C71" t="str">
            <v>Linton CofE Infant School</v>
          </cell>
          <cell r="D71" t="str">
            <v>Primary</v>
          </cell>
          <cell r="E71" t="str">
            <v>30EP3317</v>
          </cell>
        </row>
        <row r="72">
          <cell r="B72">
            <v>2066</v>
          </cell>
          <cell r="C72" t="str">
            <v>Lionel Walden Primary School</v>
          </cell>
          <cell r="D72" t="str">
            <v>Primary</v>
          </cell>
          <cell r="E72" t="str">
            <v>30EP2066</v>
          </cell>
        </row>
        <row r="73">
          <cell r="B73">
            <v>2293</v>
          </cell>
          <cell r="C73" t="str">
            <v>Little Paxton Primary School</v>
          </cell>
          <cell r="D73" t="str">
            <v>Primary</v>
          </cell>
          <cell r="E73" t="str">
            <v>30EP2293</v>
          </cell>
        </row>
        <row r="74">
          <cell r="B74">
            <v>2074</v>
          </cell>
          <cell r="C74" t="str">
            <v>Littleport Community Primary School</v>
          </cell>
          <cell r="D74" t="str">
            <v>Primary</v>
          </cell>
          <cell r="E74" t="str">
            <v>30EP2074</v>
          </cell>
        </row>
        <row r="75">
          <cell r="B75">
            <v>2075</v>
          </cell>
          <cell r="C75" t="str">
            <v>Manea Community Primary School</v>
          </cell>
          <cell r="D75" t="str">
            <v>Primary</v>
          </cell>
          <cell r="E75" t="str">
            <v>30EP2075</v>
          </cell>
        </row>
        <row r="76">
          <cell r="B76">
            <v>2121</v>
          </cell>
          <cell r="C76" t="str">
            <v>Mayfield Primary School</v>
          </cell>
          <cell r="D76" t="str">
            <v>Primary</v>
          </cell>
          <cell r="E76" t="str">
            <v>30EP2121</v>
          </cell>
        </row>
        <row r="77">
          <cell r="B77">
            <v>2028</v>
          </cell>
          <cell r="C77" t="str">
            <v>Melbourn Primary School</v>
          </cell>
          <cell r="D77" t="str">
            <v>Primary</v>
          </cell>
          <cell r="E77" t="str">
            <v>30EP2028</v>
          </cell>
        </row>
        <row r="78">
          <cell r="B78">
            <v>2029</v>
          </cell>
          <cell r="C78" t="str">
            <v>Meldreth Primary School</v>
          </cell>
          <cell r="D78" t="str">
            <v>Primary</v>
          </cell>
          <cell r="E78" t="str">
            <v>30EP2029</v>
          </cell>
        </row>
        <row r="79">
          <cell r="B79">
            <v>2059</v>
          </cell>
          <cell r="C79" t="str">
            <v>Meridian Primary School</v>
          </cell>
          <cell r="D79" t="str">
            <v>Primary</v>
          </cell>
          <cell r="E79" t="str">
            <v>30EP2059</v>
          </cell>
        </row>
        <row r="80">
          <cell r="B80">
            <v>3386</v>
          </cell>
          <cell r="C80" t="str">
            <v>Milton Road Primary School</v>
          </cell>
          <cell r="D80" t="str">
            <v>Primary</v>
          </cell>
          <cell r="E80" t="str">
            <v>30EP3386</v>
          </cell>
        </row>
        <row r="81">
          <cell r="B81">
            <v>2449</v>
          </cell>
          <cell r="C81" t="str">
            <v>Monkfield Park Primary School</v>
          </cell>
          <cell r="D81" t="str">
            <v>Primary</v>
          </cell>
          <cell r="E81" t="str">
            <v>30EP2449</v>
          </cell>
        </row>
        <row r="82">
          <cell r="B82">
            <v>2107</v>
          </cell>
          <cell r="C82" t="str">
            <v>Morley Memorial Primary School</v>
          </cell>
          <cell r="D82" t="str">
            <v>Primary</v>
          </cell>
          <cell r="E82" t="str">
            <v>30EP2107</v>
          </cell>
        </row>
        <row r="83">
          <cell r="B83">
            <v>2109</v>
          </cell>
          <cell r="C83" t="str">
            <v>Newnham Croft Primary School</v>
          </cell>
          <cell r="D83" t="str">
            <v>Primary</v>
          </cell>
          <cell r="E83" t="str">
            <v>30EP2109</v>
          </cell>
        </row>
        <row r="84">
          <cell r="B84">
            <v>3390</v>
          </cell>
          <cell r="C84" t="str">
            <v>Orchard Park Community Primary School</v>
          </cell>
          <cell r="D84" t="str">
            <v>Primary</v>
          </cell>
          <cell r="E84" t="str">
            <v>30EP3390</v>
          </cell>
        </row>
        <row r="85">
          <cell r="B85">
            <v>2031</v>
          </cell>
          <cell r="C85" t="str">
            <v>Over Primary School</v>
          </cell>
          <cell r="D85" t="str">
            <v>Primary</v>
          </cell>
          <cell r="E85" t="str">
            <v>30EP2031</v>
          </cell>
        </row>
        <row r="86">
          <cell r="B86">
            <v>3350</v>
          </cell>
          <cell r="C86" t="str">
            <v>Park Street CofE Primary School</v>
          </cell>
          <cell r="D86" t="str">
            <v>Primary</v>
          </cell>
          <cell r="E86" t="str">
            <v>30EP3350</v>
          </cell>
        </row>
        <row r="87">
          <cell r="B87">
            <v>2033</v>
          </cell>
          <cell r="C87" t="str">
            <v>Pendragon Community Primary School</v>
          </cell>
          <cell r="D87" t="str">
            <v>Primary</v>
          </cell>
          <cell r="E87" t="str">
            <v>30EP2033</v>
          </cell>
        </row>
        <row r="88">
          <cell r="B88">
            <v>3331</v>
          </cell>
          <cell r="C88" t="str">
            <v>Petersfield CofE Aided Primary School</v>
          </cell>
          <cell r="D88" t="str">
            <v>Primary</v>
          </cell>
          <cell r="E88" t="str">
            <v>30EP3331</v>
          </cell>
        </row>
        <row r="89">
          <cell r="B89">
            <v>2239</v>
          </cell>
          <cell r="C89" t="str">
            <v>Priory Junior School</v>
          </cell>
          <cell r="D89" t="str">
            <v>Primary</v>
          </cell>
          <cell r="E89" t="str">
            <v>30EP2239</v>
          </cell>
        </row>
        <row r="90">
          <cell r="B90">
            <v>2219</v>
          </cell>
          <cell r="C90" t="str">
            <v>Priory Park Infant School &amp; Preschool</v>
          </cell>
          <cell r="D90" t="str">
            <v>Primary</v>
          </cell>
          <cell r="E90" t="str">
            <v>30EP2219</v>
          </cell>
        </row>
        <row r="91">
          <cell r="B91">
            <v>2333</v>
          </cell>
          <cell r="C91" t="str">
            <v>Queen Edith Primary School</v>
          </cell>
          <cell r="D91" t="str">
            <v>Primary</v>
          </cell>
          <cell r="E91" t="str">
            <v>30EP2333</v>
          </cell>
        </row>
        <row r="92">
          <cell r="B92">
            <v>3946</v>
          </cell>
          <cell r="C92" t="str">
            <v xml:space="preserve">Queen Emma Primary School </v>
          </cell>
          <cell r="D92" t="str">
            <v>Primary</v>
          </cell>
          <cell r="E92" t="str">
            <v>30EP3946</v>
          </cell>
        </row>
        <row r="93">
          <cell r="B93">
            <v>2453</v>
          </cell>
          <cell r="C93" t="str">
            <v>Ridgefield Primary School</v>
          </cell>
          <cell r="D93" t="str">
            <v>Primary</v>
          </cell>
          <cell r="E93" t="str">
            <v>30EP2453</v>
          </cell>
        </row>
        <row r="94">
          <cell r="B94">
            <v>2070</v>
          </cell>
          <cell r="C94" t="str">
            <v>Robert Arkenstall Primary School</v>
          </cell>
          <cell r="D94" t="str">
            <v>Primary</v>
          </cell>
          <cell r="E94" t="str">
            <v>30EP2070</v>
          </cell>
        </row>
        <row r="95">
          <cell r="B95">
            <v>7023</v>
          </cell>
          <cell r="C95" t="str">
            <v>Samuel Pepys School</v>
          </cell>
          <cell r="D95" t="str">
            <v>Special</v>
          </cell>
          <cell r="E95" t="str">
            <v>30ES7023</v>
          </cell>
        </row>
        <row r="96">
          <cell r="B96">
            <v>2255</v>
          </cell>
          <cell r="C96" t="str">
            <v>Sawtry Infants' School</v>
          </cell>
          <cell r="D96" t="str">
            <v>Primary</v>
          </cell>
          <cell r="E96" t="str">
            <v>30EP2255</v>
          </cell>
        </row>
        <row r="97">
          <cell r="B97">
            <v>2115</v>
          </cell>
          <cell r="C97" t="str">
            <v>Shirley Community Primary School</v>
          </cell>
          <cell r="D97" t="str">
            <v>Primary</v>
          </cell>
          <cell r="E97" t="str">
            <v>30EP2115</v>
          </cell>
        </row>
        <row r="98">
          <cell r="B98">
            <v>2329</v>
          </cell>
          <cell r="C98" t="str">
            <v>Spring Meadow Infant School</v>
          </cell>
          <cell r="D98" t="str">
            <v>Primary</v>
          </cell>
          <cell r="E98" t="str">
            <v>30EP2329</v>
          </cell>
        </row>
        <row r="99">
          <cell r="B99">
            <v>3384</v>
          </cell>
          <cell r="C99" t="str">
            <v>St Anne's CofE Primary School</v>
          </cell>
          <cell r="D99" t="str">
            <v>Primary</v>
          </cell>
          <cell r="E99" t="str">
            <v>30EP3384</v>
          </cell>
        </row>
        <row r="100">
          <cell r="B100">
            <v>5200</v>
          </cell>
          <cell r="C100" t="str">
            <v>St Helen's primary School</v>
          </cell>
          <cell r="D100" t="str">
            <v>NA</v>
          </cell>
          <cell r="E100" t="str">
            <v>30ES5200</v>
          </cell>
        </row>
        <row r="101">
          <cell r="B101">
            <v>2317</v>
          </cell>
          <cell r="C101" t="str">
            <v>St Matthew's Primary School</v>
          </cell>
          <cell r="D101" t="str">
            <v>Primary</v>
          </cell>
          <cell r="E101" t="str">
            <v>30EP2317</v>
          </cell>
        </row>
        <row r="102">
          <cell r="B102">
            <v>3356</v>
          </cell>
          <cell r="C102" t="str">
            <v>St Pauls CofE VA Primary School</v>
          </cell>
          <cell r="D102" t="str">
            <v>Primary</v>
          </cell>
          <cell r="E102" t="str">
            <v>30EP3356</v>
          </cell>
        </row>
        <row r="103">
          <cell r="B103">
            <v>3358</v>
          </cell>
          <cell r="C103" t="str">
            <v>St Philip's CofE Aided Primary School</v>
          </cell>
          <cell r="D103" t="str">
            <v>Primary</v>
          </cell>
          <cell r="E103" t="str">
            <v>30EP3358</v>
          </cell>
        </row>
        <row r="104">
          <cell r="B104">
            <v>3029</v>
          </cell>
          <cell r="C104" t="str">
            <v>Steeple Morden CofE VC Primary School</v>
          </cell>
          <cell r="D104" t="str">
            <v>Primary</v>
          </cell>
          <cell r="E104" t="str">
            <v>30EP3029</v>
          </cell>
        </row>
        <row r="105">
          <cell r="B105">
            <v>2084</v>
          </cell>
          <cell r="C105" t="str">
            <v>Stretham Community Primary School</v>
          </cell>
          <cell r="D105" t="str">
            <v>Primary</v>
          </cell>
          <cell r="E105" t="str">
            <v>30EP2084</v>
          </cell>
        </row>
        <row r="106">
          <cell r="B106">
            <v>2443</v>
          </cell>
          <cell r="C106" t="str">
            <v>Stukeley Meadows Primary School</v>
          </cell>
          <cell r="D106" t="str">
            <v>Primary</v>
          </cell>
          <cell r="E106" t="str">
            <v>30EP2443</v>
          </cell>
        </row>
        <row r="107">
          <cell r="B107">
            <v>3052</v>
          </cell>
          <cell r="C107" t="str">
            <v>Sutton CofE VC Primary School</v>
          </cell>
          <cell r="D107" t="str">
            <v>Primary</v>
          </cell>
          <cell r="E107" t="str">
            <v>30EP3052</v>
          </cell>
        </row>
        <row r="108">
          <cell r="B108">
            <v>2046</v>
          </cell>
          <cell r="C108" t="str">
            <v>Swavesey Primary School</v>
          </cell>
          <cell r="D108" t="str">
            <v>Primary</v>
          </cell>
          <cell r="E108" t="str">
            <v>30EP2046</v>
          </cell>
        </row>
        <row r="109">
          <cell r="B109">
            <v>3325</v>
          </cell>
          <cell r="C109" t="str">
            <v>Teversham CofE VA Primary School</v>
          </cell>
          <cell r="D109" t="str">
            <v>Primary</v>
          </cell>
          <cell r="E109" t="str">
            <v>30EP3325</v>
          </cell>
        </row>
        <row r="110">
          <cell r="B110">
            <v>1001</v>
          </cell>
          <cell r="C110" t="str">
            <v>The Fields Nursery School</v>
          </cell>
          <cell r="D110" t="str">
            <v>Nursery</v>
          </cell>
          <cell r="E110" t="str">
            <v>30EN1001</v>
          </cell>
        </row>
        <row r="111">
          <cell r="B111">
            <v>2123</v>
          </cell>
          <cell r="C111" t="str">
            <v>The Grove Primary School</v>
          </cell>
          <cell r="D111" t="str">
            <v>Primary</v>
          </cell>
          <cell r="E111" t="str">
            <v>30EP2123</v>
          </cell>
        </row>
        <row r="112">
          <cell r="B112">
            <v>2260</v>
          </cell>
          <cell r="C112" t="str">
            <v>The Newton Community Primary School</v>
          </cell>
          <cell r="D112" t="str">
            <v>Primary</v>
          </cell>
          <cell r="E112" t="str">
            <v>30EP2260</v>
          </cell>
        </row>
        <row r="113">
          <cell r="B113">
            <v>3058</v>
          </cell>
          <cell r="C113" t="str">
            <v>The Rackham Church of England Primary School</v>
          </cell>
          <cell r="D113" t="str">
            <v>Primary</v>
          </cell>
          <cell r="E113" t="str">
            <v>30EP3058</v>
          </cell>
        </row>
        <row r="114">
          <cell r="B114">
            <v>2335</v>
          </cell>
          <cell r="C114" t="str">
            <v>The Spinney Primary School</v>
          </cell>
          <cell r="D114" t="str">
            <v>Primary</v>
          </cell>
          <cell r="E114" t="str">
            <v>30EP2335</v>
          </cell>
        </row>
        <row r="115">
          <cell r="B115">
            <v>3389</v>
          </cell>
          <cell r="C115" t="str">
            <v>The Vine Inter-Church Primary School</v>
          </cell>
          <cell r="D115" t="str">
            <v>Primary</v>
          </cell>
          <cell r="E115" t="str">
            <v>30EP3389</v>
          </cell>
        </row>
        <row r="116">
          <cell r="B116">
            <v>2001</v>
          </cell>
          <cell r="C116" t="str">
            <v>Thorndown Primary School</v>
          </cell>
          <cell r="D116" t="str">
            <v>Primary</v>
          </cell>
          <cell r="E116" t="str">
            <v>30EP2001</v>
          </cell>
        </row>
        <row r="117">
          <cell r="B117">
            <v>2064</v>
          </cell>
          <cell r="C117" t="str">
            <v>Townley Primary School</v>
          </cell>
          <cell r="D117" t="str">
            <v>Primary</v>
          </cell>
          <cell r="E117" t="str">
            <v>30EP2064</v>
          </cell>
        </row>
        <row r="118">
          <cell r="B118">
            <v>1</v>
          </cell>
          <cell r="C118" t="str">
            <v>Trumpington Meadows Primary School</v>
          </cell>
          <cell r="D118" t="str">
            <v>Primary</v>
          </cell>
          <cell r="E118" t="str">
            <v>30EP1</v>
          </cell>
        </row>
        <row r="119">
          <cell r="B119">
            <v>2000</v>
          </cell>
          <cell r="C119" t="str">
            <v>The Trumpington Federation</v>
          </cell>
        </row>
        <row r="120">
          <cell r="B120">
            <v>2048</v>
          </cell>
          <cell r="C120" t="str">
            <v>Waterbeach Community Primary School</v>
          </cell>
          <cell r="D120" t="str">
            <v>Primary</v>
          </cell>
          <cell r="E120" t="str">
            <v>30EP2048</v>
          </cell>
        </row>
        <row r="121">
          <cell r="B121">
            <v>2232</v>
          </cell>
          <cell r="C121" t="str">
            <v>Westfield Junior School</v>
          </cell>
          <cell r="D121" t="str">
            <v>Primary</v>
          </cell>
          <cell r="E121" t="str">
            <v>30EP2232</v>
          </cell>
        </row>
        <row r="122">
          <cell r="B122">
            <v>3392</v>
          </cell>
          <cell r="C122" t="str">
            <v>Wheatfields Primary School</v>
          </cell>
          <cell r="D122" t="str">
            <v>Primary</v>
          </cell>
          <cell r="E122" t="str">
            <v>30EP3392</v>
          </cell>
        </row>
        <row r="123">
          <cell r="B123">
            <v>3054</v>
          </cell>
          <cell r="C123" t="str">
            <v>Wilburton CofE Primary School</v>
          </cell>
          <cell r="D123" t="str">
            <v>Primary</v>
          </cell>
          <cell r="E123" t="str">
            <v>30EP3054</v>
          </cell>
        </row>
        <row r="124">
          <cell r="B124">
            <v>3032</v>
          </cell>
          <cell r="C124" t="str">
            <v>William Westley Church of England VC Primary School</v>
          </cell>
          <cell r="D124" t="str">
            <v>Primary</v>
          </cell>
          <cell r="E124" t="str">
            <v>30EP3032</v>
          </cell>
        </row>
        <row r="125">
          <cell r="B125">
            <v>2054</v>
          </cell>
          <cell r="C125" t="str">
            <v>Willingham Primary School</v>
          </cell>
          <cell r="D125" t="str">
            <v>Primary</v>
          </cell>
          <cell r="E125" t="str">
            <v>30EP2054</v>
          </cell>
        </row>
        <row r="126">
          <cell r="B126">
            <v>2240</v>
          </cell>
          <cell r="C126" t="str">
            <v>Wyton on the Hill Community Primary School</v>
          </cell>
          <cell r="D126" t="str">
            <v>Primary</v>
          </cell>
          <cell r="E126" t="str">
            <v>30EP2240</v>
          </cell>
        </row>
        <row r="127">
          <cell r="B127">
            <v>2254</v>
          </cell>
          <cell r="C127" t="str">
            <v>Yaxley Infant School</v>
          </cell>
          <cell r="D127" t="str">
            <v>Primary</v>
          </cell>
          <cell r="E127" t="str">
            <v>30EP2254</v>
          </cell>
        </row>
      </sheetData>
      <sheetData sheetId="12" refreshError="1"/>
      <sheetData sheetId="13" refreshError="1"/>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Claire Hughes" id="{A61C0F36-E252-4CA2-8F9A-7D276277EAA7}" userId="S::Claire.Hughes@cambridgeshire.gov.uk::0e787fed-0ccd-4118-b4e5-7d7e809c39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4" dT="2023-02-16T09:56:44.37" personId="{A61C0F36-E252-4CA2-8F9A-7D276277EAA7}" id="{7CDE45E0-F5A2-4222-85FC-D42E85A95957}">
    <text>Federated with Newton</text>
  </threadedComment>
  <threadedComment ref="A300" dT="2023-02-16T09:57:32.59" personId="{A61C0F36-E252-4CA2-8F9A-7D276277EAA7}" id="{36BB96CD-7366-48F3-98F2-E64BB911264E}">
    <text>Federated with Stukeley Meadows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294" dT="2023-02-16T09:56:44.37" personId="{A61C0F36-E252-4CA2-8F9A-7D276277EAA7}" id="{92E5C62F-3FA0-4190-B1DC-CE77736A49D0}">
    <text>Federated with Newton</text>
  </threadedComment>
  <threadedComment ref="A300" dT="2023-02-16T09:57:32.59" personId="{A61C0F36-E252-4CA2-8F9A-7D276277EAA7}" id="{FCE614A8-2D96-4724-B2FB-0C27B7908858}">
    <text>Federated with Stukeley Meadows</text>
  </threadedComment>
</ThreadedComments>
</file>

<file path=xl/threadedComments/threadedComment3.xml><?xml version="1.0" encoding="utf-8"?>
<ThreadedComments xmlns="http://schemas.microsoft.com/office/spreadsheetml/2018/threadedcomments" xmlns:x="http://schemas.openxmlformats.org/spreadsheetml/2006/main">
  <threadedComment ref="C106" dT="2023-02-16T09:56:44.37" personId="{A61C0F36-E252-4CA2-8F9A-7D276277EAA7}" id="{FD13AE66-691A-413D-9358-9CFE955C0491}">
    <text>Federated with Newton</text>
  </threadedComment>
  <threadedComment ref="C112" dT="2023-02-16T09:57:32.59" personId="{A61C0F36-E252-4CA2-8F9A-7D276277EAA7}" id="{281FB432-6AE7-413A-9699-873069EA536E}">
    <text>Federated with Stukeley Meadows</text>
  </threadedComment>
</ThreadedComments>
</file>

<file path=xl/threadedComments/threadedComment4.xml><?xml version="1.0" encoding="utf-8"?>
<ThreadedComments xmlns="http://schemas.microsoft.com/office/spreadsheetml/2018/threadedcomments" xmlns:x="http://schemas.openxmlformats.org/spreadsheetml/2006/main">
  <threadedComment ref="C104" dT="2023-02-16T09:56:44.37" personId="{A61C0F36-E252-4CA2-8F9A-7D276277EAA7}" id="{FA607035-3CE1-483D-98C5-9BEC146B9B81}">
    <text>Federated with Newton</text>
  </threadedComment>
  <threadedComment ref="C110" dT="2023-02-16T09:57:32.59" personId="{A61C0F36-E252-4CA2-8F9A-7D276277EAA7}" id="{BEDBB9C9-C03A-4EAC-B175-BA54B09569A8}">
    <text>Federated with Stukeley Meadows</text>
  </threadedComment>
</ThreadedComments>
</file>

<file path=xl/threadedComments/threadedComment5.xml><?xml version="1.0" encoding="utf-8"?>
<ThreadedComments xmlns="http://schemas.microsoft.com/office/spreadsheetml/2018/threadedcomments" xmlns:x="http://schemas.openxmlformats.org/spreadsheetml/2006/main">
  <threadedComment ref="B106" dT="2023-02-16T09:56:44.37" personId="{A61C0F36-E252-4CA2-8F9A-7D276277EAA7}" id="{8380C2DC-1C54-4797-872A-17F729331925}">
    <text>Federated with Newton</text>
  </threadedComment>
  <threadedComment ref="B112" dT="2023-02-16T09:57:32.59" personId="{A61C0F36-E252-4CA2-8F9A-7D276277EAA7}" id="{1FBFAD6E-B8C2-4FA7-A34A-B8928FBD32F1}">
    <text>Federated with Stukeley Meadows</text>
  </threadedComment>
</ThreadedComments>
</file>

<file path=xl/threadedComments/threadedComment6.xml><?xml version="1.0" encoding="utf-8"?>
<ThreadedComments xmlns="http://schemas.microsoft.com/office/spreadsheetml/2018/threadedcomments" xmlns:x="http://schemas.openxmlformats.org/spreadsheetml/2006/main">
  <threadedComment ref="C104" dT="2023-02-16T09:56:44.37" personId="{A61C0F36-E252-4CA2-8F9A-7D276277EAA7}" id="{0E23AB42-B1D1-4D16-8175-8588C296BAAD}">
    <text>Federated with Newton</text>
  </threadedComment>
  <threadedComment ref="C110" dT="2023-02-16T09:57:32.59" personId="{A61C0F36-E252-4CA2-8F9A-7D276277EAA7}" id="{C65E3089-8192-4960-AFBD-8E04CBAEE0F5}">
    <text>Federated with Stukeley Meadows</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273C-EE6F-4856-B151-487F835A173A}">
  <sheetPr codeName="Sheet1"/>
  <dimension ref="A1:K192"/>
  <sheetViews>
    <sheetView topLeftCell="A166" workbookViewId="0">
      <selection activeCell="V22" sqref="V22"/>
    </sheetView>
  </sheetViews>
  <sheetFormatPr defaultRowHeight="13.2"/>
  <sheetData>
    <row r="1" spans="1:11" ht="13.8" thickBot="1">
      <c r="C1" s="305" t="s">
        <v>0</v>
      </c>
      <c r="D1" s="306" t="s">
        <v>1</v>
      </c>
      <c r="E1" s="306"/>
      <c r="F1" s="307">
        <v>0</v>
      </c>
      <c r="G1" s="307">
        <v>199401</v>
      </c>
      <c r="H1" s="307">
        <v>209912</v>
      </c>
      <c r="I1" s="306" t="s">
        <v>2</v>
      </c>
      <c r="J1" s="308"/>
      <c r="K1" s="304"/>
    </row>
    <row r="2" spans="1:11" ht="13.8" thickBot="1">
      <c r="A2" s="309"/>
      <c r="B2" s="308"/>
      <c r="C2" s="306" t="s">
        <v>3</v>
      </c>
      <c r="D2" s="306" t="s">
        <v>4</v>
      </c>
      <c r="E2" s="306"/>
      <c r="F2" s="307">
        <v>0</v>
      </c>
      <c r="G2" s="307">
        <v>199401</v>
      </c>
      <c r="H2" s="307">
        <v>209912</v>
      </c>
      <c r="I2" s="306" t="s">
        <v>2</v>
      </c>
      <c r="J2" s="308"/>
    </row>
    <row r="3" spans="1:11" ht="13.8" thickBot="1">
      <c r="A3" s="309"/>
      <c r="B3" s="308"/>
      <c r="C3" s="306" t="s">
        <v>5</v>
      </c>
      <c r="D3" s="306" t="s">
        <v>6</v>
      </c>
      <c r="E3" s="306"/>
      <c r="F3" s="307">
        <v>0</v>
      </c>
      <c r="G3" s="307">
        <v>199401</v>
      </c>
      <c r="H3" s="307">
        <v>209912</v>
      </c>
      <c r="I3" s="306" t="s">
        <v>2</v>
      </c>
      <c r="J3" s="308"/>
    </row>
    <row r="4" spans="1:11" ht="13.8" thickBot="1">
      <c r="A4" s="309"/>
      <c r="B4" s="308"/>
      <c r="C4" s="306" t="s">
        <v>7</v>
      </c>
      <c r="D4" s="306" t="s">
        <v>8</v>
      </c>
      <c r="E4" s="306"/>
      <c r="F4" s="307">
        <v>0</v>
      </c>
      <c r="G4" s="307">
        <v>199401</v>
      </c>
      <c r="H4" s="307">
        <v>209912</v>
      </c>
      <c r="I4" s="306" t="s">
        <v>2</v>
      </c>
      <c r="J4" s="308"/>
    </row>
    <row r="5" spans="1:11" ht="13.8" thickBot="1">
      <c r="A5" s="309"/>
      <c r="B5" s="308"/>
      <c r="C5" s="306" t="s">
        <v>9</v>
      </c>
      <c r="D5" s="306" t="s">
        <v>10</v>
      </c>
      <c r="E5" s="306"/>
      <c r="F5" s="307">
        <v>0</v>
      </c>
      <c r="G5" s="307">
        <v>199401</v>
      </c>
      <c r="H5" s="307">
        <v>209912</v>
      </c>
      <c r="I5" s="306" t="s">
        <v>2</v>
      </c>
      <c r="J5" s="308"/>
    </row>
    <row r="6" spans="1:11" ht="13.8" thickBot="1">
      <c r="A6" s="309"/>
      <c r="B6" s="308"/>
      <c r="C6" s="306" t="s">
        <v>11</v>
      </c>
      <c r="D6" s="306" t="s">
        <v>12</v>
      </c>
      <c r="E6" s="306"/>
      <c r="F6" s="307">
        <v>0</v>
      </c>
      <c r="G6" s="307">
        <v>199401</v>
      </c>
      <c r="H6" s="307">
        <v>209912</v>
      </c>
      <c r="I6" s="306" t="s">
        <v>2</v>
      </c>
      <c r="J6" s="308"/>
    </row>
    <row r="7" spans="1:11" ht="13.8" thickBot="1">
      <c r="A7" s="309"/>
      <c r="B7" s="308"/>
      <c r="C7" s="306" t="s">
        <v>13</v>
      </c>
      <c r="D7" s="306" t="s">
        <v>14</v>
      </c>
      <c r="E7" s="306"/>
      <c r="F7" s="307">
        <v>0</v>
      </c>
      <c r="G7" s="307">
        <v>199401</v>
      </c>
      <c r="H7" s="307">
        <v>209912</v>
      </c>
      <c r="I7" s="306" t="s">
        <v>2</v>
      </c>
      <c r="J7" s="308"/>
    </row>
    <row r="8" spans="1:11" ht="13.8" thickBot="1">
      <c r="A8" s="309"/>
      <c r="B8" s="308"/>
      <c r="C8" s="306" t="s">
        <v>15</v>
      </c>
      <c r="D8" s="306" t="s">
        <v>16</v>
      </c>
      <c r="E8" s="306"/>
      <c r="F8" s="307">
        <v>0</v>
      </c>
      <c r="G8" s="307">
        <v>199401</v>
      </c>
      <c r="H8" s="307">
        <v>209912</v>
      </c>
      <c r="I8" s="306" t="s">
        <v>2</v>
      </c>
      <c r="J8" s="308"/>
    </row>
    <row r="9" spans="1:11" ht="13.8" thickBot="1">
      <c r="A9" s="309"/>
      <c r="B9" s="308"/>
      <c r="C9" s="306" t="s">
        <v>17</v>
      </c>
      <c r="D9" s="306" t="s">
        <v>18</v>
      </c>
      <c r="E9" s="306"/>
      <c r="F9" s="307">
        <v>0</v>
      </c>
      <c r="G9" s="307">
        <v>199401</v>
      </c>
      <c r="H9" s="307">
        <v>209912</v>
      </c>
      <c r="I9" s="306" t="s">
        <v>2</v>
      </c>
      <c r="J9" s="308"/>
    </row>
    <row r="10" spans="1:11" ht="13.8" thickBot="1">
      <c r="A10" s="309"/>
      <c r="B10" s="308"/>
      <c r="C10" s="306" t="s">
        <v>19</v>
      </c>
      <c r="D10" s="306" t="s">
        <v>20</v>
      </c>
      <c r="E10" s="306"/>
      <c r="F10" s="307">
        <v>0</v>
      </c>
      <c r="G10" s="307">
        <v>199401</v>
      </c>
      <c r="H10" s="307">
        <v>209912</v>
      </c>
      <c r="I10" s="306" t="s">
        <v>2</v>
      </c>
      <c r="J10" s="308"/>
    </row>
    <row r="11" spans="1:11" ht="13.8" thickBot="1">
      <c r="A11" s="309"/>
      <c r="B11" s="308"/>
      <c r="C11" s="306" t="s">
        <v>21</v>
      </c>
      <c r="D11" s="306" t="s">
        <v>22</v>
      </c>
      <c r="E11" s="306"/>
      <c r="F11" s="307">
        <v>0</v>
      </c>
      <c r="G11" s="307">
        <v>199401</v>
      </c>
      <c r="H11" s="307">
        <v>209912</v>
      </c>
      <c r="I11" s="306" t="s">
        <v>2</v>
      </c>
      <c r="J11" s="308"/>
    </row>
    <row r="12" spans="1:11" ht="13.8" thickBot="1">
      <c r="A12" s="309"/>
      <c r="B12" s="308"/>
      <c r="C12" s="306" t="s">
        <v>23</v>
      </c>
      <c r="D12" s="306" t="s">
        <v>24</v>
      </c>
      <c r="E12" s="306"/>
      <c r="F12" s="307">
        <v>0</v>
      </c>
      <c r="G12" s="307">
        <v>199401</v>
      </c>
      <c r="H12" s="307">
        <v>209912</v>
      </c>
      <c r="I12" s="306" t="s">
        <v>2</v>
      </c>
      <c r="J12" s="308"/>
    </row>
    <row r="13" spans="1:11" ht="13.8" thickBot="1">
      <c r="A13" s="309"/>
      <c r="B13" s="308"/>
      <c r="C13" s="306" t="s">
        <v>25</v>
      </c>
      <c r="D13" s="306" t="s">
        <v>26</v>
      </c>
      <c r="E13" s="306"/>
      <c r="F13" s="307">
        <v>0</v>
      </c>
      <c r="G13" s="307">
        <v>199401</v>
      </c>
      <c r="H13" s="307">
        <v>209912</v>
      </c>
      <c r="I13" s="306" t="s">
        <v>2</v>
      </c>
      <c r="J13" s="308"/>
    </row>
    <row r="14" spans="1:11" ht="13.8" thickBot="1">
      <c r="A14" s="309"/>
      <c r="B14" s="308"/>
      <c r="C14" s="306" t="s">
        <v>27</v>
      </c>
      <c r="D14" s="306" t="s">
        <v>28</v>
      </c>
      <c r="E14" s="306"/>
      <c r="F14" s="307">
        <v>0</v>
      </c>
      <c r="G14" s="307">
        <v>199401</v>
      </c>
      <c r="H14" s="307">
        <v>209912</v>
      </c>
      <c r="I14" s="306" t="s">
        <v>2</v>
      </c>
      <c r="J14" s="308"/>
    </row>
    <row r="15" spans="1:11" ht="13.8" thickBot="1">
      <c r="A15" s="309"/>
      <c r="B15" s="308"/>
      <c r="C15" s="306" t="s">
        <v>29</v>
      </c>
      <c r="D15" s="306" t="s">
        <v>30</v>
      </c>
      <c r="E15" s="306"/>
      <c r="F15" s="307">
        <v>0</v>
      </c>
      <c r="G15" s="307">
        <v>199401</v>
      </c>
      <c r="H15" s="307">
        <v>209912</v>
      </c>
      <c r="I15" s="306" t="s">
        <v>2</v>
      </c>
      <c r="J15" s="308"/>
    </row>
    <row r="16" spans="1:11" ht="13.8" thickBot="1">
      <c r="A16" s="309"/>
      <c r="B16" s="308"/>
      <c r="C16" s="306" t="s">
        <v>31</v>
      </c>
      <c r="D16" s="306" t="s">
        <v>32</v>
      </c>
      <c r="E16" s="306"/>
      <c r="F16" s="307">
        <v>0</v>
      </c>
      <c r="G16" s="307">
        <v>199401</v>
      </c>
      <c r="H16" s="307">
        <v>209912</v>
      </c>
      <c r="I16" s="306" t="s">
        <v>2</v>
      </c>
      <c r="J16" s="308"/>
    </row>
    <row r="17" spans="1:10" ht="13.8" thickBot="1">
      <c r="A17" s="309"/>
      <c r="B17" s="308"/>
      <c r="C17" s="306" t="s">
        <v>33</v>
      </c>
      <c r="D17" s="306" t="s">
        <v>34</v>
      </c>
      <c r="E17" s="306"/>
      <c r="F17" s="307">
        <v>0</v>
      </c>
      <c r="G17" s="307">
        <v>199401</v>
      </c>
      <c r="H17" s="307">
        <v>209912</v>
      </c>
      <c r="I17" s="306" t="s">
        <v>2</v>
      </c>
      <c r="J17" s="308"/>
    </row>
    <row r="18" spans="1:10" ht="13.8" thickBot="1">
      <c r="A18" s="309"/>
      <c r="B18" s="308"/>
      <c r="C18" s="306" t="s">
        <v>35</v>
      </c>
      <c r="D18" s="306" t="s">
        <v>36</v>
      </c>
      <c r="E18" s="306"/>
      <c r="F18" s="307">
        <v>0</v>
      </c>
      <c r="G18" s="307">
        <v>199401</v>
      </c>
      <c r="H18" s="307">
        <v>209912</v>
      </c>
      <c r="I18" s="306" t="s">
        <v>2</v>
      </c>
      <c r="J18" s="308"/>
    </row>
    <row r="19" spans="1:10" ht="13.8" thickBot="1">
      <c r="A19" s="309"/>
      <c r="B19" s="308"/>
      <c r="C19" s="306" t="s">
        <v>37</v>
      </c>
      <c r="D19" s="306" t="s">
        <v>38</v>
      </c>
      <c r="E19" s="306"/>
      <c r="F19" s="307">
        <v>0</v>
      </c>
      <c r="G19" s="307">
        <v>199401</v>
      </c>
      <c r="H19" s="307">
        <v>209912</v>
      </c>
      <c r="I19" s="306" t="s">
        <v>2</v>
      </c>
      <c r="J19" s="308"/>
    </row>
    <row r="20" spans="1:10" ht="13.8" thickBot="1">
      <c r="A20" s="309"/>
      <c r="B20" s="308"/>
      <c r="C20" s="306" t="s">
        <v>39</v>
      </c>
      <c r="D20" s="306" t="s">
        <v>40</v>
      </c>
      <c r="E20" s="306"/>
      <c r="F20" s="307">
        <v>0</v>
      </c>
      <c r="G20" s="307">
        <v>199401</v>
      </c>
      <c r="H20" s="307">
        <v>209912</v>
      </c>
      <c r="I20" s="306" t="s">
        <v>2</v>
      </c>
      <c r="J20" s="308"/>
    </row>
    <row r="21" spans="1:10" ht="13.8" thickBot="1">
      <c r="A21" s="309"/>
      <c r="B21" s="308"/>
      <c r="C21" s="306" t="s">
        <v>41</v>
      </c>
      <c r="D21" s="306" t="s">
        <v>42</v>
      </c>
      <c r="E21" s="306"/>
      <c r="F21" s="307">
        <v>0</v>
      </c>
      <c r="G21" s="307">
        <v>199401</v>
      </c>
      <c r="H21" s="307">
        <v>209912</v>
      </c>
      <c r="I21" s="306" t="s">
        <v>2</v>
      </c>
      <c r="J21" s="308"/>
    </row>
    <row r="22" spans="1:10" ht="13.8" thickBot="1">
      <c r="A22" s="309"/>
      <c r="B22" s="308"/>
      <c r="C22" s="306" t="s">
        <v>43</v>
      </c>
      <c r="D22" s="306" t="s">
        <v>44</v>
      </c>
      <c r="E22" s="306"/>
      <c r="F22" s="307">
        <v>0</v>
      </c>
      <c r="G22" s="307">
        <v>199401</v>
      </c>
      <c r="H22" s="307">
        <v>209912</v>
      </c>
      <c r="I22" s="306" t="s">
        <v>2</v>
      </c>
      <c r="J22" s="308"/>
    </row>
    <row r="23" spans="1:10" ht="13.8" thickBot="1">
      <c r="A23" s="309"/>
      <c r="B23" s="308"/>
      <c r="C23" s="306" t="s">
        <v>45</v>
      </c>
      <c r="D23" s="306" t="s">
        <v>46</v>
      </c>
      <c r="E23" s="306"/>
      <c r="F23" s="307">
        <v>0</v>
      </c>
      <c r="G23" s="307">
        <v>199401</v>
      </c>
      <c r="H23" s="307">
        <v>209912</v>
      </c>
      <c r="I23" s="306" t="s">
        <v>2</v>
      </c>
      <c r="J23" s="308"/>
    </row>
    <row r="24" spans="1:10" ht="13.8" thickBot="1">
      <c r="A24" s="309"/>
      <c r="B24" s="308"/>
      <c r="C24" s="306" t="s">
        <v>47</v>
      </c>
      <c r="D24" s="306" t="s">
        <v>48</v>
      </c>
      <c r="E24" s="306"/>
      <c r="F24" s="307">
        <v>0</v>
      </c>
      <c r="G24" s="307">
        <v>199401</v>
      </c>
      <c r="H24" s="307">
        <v>209912</v>
      </c>
      <c r="I24" s="306" t="s">
        <v>2</v>
      </c>
      <c r="J24" s="308"/>
    </row>
    <row r="25" spans="1:10" ht="13.8" thickBot="1">
      <c r="A25" s="309"/>
      <c r="B25" s="308"/>
      <c r="C25" s="306" t="s">
        <v>49</v>
      </c>
      <c r="D25" s="306" t="s">
        <v>50</v>
      </c>
      <c r="E25" s="306"/>
      <c r="F25" s="307">
        <v>0</v>
      </c>
      <c r="G25" s="307">
        <v>199401</v>
      </c>
      <c r="H25" s="307">
        <v>209912</v>
      </c>
      <c r="I25" s="306" t="s">
        <v>2</v>
      </c>
      <c r="J25" s="308"/>
    </row>
    <row r="26" spans="1:10" ht="13.8" thickBot="1">
      <c r="A26" s="309"/>
      <c r="B26" s="308"/>
      <c r="C26" s="306" t="s">
        <v>51</v>
      </c>
      <c r="D26" s="306" t="s">
        <v>52</v>
      </c>
      <c r="E26" s="306"/>
      <c r="F26" s="307">
        <v>0</v>
      </c>
      <c r="G26" s="307">
        <v>199401</v>
      </c>
      <c r="H26" s="307">
        <v>209912</v>
      </c>
      <c r="I26" s="306" t="s">
        <v>2</v>
      </c>
      <c r="J26" s="308"/>
    </row>
    <row r="27" spans="1:10" ht="13.8" thickBot="1">
      <c r="A27" s="309"/>
      <c r="B27" s="308"/>
      <c r="C27" s="306" t="s">
        <v>53</v>
      </c>
      <c r="D27" s="306" t="s">
        <v>54</v>
      </c>
      <c r="E27" s="306"/>
      <c r="F27" s="307">
        <v>0</v>
      </c>
      <c r="G27" s="307">
        <v>199401</v>
      </c>
      <c r="H27" s="307">
        <v>209912</v>
      </c>
      <c r="I27" s="306" t="s">
        <v>2</v>
      </c>
      <c r="J27" s="308"/>
    </row>
    <row r="28" spans="1:10" ht="13.8" thickBot="1">
      <c r="A28" s="309"/>
      <c r="B28" s="308"/>
      <c r="C28" s="306" t="s">
        <v>55</v>
      </c>
      <c r="D28" s="306" t="s">
        <v>56</v>
      </c>
      <c r="E28" s="306"/>
      <c r="F28" s="307">
        <v>0</v>
      </c>
      <c r="G28" s="307">
        <v>199401</v>
      </c>
      <c r="H28" s="307">
        <v>209912</v>
      </c>
      <c r="I28" s="306" t="s">
        <v>2</v>
      </c>
      <c r="J28" s="308"/>
    </row>
    <row r="29" spans="1:10" ht="13.8" thickBot="1">
      <c r="A29" s="309"/>
      <c r="B29" s="308"/>
      <c r="C29" s="306" t="s">
        <v>57</v>
      </c>
      <c r="D29" s="306" t="s">
        <v>58</v>
      </c>
      <c r="E29" s="306"/>
      <c r="F29" s="307">
        <v>0</v>
      </c>
      <c r="G29" s="307">
        <v>199401</v>
      </c>
      <c r="H29" s="307">
        <v>209912</v>
      </c>
      <c r="I29" s="306" t="s">
        <v>2</v>
      </c>
      <c r="J29" s="308"/>
    </row>
    <row r="30" spans="1:10" ht="13.8" thickBot="1">
      <c r="A30" s="309"/>
      <c r="B30" s="308"/>
      <c r="C30" s="306" t="s">
        <v>59</v>
      </c>
      <c r="D30" s="306" t="s">
        <v>60</v>
      </c>
      <c r="E30" s="306"/>
      <c r="F30" s="307">
        <v>0</v>
      </c>
      <c r="G30" s="307">
        <v>199401</v>
      </c>
      <c r="H30" s="307">
        <v>209912</v>
      </c>
      <c r="I30" s="306" t="s">
        <v>2</v>
      </c>
      <c r="J30" s="308"/>
    </row>
    <row r="31" spans="1:10" ht="13.8" thickBot="1">
      <c r="A31" s="309"/>
      <c r="B31" s="308"/>
      <c r="C31" s="306" t="s">
        <v>61</v>
      </c>
      <c r="D31" s="306" t="s">
        <v>62</v>
      </c>
      <c r="E31" s="306"/>
      <c r="F31" s="307">
        <v>0</v>
      </c>
      <c r="G31" s="307">
        <v>199401</v>
      </c>
      <c r="H31" s="307">
        <v>209912</v>
      </c>
      <c r="I31" s="306" t="s">
        <v>2</v>
      </c>
      <c r="J31" s="308"/>
    </row>
    <row r="32" spans="1:10" ht="13.8" thickBot="1">
      <c r="A32" s="309"/>
      <c r="B32" s="308"/>
      <c r="C32" s="306" t="s">
        <v>63</v>
      </c>
      <c r="D32" s="306" t="s">
        <v>64</v>
      </c>
      <c r="E32" s="306"/>
      <c r="F32" s="307">
        <v>0</v>
      </c>
      <c r="G32" s="307">
        <v>199401</v>
      </c>
      <c r="H32" s="307">
        <v>209912</v>
      </c>
      <c r="I32" s="306" t="s">
        <v>2</v>
      </c>
      <c r="J32" s="308"/>
    </row>
    <row r="33" spans="1:10" ht="13.8" thickBot="1">
      <c r="A33" s="309"/>
      <c r="B33" s="308"/>
      <c r="C33" s="306" t="s">
        <v>65</v>
      </c>
      <c r="D33" s="306" t="s">
        <v>66</v>
      </c>
      <c r="E33" s="306"/>
      <c r="F33" s="307">
        <v>0</v>
      </c>
      <c r="G33" s="307">
        <v>199401</v>
      </c>
      <c r="H33" s="307">
        <v>209912</v>
      </c>
      <c r="I33" s="306" t="s">
        <v>2</v>
      </c>
      <c r="J33" s="308"/>
    </row>
    <row r="34" spans="1:10" ht="13.8" thickBot="1">
      <c r="A34" s="309"/>
      <c r="B34" s="308"/>
      <c r="C34" s="306" t="s">
        <v>67</v>
      </c>
      <c r="D34" s="306" t="s">
        <v>68</v>
      </c>
      <c r="E34" s="306"/>
      <c r="F34" s="307">
        <v>0</v>
      </c>
      <c r="G34" s="307">
        <v>199401</v>
      </c>
      <c r="H34" s="307">
        <v>209912</v>
      </c>
      <c r="I34" s="306" t="s">
        <v>2</v>
      </c>
      <c r="J34" s="308"/>
    </row>
    <row r="35" spans="1:10" ht="13.8" thickBot="1">
      <c r="A35" s="309"/>
      <c r="B35" s="308"/>
      <c r="C35" s="306" t="s">
        <v>69</v>
      </c>
      <c r="D35" s="306" t="s">
        <v>70</v>
      </c>
      <c r="E35" s="306"/>
      <c r="F35" s="307">
        <v>0</v>
      </c>
      <c r="G35" s="307">
        <v>199401</v>
      </c>
      <c r="H35" s="307">
        <v>209912</v>
      </c>
      <c r="I35" s="306" t="s">
        <v>2</v>
      </c>
      <c r="J35" s="308"/>
    </row>
    <row r="36" spans="1:10" ht="13.8" thickBot="1">
      <c r="A36" s="309"/>
      <c r="B36" s="308"/>
      <c r="C36" s="306" t="s">
        <v>71</v>
      </c>
      <c r="D36" s="306" t="s">
        <v>72</v>
      </c>
      <c r="E36" s="306"/>
      <c r="F36" s="307">
        <v>0</v>
      </c>
      <c r="G36" s="307">
        <v>199401</v>
      </c>
      <c r="H36" s="307">
        <v>209912</v>
      </c>
      <c r="I36" s="306" t="s">
        <v>2</v>
      </c>
      <c r="J36" s="308"/>
    </row>
    <row r="37" spans="1:10" ht="13.8" thickBot="1">
      <c r="A37" s="309"/>
      <c r="B37" s="308"/>
      <c r="C37" s="306" t="s">
        <v>73</v>
      </c>
      <c r="D37" s="306" t="s">
        <v>74</v>
      </c>
      <c r="E37" s="306"/>
      <c r="F37" s="307">
        <v>0</v>
      </c>
      <c r="G37" s="307">
        <v>199401</v>
      </c>
      <c r="H37" s="307">
        <v>209912</v>
      </c>
      <c r="I37" s="306" t="s">
        <v>2</v>
      </c>
      <c r="J37" s="308"/>
    </row>
    <row r="38" spans="1:10" ht="13.8" thickBot="1">
      <c r="A38" s="309"/>
      <c r="B38" s="308"/>
      <c r="C38" s="306" t="s">
        <v>75</v>
      </c>
      <c r="D38" s="306" t="s">
        <v>76</v>
      </c>
      <c r="E38" s="306"/>
      <c r="F38" s="307">
        <v>0</v>
      </c>
      <c r="G38" s="307">
        <v>199401</v>
      </c>
      <c r="H38" s="307">
        <v>209912</v>
      </c>
      <c r="I38" s="306" t="s">
        <v>2</v>
      </c>
      <c r="J38" s="308"/>
    </row>
    <row r="39" spans="1:10" ht="13.8" thickBot="1">
      <c r="A39" s="309"/>
      <c r="B39" s="308"/>
      <c r="C39" s="306" t="s">
        <v>77</v>
      </c>
      <c r="D39" s="306" t="s">
        <v>78</v>
      </c>
      <c r="E39" s="306"/>
      <c r="F39" s="307">
        <v>0</v>
      </c>
      <c r="G39" s="307">
        <v>199401</v>
      </c>
      <c r="H39" s="307">
        <v>209912</v>
      </c>
      <c r="I39" s="306" t="s">
        <v>2</v>
      </c>
      <c r="J39" s="308"/>
    </row>
    <row r="40" spans="1:10" ht="13.8" thickBot="1">
      <c r="A40" s="309"/>
      <c r="B40" s="308"/>
      <c r="C40" s="306" t="s">
        <v>79</v>
      </c>
      <c r="D40" s="306" t="s">
        <v>80</v>
      </c>
      <c r="E40" s="306"/>
      <c r="F40" s="307">
        <v>0</v>
      </c>
      <c r="G40" s="307">
        <v>199401</v>
      </c>
      <c r="H40" s="307">
        <v>209912</v>
      </c>
      <c r="I40" s="306" t="s">
        <v>2</v>
      </c>
      <c r="J40" s="308"/>
    </row>
    <row r="41" spans="1:10" ht="13.8" thickBot="1">
      <c r="A41" s="309"/>
      <c r="B41" s="308"/>
      <c r="C41" s="306" t="s">
        <v>81</v>
      </c>
      <c r="D41" s="306" t="s">
        <v>82</v>
      </c>
      <c r="E41" s="306"/>
      <c r="F41" s="307">
        <v>0</v>
      </c>
      <c r="G41" s="307">
        <v>199401</v>
      </c>
      <c r="H41" s="307">
        <v>209912</v>
      </c>
      <c r="I41" s="306" t="s">
        <v>2</v>
      </c>
      <c r="J41" s="308"/>
    </row>
    <row r="42" spans="1:10" ht="13.8" thickBot="1">
      <c r="A42" s="309"/>
      <c r="B42" s="308"/>
      <c r="C42" s="306" t="s">
        <v>83</v>
      </c>
      <c r="D42" s="306" t="s">
        <v>84</v>
      </c>
      <c r="E42" s="306"/>
      <c r="F42" s="307">
        <v>0</v>
      </c>
      <c r="G42" s="307">
        <v>199401</v>
      </c>
      <c r="H42" s="307">
        <v>209912</v>
      </c>
      <c r="I42" s="306" t="s">
        <v>2</v>
      </c>
      <c r="J42" s="308"/>
    </row>
    <row r="43" spans="1:10" ht="13.8" thickBot="1">
      <c r="A43" s="309"/>
      <c r="B43" s="308"/>
      <c r="C43" s="306" t="s">
        <v>85</v>
      </c>
      <c r="D43" s="306" t="s">
        <v>86</v>
      </c>
      <c r="E43" s="306"/>
      <c r="F43" s="307">
        <v>0</v>
      </c>
      <c r="G43" s="307">
        <v>199401</v>
      </c>
      <c r="H43" s="307">
        <v>209912</v>
      </c>
      <c r="I43" s="306" t="s">
        <v>2</v>
      </c>
      <c r="J43" s="308"/>
    </row>
    <row r="44" spans="1:10" ht="13.8" thickBot="1">
      <c r="A44" s="309"/>
      <c r="B44" s="308"/>
      <c r="C44" s="306" t="s">
        <v>87</v>
      </c>
      <c r="D44" s="306" t="s">
        <v>88</v>
      </c>
      <c r="E44" s="306"/>
      <c r="F44" s="307">
        <v>0</v>
      </c>
      <c r="G44" s="307">
        <v>199401</v>
      </c>
      <c r="H44" s="307">
        <v>209912</v>
      </c>
      <c r="I44" s="306" t="s">
        <v>2</v>
      </c>
      <c r="J44" s="308"/>
    </row>
    <row r="45" spans="1:10" ht="13.8" thickBot="1">
      <c r="A45" s="309"/>
      <c r="B45" s="308"/>
      <c r="C45" s="306" t="s">
        <v>89</v>
      </c>
      <c r="D45" s="306" t="s">
        <v>90</v>
      </c>
      <c r="E45" s="306"/>
      <c r="F45" s="307">
        <v>0</v>
      </c>
      <c r="G45" s="307">
        <v>199401</v>
      </c>
      <c r="H45" s="307">
        <v>209912</v>
      </c>
      <c r="I45" s="306" t="s">
        <v>2</v>
      </c>
      <c r="J45" s="308"/>
    </row>
    <row r="46" spans="1:10" ht="13.8" thickBot="1">
      <c r="A46" s="309"/>
      <c r="B46" s="308"/>
      <c r="C46" s="306" t="s">
        <v>91</v>
      </c>
      <c r="D46" s="306" t="s">
        <v>92</v>
      </c>
      <c r="E46" s="306"/>
      <c r="F46" s="307">
        <v>0</v>
      </c>
      <c r="G46" s="307">
        <v>199401</v>
      </c>
      <c r="H46" s="307">
        <v>209912</v>
      </c>
      <c r="I46" s="306" t="s">
        <v>2</v>
      </c>
      <c r="J46" s="308"/>
    </row>
    <row r="47" spans="1:10" ht="13.8" thickBot="1">
      <c r="A47" s="309"/>
      <c r="B47" s="308"/>
      <c r="C47" s="306" t="s">
        <v>93</v>
      </c>
      <c r="D47" s="306" t="s">
        <v>94</v>
      </c>
      <c r="E47" s="306"/>
      <c r="F47" s="307">
        <v>0</v>
      </c>
      <c r="G47" s="307">
        <v>199401</v>
      </c>
      <c r="H47" s="307">
        <v>209912</v>
      </c>
      <c r="I47" s="306" t="s">
        <v>2</v>
      </c>
      <c r="J47" s="308"/>
    </row>
    <row r="48" spans="1:10" ht="13.8" thickBot="1">
      <c r="A48" s="309"/>
      <c r="B48" s="308"/>
      <c r="C48" s="306" t="s">
        <v>95</v>
      </c>
      <c r="D48" s="306" t="s">
        <v>96</v>
      </c>
      <c r="E48" s="306"/>
      <c r="F48" s="307">
        <v>0</v>
      </c>
      <c r="G48" s="307">
        <v>199401</v>
      </c>
      <c r="H48" s="307">
        <v>209912</v>
      </c>
      <c r="I48" s="306" t="s">
        <v>2</v>
      </c>
      <c r="J48" s="308"/>
    </row>
    <row r="49" spans="1:10" ht="13.8" thickBot="1">
      <c r="A49" s="309"/>
      <c r="B49" s="308"/>
      <c r="C49" s="306" t="s">
        <v>97</v>
      </c>
      <c r="D49" s="306" t="s">
        <v>98</v>
      </c>
      <c r="E49" s="306"/>
      <c r="F49" s="307">
        <v>0</v>
      </c>
      <c r="G49" s="307">
        <v>199401</v>
      </c>
      <c r="H49" s="307">
        <v>209912</v>
      </c>
      <c r="I49" s="306" t="s">
        <v>2</v>
      </c>
      <c r="J49" s="308"/>
    </row>
    <row r="50" spans="1:10" ht="13.8" thickBot="1">
      <c r="A50" s="309"/>
      <c r="B50" s="308"/>
      <c r="C50" s="306" t="s">
        <v>99</v>
      </c>
      <c r="D50" s="306" t="s">
        <v>100</v>
      </c>
      <c r="E50" s="306"/>
      <c r="F50" s="307">
        <v>0</v>
      </c>
      <c r="G50" s="307">
        <v>199401</v>
      </c>
      <c r="H50" s="307">
        <v>209912</v>
      </c>
      <c r="I50" s="306" t="s">
        <v>2</v>
      </c>
      <c r="J50" s="308"/>
    </row>
    <row r="51" spans="1:10" ht="13.8" thickBot="1">
      <c r="A51" s="309"/>
      <c r="B51" s="308"/>
      <c r="C51" s="306" t="s">
        <v>101</v>
      </c>
      <c r="D51" s="306" t="s">
        <v>102</v>
      </c>
      <c r="E51" s="306"/>
      <c r="F51" s="307">
        <v>0</v>
      </c>
      <c r="G51" s="307">
        <v>199401</v>
      </c>
      <c r="H51" s="307">
        <v>209912</v>
      </c>
      <c r="I51" s="306" t="s">
        <v>2</v>
      </c>
      <c r="J51" s="308"/>
    </row>
    <row r="52" spans="1:10" ht="13.8" thickBot="1">
      <c r="A52" s="309"/>
      <c r="B52" s="308"/>
      <c r="C52" s="306" t="s">
        <v>103</v>
      </c>
      <c r="D52" s="306" t="s">
        <v>104</v>
      </c>
      <c r="E52" s="306"/>
      <c r="F52" s="307">
        <v>0</v>
      </c>
      <c r="G52" s="307">
        <v>199401</v>
      </c>
      <c r="H52" s="307">
        <v>209912</v>
      </c>
      <c r="I52" s="306" t="s">
        <v>2</v>
      </c>
      <c r="J52" s="308"/>
    </row>
    <row r="53" spans="1:10" ht="13.8" thickBot="1">
      <c r="A53" s="309"/>
      <c r="B53" s="308"/>
      <c r="C53" s="306" t="s">
        <v>105</v>
      </c>
      <c r="D53" s="306" t="s">
        <v>106</v>
      </c>
      <c r="E53" s="306"/>
      <c r="F53" s="307">
        <v>0</v>
      </c>
      <c r="G53" s="307">
        <v>199401</v>
      </c>
      <c r="H53" s="307">
        <v>209912</v>
      </c>
      <c r="I53" s="306" t="s">
        <v>2</v>
      </c>
      <c r="J53" s="308"/>
    </row>
    <row r="54" spans="1:10" ht="13.8" thickBot="1">
      <c r="A54" s="309"/>
      <c r="B54" s="308"/>
      <c r="C54" s="306" t="s">
        <v>107</v>
      </c>
      <c r="D54" s="306" t="s">
        <v>108</v>
      </c>
      <c r="E54" s="306"/>
      <c r="F54" s="307">
        <v>0</v>
      </c>
      <c r="G54" s="307">
        <v>199401</v>
      </c>
      <c r="H54" s="307">
        <v>209912</v>
      </c>
      <c r="I54" s="306" t="s">
        <v>2</v>
      </c>
      <c r="J54" s="308"/>
    </row>
    <row r="55" spans="1:10" ht="13.8" thickBot="1">
      <c r="A55" s="309"/>
      <c r="B55" s="308"/>
      <c r="C55" s="306" t="s">
        <v>109</v>
      </c>
      <c r="D55" s="306" t="s">
        <v>110</v>
      </c>
      <c r="E55" s="306"/>
      <c r="F55" s="307">
        <v>0</v>
      </c>
      <c r="G55" s="307">
        <v>199401</v>
      </c>
      <c r="H55" s="307">
        <v>209912</v>
      </c>
      <c r="I55" s="306" t="s">
        <v>2</v>
      </c>
      <c r="J55" s="308"/>
    </row>
    <row r="56" spans="1:10" ht="13.8" thickBot="1">
      <c r="A56" s="309"/>
      <c r="B56" s="308"/>
      <c r="C56" s="306" t="s">
        <v>111</v>
      </c>
      <c r="D56" s="306" t="s">
        <v>112</v>
      </c>
      <c r="E56" s="306"/>
      <c r="F56" s="307">
        <v>0</v>
      </c>
      <c r="G56" s="307">
        <v>199401</v>
      </c>
      <c r="H56" s="307">
        <v>209912</v>
      </c>
      <c r="I56" s="306" t="s">
        <v>2</v>
      </c>
      <c r="J56" s="308"/>
    </row>
    <row r="57" spans="1:10" ht="13.8" thickBot="1">
      <c r="A57" s="309"/>
      <c r="B57" s="308"/>
      <c r="C57" s="306" t="s">
        <v>113</v>
      </c>
      <c r="D57" s="306" t="s">
        <v>114</v>
      </c>
      <c r="E57" s="306"/>
      <c r="F57" s="307">
        <v>0</v>
      </c>
      <c r="G57" s="307">
        <v>199401</v>
      </c>
      <c r="H57" s="307">
        <v>209912</v>
      </c>
      <c r="I57" s="306" t="s">
        <v>2</v>
      </c>
      <c r="J57" s="308"/>
    </row>
    <row r="58" spans="1:10" ht="13.8" thickBot="1">
      <c r="A58" s="309"/>
      <c r="B58" s="308"/>
      <c r="C58" s="306" t="s">
        <v>115</v>
      </c>
      <c r="D58" s="306" t="s">
        <v>116</v>
      </c>
      <c r="E58" s="306"/>
      <c r="F58" s="307">
        <v>0</v>
      </c>
      <c r="G58" s="307">
        <v>199401</v>
      </c>
      <c r="H58" s="307">
        <v>209912</v>
      </c>
      <c r="I58" s="306" t="s">
        <v>2</v>
      </c>
      <c r="J58" s="308"/>
    </row>
    <row r="59" spans="1:10" ht="13.8" thickBot="1">
      <c r="A59" s="309"/>
      <c r="B59" s="308"/>
      <c r="C59" s="306" t="s">
        <v>117</v>
      </c>
      <c r="D59" s="306" t="s">
        <v>118</v>
      </c>
      <c r="E59" s="306"/>
      <c r="F59" s="307">
        <v>0</v>
      </c>
      <c r="G59" s="307">
        <v>199401</v>
      </c>
      <c r="H59" s="307">
        <v>209912</v>
      </c>
      <c r="I59" s="306" t="s">
        <v>2</v>
      </c>
      <c r="J59" s="308"/>
    </row>
    <row r="60" spans="1:10" ht="13.8" thickBot="1">
      <c r="A60" s="309"/>
      <c r="B60" s="308"/>
      <c r="C60" s="306" t="s">
        <v>119</v>
      </c>
      <c r="D60" s="306" t="s">
        <v>120</v>
      </c>
      <c r="E60" s="306"/>
      <c r="F60" s="307">
        <v>0</v>
      </c>
      <c r="G60" s="307">
        <v>199401</v>
      </c>
      <c r="H60" s="307">
        <v>209912</v>
      </c>
      <c r="I60" s="306" t="s">
        <v>2</v>
      </c>
      <c r="J60" s="308"/>
    </row>
    <row r="61" spans="1:10" ht="13.8" thickBot="1">
      <c r="A61" s="309"/>
      <c r="B61" s="308"/>
      <c r="C61" s="306" t="s">
        <v>121</v>
      </c>
      <c r="D61" s="306" t="s">
        <v>122</v>
      </c>
      <c r="E61" s="306"/>
      <c r="F61" s="307">
        <v>0</v>
      </c>
      <c r="G61" s="307">
        <v>199401</v>
      </c>
      <c r="H61" s="307">
        <v>209912</v>
      </c>
      <c r="I61" s="306" t="s">
        <v>2</v>
      </c>
      <c r="J61" s="308"/>
    </row>
    <row r="62" spans="1:10" ht="13.8" thickBot="1">
      <c r="A62" s="309"/>
      <c r="B62" s="308"/>
      <c r="C62" s="306" t="s">
        <v>123</v>
      </c>
      <c r="D62" s="306" t="s">
        <v>124</v>
      </c>
      <c r="E62" s="306"/>
      <c r="F62" s="307">
        <v>0</v>
      </c>
      <c r="G62" s="307">
        <v>199401</v>
      </c>
      <c r="H62" s="307">
        <v>209912</v>
      </c>
      <c r="I62" s="306" t="s">
        <v>2</v>
      </c>
      <c r="J62" s="308"/>
    </row>
    <row r="63" spans="1:10" ht="13.8" thickBot="1">
      <c r="A63" s="309"/>
      <c r="B63" s="308"/>
      <c r="C63" s="306" t="s">
        <v>125</v>
      </c>
      <c r="D63" s="306" t="s">
        <v>126</v>
      </c>
      <c r="E63" s="306"/>
      <c r="F63" s="307">
        <v>0</v>
      </c>
      <c r="G63" s="307">
        <v>199401</v>
      </c>
      <c r="H63" s="307">
        <v>209912</v>
      </c>
      <c r="I63" s="306" t="s">
        <v>2</v>
      </c>
      <c r="J63" s="308"/>
    </row>
    <row r="64" spans="1:10" ht="13.8" thickBot="1">
      <c r="A64" s="309"/>
      <c r="B64" s="308"/>
      <c r="C64" s="306" t="s">
        <v>127</v>
      </c>
      <c r="D64" s="306" t="s">
        <v>128</v>
      </c>
      <c r="E64" s="306"/>
      <c r="F64" s="307">
        <v>0</v>
      </c>
      <c r="G64" s="307">
        <v>199401</v>
      </c>
      <c r="H64" s="307">
        <v>209912</v>
      </c>
      <c r="I64" s="306" t="s">
        <v>2</v>
      </c>
      <c r="J64" s="308"/>
    </row>
    <row r="65" spans="1:10" ht="13.8" thickBot="1">
      <c r="A65" s="309"/>
      <c r="B65" s="308"/>
      <c r="C65" s="306" t="s">
        <v>129</v>
      </c>
      <c r="D65" s="306" t="s">
        <v>130</v>
      </c>
      <c r="E65" s="306"/>
      <c r="F65" s="307">
        <v>0</v>
      </c>
      <c r="G65" s="307">
        <v>199401</v>
      </c>
      <c r="H65" s="307">
        <v>209912</v>
      </c>
      <c r="I65" s="306" t="s">
        <v>2</v>
      </c>
      <c r="J65" s="308"/>
    </row>
    <row r="66" spans="1:10" ht="13.8" thickBot="1">
      <c r="A66" s="309"/>
      <c r="B66" s="308"/>
      <c r="C66" s="306" t="s">
        <v>131</v>
      </c>
      <c r="D66" s="306" t="s">
        <v>132</v>
      </c>
      <c r="E66" s="306"/>
      <c r="F66" s="307">
        <v>0</v>
      </c>
      <c r="G66" s="307">
        <v>199401</v>
      </c>
      <c r="H66" s="307">
        <v>209912</v>
      </c>
      <c r="I66" s="306" t="s">
        <v>2</v>
      </c>
      <c r="J66" s="308"/>
    </row>
    <row r="67" spans="1:10" ht="13.8" thickBot="1">
      <c r="A67" s="309"/>
      <c r="B67" s="308"/>
      <c r="C67" s="306" t="s">
        <v>133</v>
      </c>
      <c r="D67" s="306" t="s">
        <v>134</v>
      </c>
      <c r="E67" s="306"/>
      <c r="F67" s="307">
        <v>0</v>
      </c>
      <c r="G67" s="307">
        <v>199401</v>
      </c>
      <c r="H67" s="307">
        <v>209912</v>
      </c>
      <c r="I67" s="306" t="s">
        <v>2</v>
      </c>
      <c r="J67" s="308"/>
    </row>
    <row r="68" spans="1:10" ht="13.8" thickBot="1">
      <c r="A68" s="309"/>
      <c r="B68" s="308"/>
      <c r="C68" s="306" t="s">
        <v>135</v>
      </c>
      <c r="D68" s="306" t="s">
        <v>136</v>
      </c>
      <c r="E68" s="306"/>
      <c r="F68" s="307">
        <v>0</v>
      </c>
      <c r="G68" s="307">
        <v>199401</v>
      </c>
      <c r="H68" s="307">
        <v>209912</v>
      </c>
      <c r="I68" s="306" t="s">
        <v>2</v>
      </c>
      <c r="J68" s="308"/>
    </row>
    <row r="69" spans="1:10" ht="13.8" thickBot="1">
      <c r="A69" s="309"/>
      <c r="B69" s="308"/>
      <c r="C69" s="306" t="s">
        <v>137</v>
      </c>
      <c r="D69" s="306" t="s">
        <v>138</v>
      </c>
      <c r="E69" s="306"/>
      <c r="F69" s="307">
        <v>0</v>
      </c>
      <c r="G69" s="307">
        <v>199401</v>
      </c>
      <c r="H69" s="307">
        <v>209912</v>
      </c>
      <c r="I69" s="306" t="s">
        <v>2</v>
      </c>
      <c r="J69" s="308"/>
    </row>
    <row r="70" spans="1:10" ht="13.8" thickBot="1">
      <c r="A70" s="309"/>
      <c r="B70" s="308"/>
      <c r="C70" s="306" t="s">
        <v>139</v>
      </c>
      <c r="D70" s="306" t="s">
        <v>140</v>
      </c>
      <c r="E70" s="306"/>
      <c r="F70" s="307">
        <v>0</v>
      </c>
      <c r="G70" s="307">
        <v>199401</v>
      </c>
      <c r="H70" s="307">
        <v>209912</v>
      </c>
      <c r="I70" s="306" t="s">
        <v>2</v>
      </c>
      <c r="J70" s="308"/>
    </row>
    <row r="71" spans="1:10" ht="13.8" thickBot="1">
      <c r="A71" s="309"/>
      <c r="B71" s="308"/>
      <c r="C71" s="306" t="s">
        <v>141</v>
      </c>
      <c r="D71" s="306" t="s">
        <v>142</v>
      </c>
      <c r="E71" s="306"/>
      <c r="F71" s="307">
        <v>0</v>
      </c>
      <c r="G71" s="307">
        <v>199401</v>
      </c>
      <c r="H71" s="307">
        <v>209912</v>
      </c>
      <c r="I71" s="306" t="s">
        <v>2</v>
      </c>
      <c r="J71" s="308"/>
    </row>
    <row r="72" spans="1:10" ht="13.8" thickBot="1">
      <c r="A72" s="309"/>
      <c r="B72" s="308"/>
      <c r="C72" s="306" t="s">
        <v>143</v>
      </c>
      <c r="D72" s="306" t="s">
        <v>144</v>
      </c>
      <c r="E72" s="306"/>
      <c r="F72" s="307">
        <v>0</v>
      </c>
      <c r="G72" s="307">
        <v>199401</v>
      </c>
      <c r="H72" s="307">
        <v>209912</v>
      </c>
      <c r="I72" s="306" t="s">
        <v>2</v>
      </c>
      <c r="J72" s="308"/>
    </row>
    <row r="73" spans="1:10" ht="13.8" thickBot="1">
      <c r="A73" s="309"/>
      <c r="B73" s="308"/>
      <c r="C73" s="306" t="s">
        <v>145</v>
      </c>
      <c r="D73" s="306" t="s">
        <v>146</v>
      </c>
      <c r="E73" s="306"/>
      <c r="F73" s="307">
        <v>0</v>
      </c>
      <c r="G73" s="307">
        <v>199401</v>
      </c>
      <c r="H73" s="307">
        <v>209912</v>
      </c>
      <c r="I73" s="306" t="s">
        <v>2</v>
      </c>
      <c r="J73" s="308"/>
    </row>
    <row r="74" spans="1:10" ht="13.8" thickBot="1">
      <c r="A74" s="309"/>
      <c r="B74" s="308"/>
      <c r="C74" s="306" t="s">
        <v>147</v>
      </c>
      <c r="D74" s="306" t="s">
        <v>148</v>
      </c>
      <c r="E74" s="306"/>
      <c r="F74" s="307">
        <v>0</v>
      </c>
      <c r="G74" s="307">
        <v>199401</v>
      </c>
      <c r="H74" s="307">
        <v>209912</v>
      </c>
      <c r="I74" s="306" t="s">
        <v>2</v>
      </c>
      <c r="J74" s="308"/>
    </row>
    <row r="75" spans="1:10" ht="13.8" thickBot="1">
      <c r="A75" s="309"/>
      <c r="B75" s="308"/>
      <c r="C75" s="306" t="s">
        <v>149</v>
      </c>
      <c r="D75" s="306" t="s">
        <v>150</v>
      </c>
      <c r="E75" s="306"/>
      <c r="F75" s="307">
        <v>0</v>
      </c>
      <c r="G75" s="307">
        <v>199401</v>
      </c>
      <c r="H75" s="307">
        <v>209912</v>
      </c>
      <c r="I75" s="306" t="s">
        <v>2</v>
      </c>
      <c r="J75" s="308"/>
    </row>
    <row r="76" spans="1:10" ht="13.8" thickBot="1">
      <c r="A76" s="309"/>
      <c r="B76" s="308"/>
      <c r="C76" s="306" t="s">
        <v>151</v>
      </c>
      <c r="D76" s="306" t="s">
        <v>152</v>
      </c>
      <c r="E76" s="306"/>
      <c r="F76" s="307">
        <v>0</v>
      </c>
      <c r="G76" s="307">
        <v>199401</v>
      </c>
      <c r="H76" s="307">
        <v>209912</v>
      </c>
      <c r="I76" s="306" t="s">
        <v>2</v>
      </c>
      <c r="J76" s="308"/>
    </row>
    <row r="77" spans="1:10" ht="13.8" thickBot="1">
      <c r="A77" s="309"/>
      <c r="B77" s="308"/>
      <c r="C77" s="306" t="s">
        <v>153</v>
      </c>
      <c r="D77" s="306" t="s">
        <v>154</v>
      </c>
      <c r="E77" s="306"/>
      <c r="F77" s="307">
        <v>0</v>
      </c>
      <c r="G77" s="307">
        <v>199401</v>
      </c>
      <c r="H77" s="307">
        <v>209912</v>
      </c>
      <c r="I77" s="306" t="s">
        <v>2</v>
      </c>
      <c r="J77" s="308"/>
    </row>
    <row r="78" spans="1:10" ht="13.8" thickBot="1">
      <c r="A78" s="309"/>
      <c r="B78" s="308"/>
      <c r="C78" s="306" t="s">
        <v>155</v>
      </c>
      <c r="D78" s="306" t="s">
        <v>156</v>
      </c>
      <c r="E78" s="306"/>
      <c r="F78" s="307">
        <v>0</v>
      </c>
      <c r="G78" s="307">
        <v>199401</v>
      </c>
      <c r="H78" s="307">
        <v>209912</v>
      </c>
      <c r="I78" s="306" t="s">
        <v>2</v>
      </c>
      <c r="J78" s="308"/>
    </row>
    <row r="79" spans="1:10" ht="13.8" thickBot="1">
      <c r="A79" s="309"/>
      <c r="B79" s="308"/>
      <c r="C79" s="306" t="s">
        <v>157</v>
      </c>
      <c r="D79" s="306" t="s">
        <v>158</v>
      </c>
      <c r="E79" s="306"/>
      <c r="F79" s="307">
        <v>0</v>
      </c>
      <c r="G79" s="307">
        <v>199401</v>
      </c>
      <c r="H79" s="307">
        <v>209912</v>
      </c>
      <c r="I79" s="306" t="s">
        <v>2</v>
      </c>
      <c r="J79" s="308"/>
    </row>
    <row r="80" spans="1:10" ht="13.8" thickBot="1">
      <c r="A80" s="309"/>
      <c r="B80" s="308"/>
      <c r="C80" s="306" t="s">
        <v>159</v>
      </c>
      <c r="D80" s="306" t="s">
        <v>160</v>
      </c>
      <c r="E80" s="306"/>
      <c r="F80" s="307">
        <v>0</v>
      </c>
      <c r="G80" s="307">
        <v>199401</v>
      </c>
      <c r="H80" s="307">
        <v>209912</v>
      </c>
      <c r="I80" s="306" t="s">
        <v>2</v>
      </c>
      <c r="J80" s="308"/>
    </row>
    <row r="81" spans="1:10" ht="13.8" thickBot="1">
      <c r="A81" s="309"/>
      <c r="B81" s="308"/>
      <c r="C81" s="306" t="s">
        <v>161</v>
      </c>
      <c r="D81" s="306" t="s">
        <v>162</v>
      </c>
      <c r="E81" s="306"/>
      <c r="F81" s="307">
        <v>0</v>
      </c>
      <c r="G81" s="307">
        <v>199401</v>
      </c>
      <c r="H81" s="307">
        <v>209912</v>
      </c>
      <c r="I81" s="306" t="s">
        <v>2</v>
      </c>
      <c r="J81" s="308"/>
    </row>
    <row r="82" spans="1:10" ht="13.8" thickBot="1">
      <c r="A82" s="309"/>
      <c r="B82" s="308"/>
      <c r="C82" s="306" t="s">
        <v>163</v>
      </c>
      <c r="D82" s="306" t="s">
        <v>164</v>
      </c>
      <c r="E82" s="306"/>
      <c r="F82" s="307">
        <v>0</v>
      </c>
      <c r="G82" s="307">
        <v>199401</v>
      </c>
      <c r="H82" s="307">
        <v>209912</v>
      </c>
      <c r="I82" s="306" t="s">
        <v>2</v>
      </c>
      <c r="J82" s="308"/>
    </row>
    <row r="83" spans="1:10" ht="13.8" thickBot="1">
      <c r="A83" s="309"/>
      <c r="B83" s="308"/>
      <c r="C83" s="306" t="s">
        <v>165</v>
      </c>
      <c r="D83" s="306" t="s">
        <v>166</v>
      </c>
      <c r="E83" s="306"/>
      <c r="F83" s="307">
        <v>0</v>
      </c>
      <c r="G83" s="307">
        <v>199401</v>
      </c>
      <c r="H83" s="307">
        <v>209912</v>
      </c>
      <c r="I83" s="306" t="s">
        <v>2</v>
      </c>
      <c r="J83" s="308"/>
    </row>
    <row r="84" spans="1:10" ht="13.8" thickBot="1">
      <c r="A84" s="309"/>
      <c r="B84" s="308"/>
      <c r="C84" s="306" t="s">
        <v>167</v>
      </c>
      <c r="D84" s="306" t="s">
        <v>168</v>
      </c>
      <c r="E84" s="306"/>
      <c r="F84" s="307">
        <v>0</v>
      </c>
      <c r="G84" s="307">
        <v>199401</v>
      </c>
      <c r="H84" s="307">
        <v>209912</v>
      </c>
      <c r="I84" s="306" t="s">
        <v>2</v>
      </c>
      <c r="J84" s="308"/>
    </row>
    <row r="85" spans="1:10" ht="13.8" thickBot="1">
      <c r="A85" s="309"/>
      <c r="B85" s="308"/>
      <c r="C85" s="306" t="s">
        <v>169</v>
      </c>
      <c r="D85" s="306" t="s">
        <v>170</v>
      </c>
      <c r="E85" s="306"/>
      <c r="F85" s="307">
        <v>0</v>
      </c>
      <c r="G85" s="307">
        <v>199401</v>
      </c>
      <c r="H85" s="307">
        <v>209912</v>
      </c>
      <c r="I85" s="306" t="s">
        <v>2</v>
      </c>
      <c r="J85" s="308"/>
    </row>
    <row r="86" spans="1:10" ht="13.8" thickBot="1">
      <c r="A86" s="309"/>
      <c r="B86" s="308"/>
      <c r="C86" s="306" t="s">
        <v>171</v>
      </c>
      <c r="D86" s="306" t="s">
        <v>172</v>
      </c>
      <c r="E86" s="306"/>
      <c r="F86" s="307">
        <v>0</v>
      </c>
      <c r="G86" s="307">
        <v>199401</v>
      </c>
      <c r="H86" s="307">
        <v>209912</v>
      </c>
      <c r="I86" s="306" t="s">
        <v>2</v>
      </c>
      <c r="J86" s="308"/>
    </row>
    <row r="87" spans="1:10" ht="13.8" thickBot="1">
      <c r="A87" s="309"/>
      <c r="B87" s="308"/>
      <c r="C87" s="306" t="s">
        <v>173</v>
      </c>
      <c r="D87" s="306" t="s">
        <v>174</v>
      </c>
      <c r="E87" s="306"/>
      <c r="F87" s="307">
        <v>0</v>
      </c>
      <c r="G87" s="307">
        <v>199401</v>
      </c>
      <c r="H87" s="307">
        <v>209912</v>
      </c>
      <c r="I87" s="306" t="s">
        <v>2</v>
      </c>
      <c r="J87" s="308"/>
    </row>
    <row r="88" spans="1:10" ht="13.8" thickBot="1">
      <c r="A88" s="309"/>
      <c r="B88" s="308"/>
      <c r="C88" s="306" t="s">
        <v>175</v>
      </c>
      <c r="D88" s="306" t="s">
        <v>176</v>
      </c>
      <c r="E88" s="306"/>
      <c r="F88" s="307">
        <v>0</v>
      </c>
      <c r="G88" s="307">
        <v>199401</v>
      </c>
      <c r="H88" s="307">
        <v>209912</v>
      </c>
      <c r="I88" s="306" t="s">
        <v>2</v>
      </c>
      <c r="J88" s="308"/>
    </row>
    <row r="89" spans="1:10" ht="13.8" thickBot="1">
      <c r="A89" s="309"/>
      <c r="B89" s="308"/>
      <c r="C89" s="306" t="s">
        <v>177</v>
      </c>
      <c r="D89" s="306" t="s">
        <v>178</v>
      </c>
      <c r="E89" s="306"/>
      <c r="F89" s="307">
        <v>0</v>
      </c>
      <c r="G89" s="307">
        <v>199401</v>
      </c>
      <c r="H89" s="307">
        <v>209912</v>
      </c>
      <c r="I89" s="306" t="s">
        <v>2</v>
      </c>
      <c r="J89" s="308"/>
    </row>
    <row r="90" spans="1:10" ht="13.8" thickBot="1">
      <c r="A90" s="309"/>
      <c r="B90" s="308"/>
      <c r="C90" s="306" t="s">
        <v>179</v>
      </c>
      <c r="D90" s="306" t="s">
        <v>180</v>
      </c>
      <c r="E90" s="306"/>
      <c r="F90" s="307">
        <v>0</v>
      </c>
      <c r="G90" s="307">
        <v>199401</v>
      </c>
      <c r="H90" s="307">
        <v>209912</v>
      </c>
      <c r="I90" s="306" t="s">
        <v>2</v>
      </c>
      <c r="J90" s="308"/>
    </row>
    <row r="91" spans="1:10" ht="13.8" thickBot="1">
      <c r="A91" s="309"/>
      <c r="B91" s="308"/>
      <c r="C91" s="306" t="s">
        <v>181</v>
      </c>
      <c r="D91" s="306" t="s">
        <v>182</v>
      </c>
      <c r="E91" s="306"/>
      <c r="F91" s="307">
        <v>0</v>
      </c>
      <c r="G91" s="307">
        <v>199401</v>
      </c>
      <c r="H91" s="307">
        <v>209912</v>
      </c>
      <c r="I91" s="306" t="s">
        <v>2</v>
      </c>
      <c r="J91" s="308"/>
    </row>
    <row r="92" spans="1:10" ht="13.8" thickBot="1">
      <c r="A92" s="309"/>
      <c r="B92" s="308"/>
      <c r="C92" s="306" t="s">
        <v>183</v>
      </c>
      <c r="D92" s="306" t="s">
        <v>184</v>
      </c>
      <c r="E92" s="306"/>
      <c r="F92" s="307">
        <v>0</v>
      </c>
      <c r="G92" s="307">
        <v>199401</v>
      </c>
      <c r="H92" s="307">
        <v>209912</v>
      </c>
      <c r="I92" s="306" t="s">
        <v>2</v>
      </c>
      <c r="J92" s="308"/>
    </row>
    <row r="93" spans="1:10" ht="13.8" thickBot="1">
      <c r="A93" s="309"/>
      <c r="B93" s="308"/>
      <c r="C93" s="306" t="s">
        <v>185</v>
      </c>
      <c r="D93" s="306" t="s">
        <v>186</v>
      </c>
      <c r="E93" s="306"/>
      <c r="F93" s="307">
        <v>0</v>
      </c>
      <c r="G93" s="307">
        <v>199401</v>
      </c>
      <c r="H93" s="307">
        <v>209912</v>
      </c>
      <c r="I93" s="306" t="s">
        <v>2</v>
      </c>
      <c r="J93" s="308"/>
    </row>
    <row r="94" spans="1:10" ht="13.8" thickBot="1">
      <c r="A94" s="309"/>
      <c r="B94" s="308"/>
      <c r="C94" s="306" t="s">
        <v>187</v>
      </c>
      <c r="D94" s="306" t="s">
        <v>188</v>
      </c>
      <c r="E94" s="306"/>
      <c r="F94" s="307">
        <v>0</v>
      </c>
      <c r="G94" s="307">
        <v>199401</v>
      </c>
      <c r="H94" s="307">
        <v>209912</v>
      </c>
      <c r="I94" s="306" t="s">
        <v>2</v>
      </c>
      <c r="J94" s="308"/>
    </row>
    <row r="95" spans="1:10" ht="13.8" thickBot="1">
      <c r="A95" s="309"/>
      <c r="B95" s="308"/>
      <c r="C95" s="306" t="s">
        <v>189</v>
      </c>
      <c r="D95" s="306" t="s">
        <v>190</v>
      </c>
      <c r="E95" s="306"/>
      <c r="F95" s="307">
        <v>0</v>
      </c>
      <c r="G95" s="307">
        <v>199401</v>
      </c>
      <c r="H95" s="307">
        <v>209912</v>
      </c>
      <c r="I95" s="306" t="s">
        <v>2</v>
      </c>
      <c r="J95" s="308"/>
    </row>
    <row r="96" spans="1:10" ht="13.8" thickBot="1">
      <c r="A96" s="309"/>
      <c r="B96" s="308"/>
      <c r="C96" s="306" t="s">
        <v>191</v>
      </c>
      <c r="D96" s="306" t="s">
        <v>192</v>
      </c>
      <c r="E96" s="306"/>
      <c r="F96" s="307">
        <v>0</v>
      </c>
      <c r="G96" s="307">
        <v>199401</v>
      </c>
      <c r="H96" s="307">
        <v>209912</v>
      </c>
      <c r="I96" s="306" t="s">
        <v>2</v>
      </c>
      <c r="J96" s="308"/>
    </row>
    <row r="97" spans="1:10" ht="13.8" thickBot="1">
      <c r="A97" s="309"/>
      <c r="B97" s="308"/>
      <c r="C97" s="306" t="s">
        <v>193</v>
      </c>
      <c r="D97" s="306" t="s">
        <v>194</v>
      </c>
      <c r="E97" s="306"/>
      <c r="F97" s="307">
        <v>0</v>
      </c>
      <c r="G97" s="307">
        <v>199401</v>
      </c>
      <c r="H97" s="307">
        <v>209912</v>
      </c>
      <c r="I97" s="306" t="s">
        <v>2</v>
      </c>
      <c r="J97" s="308"/>
    </row>
    <row r="98" spans="1:10" ht="13.8" thickBot="1">
      <c r="A98" s="309"/>
      <c r="B98" s="308"/>
      <c r="C98" s="306" t="s">
        <v>195</v>
      </c>
      <c r="D98" s="306" t="s">
        <v>196</v>
      </c>
      <c r="E98" s="306"/>
      <c r="F98" s="307">
        <v>0</v>
      </c>
      <c r="G98" s="307">
        <v>199401</v>
      </c>
      <c r="H98" s="307">
        <v>209912</v>
      </c>
      <c r="I98" s="306" t="s">
        <v>2</v>
      </c>
      <c r="J98" s="308"/>
    </row>
    <row r="99" spans="1:10" ht="13.8" thickBot="1">
      <c r="A99" s="309"/>
      <c r="B99" s="308"/>
      <c r="C99" s="306" t="s">
        <v>197</v>
      </c>
      <c r="D99" s="306" t="s">
        <v>198</v>
      </c>
      <c r="E99" s="306"/>
      <c r="F99" s="307">
        <v>0</v>
      </c>
      <c r="G99" s="307">
        <v>199401</v>
      </c>
      <c r="H99" s="307">
        <v>209912</v>
      </c>
      <c r="I99" s="306" t="s">
        <v>2</v>
      </c>
      <c r="J99" s="308"/>
    </row>
    <row r="100" spans="1:10" ht="13.8" thickBot="1">
      <c r="A100" s="309"/>
      <c r="B100" s="308"/>
      <c r="C100" s="306" t="s">
        <v>199</v>
      </c>
      <c r="D100" s="306" t="s">
        <v>200</v>
      </c>
      <c r="E100" s="306"/>
      <c r="F100" s="307">
        <v>0</v>
      </c>
      <c r="G100" s="307">
        <v>199401</v>
      </c>
      <c r="H100" s="307">
        <v>209912</v>
      </c>
      <c r="I100" s="306" t="s">
        <v>2</v>
      </c>
      <c r="J100" s="308"/>
    </row>
    <row r="101" spans="1:10" ht="13.8" thickBot="1">
      <c r="A101" s="309"/>
      <c r="B101" s="308"/>
      <c r="C101" s="306" t="s">
        <v>201</v>
      </c>
      <c r="D101" s="306" t="s">
        <v>202</v>
      </c>
      <c r="E101" s="306"/>
      <c r="F101" s="307">
        <v>0</v>
      </c>
      <c r="G101" s="307">
        <v>199401</v>
      </c>
      <c r="H101" s="307">
        <v>209912</v>
      </c>
      <c r="I101" s="306" t="s">
        <v>2</v>
      </c>
      <c r="J101" s="308"/>
    </row>
    <row r="102" spans="1:10" ht="13.8" thickBot="1">
      <c r="A102" s="309"/>
      <c r="B102" s="308"/>
      <c r="C102" s="306" t="s">
        <v>203</v>
      </c>
      <c r="D102" s="306" t="s">
        <v>204</v>
      </c>
      <c r="E102" s="306"/>
      <c r="F102" s="307">
        <v>0</v>
      </c>
      <c r="G102" s="307">
        <v>199401</v>
      </c>
      <c r="H102" s="307">
        <v>209912</v>
      </c>
      <c r="I102" s="306" t="s">
        <v>2</v>
      </c>
      <c r="J102" s="308"/>
    </row>
    <row r="103" spans="1:10" ht="13.8" thickBot="1">
      <c r="A103" s="309"/>
      <c r="B103" s="308"/>
      <c r="C103" s="306" t="s">
        <v>205</v>
      </c>
      <c r="D103" s="306" t="s">
        <v>206</v>
      </c>
      <c r="E103" s="306"/>
      <c r="F103" s="307">
        <v>0</v>
      </c>
      <c r="G103" s="307">
        <v>199401</v>
      </c>
      <c r="H103" s="307">
        <v>209912</v>
      </c>
      <c r="I103" s="306" t="s">
        <v>2</v>
      </c>
      <c r="J103" s="308"/>
    </row>
    <row r="104" spans="1:10" ht="13.8" thickBot="1">
      <c r="A104" s="309"/>
      <c r="B104" s="308"/>
      <c r="C104" s="306" t="s">
        <v>207</v>
      </c>
      <c r="D104" s="306" t="s">
        <v>208</v>
      </c>
      <c r="E104" s="306"/>
      <c r="F104" s="307">
        <v>0</v>
      </c>
      <c r="G104" s="307">
        <v>199401</v>
      </c>
      <c r="H104" s="307">
        <v>209912</v>
      </c>
      <c r="I104" s="306" t="s">
        <v>2</v>
      </c>
      <c r="J104" s="308"/>
    </row>
    <row r="105" spans="1:10" ht="13.8" thickBot="1">
      <c r="A105" s="309"/>
      <c r="B105" s="308"/>
      <c r="C105" s="306" t="s">
        <v>209</v>
      </c>
      <c r="D105" s="306" t="s">
        <v>210</v>
      </c>
      <c r="E105" s="306"/>
      <c r="F105" s="307">
        <v>0</v>
      </c>
      <c r="G105" s="307">
        <v>199401</v>
      </c>
      <c r="H105" s="307">
        <v>209912</v>
      </c>
      <c r="I105" s="306" t="s">
        <v>2</v>
      </c>
      <c r="J105" s="308"/>
    </row>
    <row r="106" spans="1:10" ht="13.8" thickBot="1">
      <c r="A106" s="309"/>
      <c r="B106" s="308"/>
      <c r="C106" s="306" t="s">
        <v>211</v>
      </c>
      <c r="D106" s="306" t="s">
        <v>212</v>
      </c>
      <c r="E106" s="306"/>
      <c r="F106" s="307">
        <v>0</v>
      </c>
      <c r="G106" s="307">
        <v>199401</v>
      </c>
      <c r="H106" s="307">
        <v>209912</v>
      </c>
      <c r="I106" s="306" t="s">
        <v>2</v>
      </c>
      <c r="J106" s="308"/>
    </row>
    <row r="107" spans="1:10" ht="13.8" thickBot="1">
      <c r="A107" s="309"/>
      <c r="B107" s="308"/>
      <c r="C107" s="306" t="s">
        <v>213</v>
      </c>
      <c r="D107" s="306" t="s">
        <v>214</v>
      </c>
      <c r="E107" s="306"/>
      <c r="F107" s="307">
        <v>0</v>
      </c>
      <c r="G107" s="307">
        <v>199401</v>
      </c>
      <c r="H107" s="307">
        <v>209912</v>
      </c>
      <c r="I107" s="306" t="s">
        <v>2</v>
      </c>
      <c r="J107" s="308"/>
    </row>
    <row r="108" spans="1:10" ht="13.8" thickBot="1">
      <c r="A108" s="309"/>
      <c r="B108" s="308"/>
      <c r="C108" s="306" t="s">
        <v>215</v>
      </c>
      <c r="D108" s="306" t="s">
        <v>216</v>
      </c>
      <c r="E108" s="306"/>
      <c r="F108" s="307">
        <v>0</v>
      </c>
      <c r="G108" s="307">
        <v>199401</v>
      </c>
      <c r="H108" s="307">
        <v>209912</v>
      </c>
      <c r="I108" s="306" t="s">
        <v>2</v>
      </c>
      <c r="J108" s="308"/>
    </row>
    <row r="109" spans="1:10" ht="13.8" thickBot="1">
      <c r="A109" s="309"/>
      <c r="B109" s="308"/>
      <c r="C109" s="306" t="s">
        <v>217</v>
      </c>
      <c r="D109" s="306" t="s">
        <v>218</v>
      </c>
      <c r="E109" s="306"/>
      <c r="F109" s="307">
        <v>0</v>
      </c>
      <c r="G109" s="307">
        <v>199401</v>
      </c>
      <c r="H109" s="307">
        <v>209912</v>
      </c>
      <c r="I109" s="306" t="s">
        <v>2</v>
      </c>
      <c r="J109" s="308"/>
    </row>
    <row r="110" spans="1:10" ht="13.8" thickBot="1">
      <c r="A110" s="309"/>
      <c r="B110" s="308"/>
      <c r="C110" s="306" t="s">
        <v>219</v>
      </c>
      <c r="D110" s="306" t="s">
        <v>220</v>
      </c>
      <c r="E110" s="306"/>
      <c r="F110" s="307">
        <v>0</v>
      </c>
      <c r="G110" s="307">
        <v>199401</v>
      </c>
      <c r="H110" s="307">
        <v>209912</v>
      </c>
      <c r="I110" s="306" t="s">
        <v>2</v>
      </c>
      <c r="J110" s="308"/>
    </row>
    <row r="111" spans="1:10" ht="13.8" thickBot="1">
      <c r="A111" s="309"/>
      <c r="B111" s="308"/>
      <c r="C111" s="306" t="s">
        <v>221</v>
      </c>
      <c r="D111" s="306" t="s">
        <v>222</v>
      </c>
      <c r="E111" s="306"/>
      <c r="F111" s="307">
        <v>0</v>
      </c>
      <c r="G111" s="307">
        <v>199401</v>
      </c>
      <c r="H111" s="307">
        <v>209912</v>
      </c>
      <c r="I111" s="306" t="s">
        <v>2</v>
      </c>
      <c r="J111" s="308"/>
    </row>
    <row r="112" spans="1:10" ht="13.8" thickBot="1">
      <c r="A112" s="309"/>
      <c r="B112" s="308"/>
      <c r="C112" s="306" t="s">
        <v>223</v>
      </c>
      <c r="D112" s="306" t="s">
        <v>224</v>
      </c>
      <c r="E112" s="306"/>
      <c r="F112" s="307">
        <v>0</v>
      </c>
      <c r="G112" s="307">
        <v>199401</v>
      </c>
      <c r="H112" s="307">
        <v>209912</v>
      </c>
      <c r="I112" s="306" t="s">
        <v>2</v>
      </c>
      <c r="J112" s="308"/>
    </row>
    <row r="113" spans="1:10" ht="13.8" thickBot="1">
      <c r="A113" s="309"/>
      <c r="B113" s="308"/>
      <c r="C113" s="306" t="s">
        <v>225</v>
      </c>
      <c r="D113" s="306" t="s">
        <v>226</v>
      </c>
      <c r="E113" s="306"/>
      <c r="F113" s="307">
        <v>0</v>
      </c>
      <c r="G113" s="307">
        <v>199401</v>
      </c>
      <c r="H113" s="307">
        <v>209912</v>
      </c>
      <c r="I113" s="306" t="s">
        <v>2</v>
      </c>
      <c r="J113" s="308"/>
    </row>
    <row r="114" spans="1:10" ht="13.8" thickBot="1">
      <c r="A114" s="309"/>
      <c r="B114" s="308"/>
      <c r="C114" s="306" t="s">
        <v>227</v>
      </c>
      <c r="D114" s="306" t="s">
        <v>228</v>
      </c>
      <c r="E114" s="306"/>
      <c r="F114" s="307">
        <v>0</v>
      </c>
      <c r="G114" s="307">
        <v>199401</v>
      </c>
      <c r="H114" s="307">
        <v>209912</v>
      </c>
      <c r="I114" s="306" t="s">
        <v>2</v>
      </c>
      <c r="J114" s="308"/>
    </row>
    <row r="115" spans="1:10" ht="13.8" thickBot="1">
      <c r="A115" s="309"/>
      <c r="B115" s="308"/>
      <c r="C115" s="306" t="s">
        <v>229</v>
      </c>
      <c r="D115" s="306" t="s">
        <v>230</v>
      </c>
      <c r="E115" s="306"/>
      <c r="F115" s="307">
        <v>0</v>
      </c>
      <c r="G115" s="307">
        <v>199401</v>
      </c>
      <c r="H115" s="307">
        <v>209912</v>
      </c>
      <c r="I115" s="306" t="s">
        <v>2</v>
      </c>
      <c r="J115" s="308"/>
    </row>
    <row r="116" spans="1:10" ht="13.8" thickBot="1">
      <c r="A116" s="309"/>
      <c r="B116" s="308"/>
      <c r="C116" s="306" t="s">
        <v>231</v>
      </c>
      <c r="D116" s="306" t="s">
        <v>232</v>
      </c>
      <c r="E116" s="306"/>
      <c r="F116" s="307">
        <v>0</v>
      </c>
      <c r="G116" s="307">
        <v>199401</v>
      </c>
      <c r="H116" s="307">
        <v>209912</v>
      </c>
      <c r="I116" s="306" t="s">
        <v>2</v>
      </c>
      <c r="J116" s="308"/>
    </row>
    <row r="117" spans="1:10" ht="13.8" thickBot="1">
      <c r="A117" s="309"/>
      <c r="B117" s="308"/>
      <c r="C117" s="306" t="s">
        <v>233</v>
      </c>
      <c r="D117" s="306" t="s">
        <v>234</v>
      </c>
      <c r="E117" s="306"/>
      <c r="F117" s="307">
        <v>0</v>
      </c>
      <c r="G117" s="307">
        <v>199401</v>
      </c>
      <c r="H117" s="307">
        <v>209912</v>
      </c>
      <c r="I117" s="306" t="s">
        <v>2</v>
      </c>
      <c r="J117" s="308"/>
    </row>
    <row r="118" spans="1:10" ht="13.8" thickBot="1">
      <c r="A118" s="309"/>
      <c r="B118" s="308"/>
      <c r="C118" s="306" t="s">
        <v>235</v>
      </c>
      <c r="D118" s="306" t="s">
        <v>236</v>
      </c>
      <c r="E118" s="306"/>
      <c r="F118" s="307">
        <v>0</v>
      </c>
      <c r="G118" s="307">
        <v>199401</v>
      </c>
      <c r="H118" s="307">
        <v>209912</v>
      </c>
      <c r="I118" s="306" t="s">
        <v>2</v>
      </c>
      <c r="J118" s="308"/>
    </row>
    <row r="119" spans="1:10" ht="13.8" thickBot="1">
      <c r="A119" s="309"/>
      <c r="B119" s="308"/>
      <c r="C119" s="306" t="s">
        <v>237</v>
      </c>
      <c r="D119" s="306" t="s">
        <v>238</v>
      </c>
      <c r="E119" s="306"/>
      <c r="F119" s="307">
        <v>0</v>
      </c>
      <c r="G119" s="307">
        <v>199401</v>
      </c>
      <c r="H119" s="307">
        <v>209912</v>
      </c>
      <c r="I119" s="306" t="s">
        <v>2</v>
      </c>
      <c r="J119" s="308"/>
    </row>
    <row r="120" spans="1:10" ht="13.8" thickBot="1">
      <c r="A120" s="309"/>
      <c r="B120" s="308"/>
      <c r="C120" s="306" t="s">
        <v>239</v>
      </c>
      <c r="D120" s="306" t="s">
        <v>240</v>
      </c>
      <c r="E120" s="306"/>
      <c r="F120" s="307">
        <v>0</v>
      </c>
      <c r="G120" s="307">
        <v>199401</v>
      </c>
      <c r="H120" s="307">
        <v>209912</v>
      </c>
      <c r="I120" s="306" t="s">
        <v>2</v>
      </c>
      <c r="J120" s="308"/>
    </row>
    <row r="121" spans="1:10" ht="13.8" thickBot="1">
      <c r="A121" s="309"/>
      <c r="B121" s="308"/>
      <c r="C121" s="306" t="s">
        <v>241</v>
      </c>
      <c r="D121" s="306" t="s">
        <v>242</v>
      </c>
      <c r="E121" s="306"/>
      <c r="F121" s="307">
        <v>0</v>
      </c>
      <c r="G121" s="307">
        <v>199401</v>
      </c>
      <c r="H121" s="307">
        <v>209912</v>
      </c>
      <c r="I121" s="306" t="s">
        <v>2</v>
      </c>
      <c r="J121" s="308"/>
    </row>
    <row r="122" spans="1:10" ht="13.8" thickBot="1">
      <c r="A122" s="309"/>
      <c r="B122" s="308"/>
      <c r="C122" s="306" t="s">
        <v>243</v>
      </c>
      <c r="D122" s="306" t="s">
        <v>244</v>
      </c>
      <c r="E122" s="306"/>
      <c r="F122" s="307">
        <v>0</v>
      </c>
      <c r="G122" s="307">
        <v>199401</v>
      </c>
      <c r="H122" s="307">
        <v>209912</v>
      </c>
      <c r="I122" s="306" t="s">
        <v>2</v>
      </c>
      <c r="J122" s="308"/>
    </row>
    <row r="123" spans="1:10" ht="13.8" thickBot="1">
      <c r="A123" s="309"/>
      <c r="B123" s="308"/>
      <c r="C123" s="306" t="s">
        <v>245</v>
      </c>
      <c r="D123" s="306" t="s">
        <v>246</v>
      </c>
      <c r="E123" s="306"/>
      <c r="F123" s="307">
        <v>0</v>
      </c>
      <c r="G123" s="307">
        <v>199401</v>
      </c>
      <c r="H123" s="307">
        <v>209912</v>
      </c>
      <c r="I123" s="306" t="s">
        <v>2</v>
      </c>
      <c r="J123" s="308"/>
    </row>
    <row r="124" spans="1:10" ht="13.8" thickBot="1">
      <c r="A124" s="309"/>
      <c r="B124" s="308"/>
      <c r="C124" s="306" t="s">
        <v>247</v>
      </c>
      <c r="D124" s="306" t="s">
        <v>248</v>
      </c>
      <c r="E124" s="306"/>
      <c r="F124" s="307">
        <v>0</v>
      </c>
      <c r="G124" s="307">
        <v>199401</v>
      </c>
      <c r="H124" s="307">
        <v>209912</v>
      </c>
      <c r="I124" s="306" t="s">
        <v>2</v>
      </c>
      <c r="J124" s="308"/>
    </row>
    <row r="125" spans="1:10" ht="13.8" thickBot="1">
      <c r="A125" s="309"/>
      <c r="B125" s="308"/>
      <c r="C125" s="306" t="s">
        <v>249</v>
      </c>
      <c r="D125" s="306" t="s">
        <v>250</v>
      </c>
      <c r="E125" s="306"/>
      <c r="F125" s="307">
        <v>0</v>
      </c>
      <c r="G125" s="307">
        <v>199401</v>
      </c>
      <c r="H125" s="307">
        <v>209912</v>
      </c>
      <c r="I125" s="306" t="s">
        <v>2</v>
      </c>
      <c r="J125" s="308"/>
    </row>
    <row r="126" spans="1:10" ht="13.8" thickBot="1">
      <c r="A126" s="309"/>
      <c r="B126" s="308"/>
      <c r="C126" s="306" t="s">
        <v>251</v>
      </c>
      <c r="D126" s="306" t="s">
        <v>252</v>
      </c>
      <c r="E126" s="306"/>
      <c r="F126" s="307">
        <v>0</v>
      </c>
      <c r="G126" s="307">
        <v>199401</v>
      </c>
      <c r="H126" s="307">
        <v>209912</v>
      </c>
      <c r="I126" s="306" t="s">
        <v>2</v>
      </c>
      <c r="J126" s="308"/>
    </row>
    <row r="127" spans="1:10" ht="13.8" thickBot="1">
      <c r="A127" s="309"/>
      <c r="B127" s="308"/>
      <c r="C127" s="306" t="s">
        <v>253</v>
      </c>
      <c r="D127" s="306" t="s">
        <v>254</v>
      </c>
      <c r="E127" s="306"/>
      <c r="F127" s="307">
        <v>0</v>
      </c>
      <c r="G127" s="307">
        <v>199401</v>
      </c>
      <c r="H127" s="307">
        <v>209912</v>
      </c>
      <c r="I127" s="306" t="s">
        <v>2</v>
      </c>
      <c r="J127" s="308"/>
    </row>
    <row r="128" spans="1:10" ht="13.8" thickBot="1">
      <c r="A128" s="309"/>
      <c r="B128" s="308"/>
      <c r="C128" s="306" t="s">
        <v>255</v>
      </c>
      <c r="D128" s="306" t="s">
        <v>256</v>
      </c>
      <c r="E128" s="306"/>
      <c r="F128" s="307">
        <v>0</v>
      </c>
      <c r="G128" s="307">
        <v>199401</v>
      </c>
      <c r="H128" s="307">
        <v>209912</v>
      </c>
      <c r="I128" s="306" t="s">
        <v>2</v>
      </c>
      <c r="J128" s="308"/>
    </row>
    <row r="129" spans="1:10" ht="13.8" thickBot="1">
      <c r="A129" s="309"/>
      <c r="B129" s="308"/>
      <c r="C129" s="306" t="s">
        <v>257</v>
      </c>
      <c r="D129" s="306" t="s">
        <v>258</v>
      </c>
      <c r="E129" s="306"/>
      <c r="F129" s="307">
        <v>0</v>
      </c>
      <c r="G129" s="307">
        <v>199401</v>
      </c>
      <c r="H129" s="307">
        <v>209912</v>
      </c>
      <c r="I129" s="306" t="s">
        <v>2</v>
      </c>
      <c r="J129" s="308"/>
    </row>
    <row r="130" spans="1:10" ht="13.8" thickBot="1">
      <c r="A130" s="309"/>
      <c r="B130" s="308"/>
      <c r="C130" s="306" t="s">
        <v>259</v>
      </c>
      <c r="D130" s="306" t="s">
        <v>260</v>
      </c>
      <c r="E130" s="306"/>
      <c r="F130" s="307">
        <v>0</v>
      </c>
      <c r="G130" s="307">
        <v>199401</v>
      </c>
      <c r="H130" s="307">
        <v>209912</v>
      </c>
      <c r="I130" s="306" t="s">
        <v>2</v>
      </c>
      <c r="J130" s="308"/>
    </row>
    <row r="131" spans="1:10" ht="13.8" thickBot="1">
      <c r="A131" s="309"/>
      <c r="B131" s="308"/>
      <c r="C131" s="306" t="s">
        <v>261</v>
      </c>
      <c r="D131" s="306" t="s">
        <v>262</v>
      </c>
      <c r="E131" s="306"/>
      <c r="F131" s="307">
        <v>0</v>
      </c>
      <c r="G131" s="307">
        <v>199401</v>
      </c>
      <c r="H131" s="307">
        <v>209912</v>
      </c>
      <c r="I131" s="306" t="s">
        <v>2</v>
      </c>
      <c r="J131" s="308"/>
    </row>
    <row r="132" spans="1:10" ht="13.8" thickBot="1">
      <c r="A132" s="309"/>
      <c r="B132" s="308"/>
      <c r="C132" s="306" t="s">
        <v>263</v>
      </c>
      <c r="D132" s="306" t="s">
        <v>264</v>
      </c>
      <c r="E132" s="306"/>
      <c r="F132" s="307">
        <v>0</v>
      </c>
      <c r="G132" s="307">
        <v>199401</v>
      </c>
      <c r="H132" s="307">
        <v>209912</v>
      </c>
      <c r="I132" s="306" t="s">
        <v>2</v>
      </c>
      <c r="J132" s="308"/>
    </row>
    <row r="133" spans="1:10" ht="13.8" thickBot="1">
      <c r="A133" s="309"/>
      <c r="B133" s="308"/>
      <c r="C133" s="306" t="s">
        <v>265</v>
      </c>
      <c r="D133" s="306" t="s">
        <v>266</v>
      </c>
      <c r="E133" s="306"/>
      <c r="F133" s="307">
        <v>0</v>
      </c>
      <c r="G133" s="307">
        <v>199401</v>
      </c>
      <c r="H133" s="307">
        <v>209912</v>
      </c>
      <c r="I133" s="306" t="s">
        <v>2</v>
      </c>
      <c r="J133" s="308"/>
    </row>
    <row r="134" spans="1:10" ht="13.8" thickBot="1">
      <c r="A134" s="309"/>
      <c r="B134" s="308"/>
      <c r="C134" s="306" t="s">
        <v>267</v>
      </c>
      <c r="D134" s="306" t="s">
        <v>268</v>
      </c>
      <c r="E134" s="306"/>
      <c r="F134" s="307">
        <v>0</v>
      </c>
      <c r="G134" s="307">
        <v>199401</v>
      </c>
      <c r="H134" s="307">
        <v>209912</v>
      </c>
      <c r="I134" s="306" t="s">
        <v>2</v>
      </c>
      <c r="J134" s="308"/>
    </row>
    <row r="135" spans="1:10" ht="13.8" thickBot="1">
      <c r="A135" s="309"/>
      <c r="B135" s="308"/>
      <c r="C135" s="306" t="s">
        <v>269</v>
      </c>
      <c r="D135" s="306" t="s">
        <v>270</v>
      </c>
      <c r="E135" s="306"/>
      <c r="F135" s="307">
        <v>0</v>
      </c>
      <c r="G135" s="307">
        <v>199401</v>
      </c>
      <c r="H135" s="307">
        <v>209912</v>
      </c>
      <c r="I135" s="306" t="s">
        <v>2</v>
      </c>
      <c r="J135" s="308"/>
    </row>
    <row r="136" spans="1:10" ht="13.8" thickBot="1">
      <c r="A136" s="309"/>
      <c r="B136" s="308"/>
      <c r="C136" s="306" t="s">
        <v>271</v>
      </c>
      <c r="D136" s="306" t="s">
        <v>272</v>
      </c>
      <c r="E136" s="306"/>
      <c r="F136" s="307">
        <v>0</v>
      </c>
      <c r="G136" s="307">
        <v>199401</v>
      </c>
      <c r="H136" s="307">
        <v>209912</v>
      </c>
      <c r="I136" s="306" t="s">
        <v>2</v>
      </c>
      <c r="J136" s="308"/>
    </row>
    <row r="137" spans="1:10" ht="13.8" thickBot="1">
      <c r="A137" s="309"/>
      <c r="B137" s="308"/>
      <c r="C137" s="306" t="s">
        <v>273</v>
      </c>
      <c r="D137" s="306" t="s">
        <v>274</v>
      </c>
      <c r="E137" s="306"/>
      <c r="F137" s="307">
        <v>0</v>
      </c>
      <c r="G137" s="307">
        <v>199401</v>
      </c>
      <c r="H137" s="307">
        <v>209912</v>
      </c>
      <c r="I137" s="306" t="s">
        <v>2</v>
      </c>
      <c r="J137" s="308"/>
    </row>
    <row r="138" spans="1:10" ht="13.8" thickBot="1">
      <c r="A138" s="309"/>
      <c r="B138" s="308"/>
      <c r="C138" s="306" t="s">
        <v>275</v>
      </c>
      <c r="D138" s="306" t="s">
        <v>276</v>
      </c>
      <c r="E138" s="306"/>
      <c r="F138" s="307">
        <v>0</v>
      </c>
      <c r="G138" s="307">
        <v>199401</v>
      </c>
      <c r="H138" s="307">
        <v>209912</v>
      </c>
      <c r="I138" s="306" t="s">
        <v>2</v>
      </c>
      <c r="J138" s="308"/>
    </row>
    <row r="139" spans="1:10" ht="13.8" thickBot="1">
      <c r="A139" s="309"/>
      <c r="B139" s="308"/>
      <c r="C139" s="306" t="s">
        <v>277</v>
      </c>
      <c r="D139" s="306" t="s">
        <v>278</v>
      </c>
      <c r="E139" s="306"/>
      <c r="F139" s="307">
        <v>0</v>
      </c>
      <c r="G139" s="307">
        <v>199401</v>
      </c>
      <c r="H139" s="307">
        <v>209912</v>
      </c>
      <c r="I139" s="306" t="s">
        <v>2</v>
      </c>
      <c r="J139" s="308"/>
    </row>
    <row r="140" spans="1:10" ht="13.8" thickBot="1">
      <c r="A140" s="309"/>
      <c r="B140" s="308"/>
      <c r="C140" s="306" t="s">
        <v>279</v>
      </c>
      <c r="D140" s="306" t="s">
        <v>280</v>
      </c>
      <c r="E140" s="306"/>
      <c r="F140" s="307">
        <v>0</v>
      </c>
      <c r="G140" s="307">
        <v>199401</v>
      </c>
      <c r="H140" s="307">
        <v>209912</v>
      </c>
      <c r="I140" s="306" t="s">
        <v>2</v>
      </c>
      <c r="J140" s="308"/>
    </row>
    <row r="141" spans="1:10" ht="13.8" thickBot="1">
      <c r="A141" s="309"/>
      <c r="B141" s="308"/>
      <c r="C141" s="306" t="s">
        <v>281</v>
      </c>
      <c r="D141" s="306" t="s">
        <v>282</v>
      </c>
      <c r="E141" s="306"/>
      <c r="F141" s="307">
        <v>0</v>
      </c>
      <c r="G141" s="307">
        <v>199401</v>
      </c>
      <c r="H141" s="307">
        <v>209912</v>
      </c>
      <c r="I141" s="306" t="s">
        <v>2</v>
      </c>
      <c r="J141" s="308"/>
    </row>
    <row r="142" spans="1:10" ht="13.8" thickBot="1">
      <c r="A142" s="309"/>
      <c r="B142" s="308"/>
      <c r="C142" s="306" t="s">
        <v>283</v>
      </c>
      <c r="D142" s="306" t="s">
        <v>284</v>
      </c>
      <c r="E142" s="306"/>
      <c r="F142" s="307">
        <v>0</v>
      </c>
      <c r="G142" s="307">
        <v>199401</v>
      </c>
      <c r="H142" s="307">
        <v>209912</v>
      </c>
      <c r="I142" s="306" t="s">
        <v>2</v>
      </c>
      <c r="J142" s="308"/>
    </row>
    <row r="143" spans="1:10" ht="13.8" thickBot="1">
      <c r="A143" s="309"/>
      <c r="B143" s="308"/>
      <c r="C143" s="306" t="s">
        <v>285</v>
      </c>
      <c r="D143" s="306" t="s">
        <v>286</v>
      </c>
      <c r="E143" s="306"/>
      <c r="F143" s="307">
        <v>0</v>
      </c>
      <c r="G143" s="307">
        <v>199401</v>
      </c>
      <c r="H143" s="307">
        <v>209912</v>
      </c>
      <c r="I143" s="306" t="s">
        <v>2</v>
      </c>
      <c r="J143" s="308"/>
    </row>
    <row r="144" spans="1:10" ht="13.8" thickBot="1">
      <c r="A144" s="309"/>
      <c r="B144" s="308"/>
      <c r="C144" s="306" t="s">
        <v>287</v>
      </c>
      <c r="D144" s="306" t="s">
        <v>288</v>
      </c>
      <c r="E144" s="306"/>
      <c r="F144" s="307">
        <v>0</v>
      </c>
      <c r="G144" s="307">
        <v>199401</v>
      </c>
      <c r="H144" s="307">
        <v>209912</v>
      </c>
      <c r="I144" s="306" t="s">
        <v>2</v>
      </c>
      <c r="J144" s="308"/>
    </row>
    <row r="145" spans="1:10" ht="13.8" thickBot="1">
      <c r="A145" s="309"/>
      <c r="B145" s="308"/>
      <c r="C145" s="306" t="s">
        <v>289</v>
      </c>
      <c r="D145" s="306" t="s">
        <v>290</v>
      </c>
      <c r="E145" s="306"/>
      <c r="F145" s="307">
        <v>0</v>
      </c>
      <c r="G145" s="307">
        <v>199401</v>
      </c>
      <c r="H145" s="307">
        <v>209912</v>
      </c>
      <c r="I145" s="306" t="s">
        <v>2</v>
      </c>
      <c r="J145" s="308"/>
    </row>
    <row r="146" spans="1:10" ht="13.8" thickBot="1">
      <c r="A146" s="309"/>
      <c r="B146" s="308"/>
      <c r="C146" s="306" t="s">
        <v>291</v>
      </c>
      <c r="D146" s="306" t="s">
        <v>292</v>
      </c>
      <c r="E146" s="306"/>
      <c r="F146" s="307">
        <v>0</v>
      </c>
      <c r="G146" s="307">
        <v>199401</v>
      </c>
      <c r="H146" s="307">
        <v>209912</v>
      </c>
      <c r="I146" s="306" t="s">
        <v>2</v>
      </c>
      <c r="J146" s="308"/>
    </row>
    <row r="147" spans="1:10" ht="13.8" thickBot="1">
      <c r="A147" s="309"/>
      <c r="B147" s="308"/>
      <c r="C147" s="306" t="s">
        <v>293</v>
      </c>
      <c r="D147" s="306" t="s">
        <v>294</v>
      </c>
      <c r="E147" s="306"/>
      <c r="F147" s="307">
        <v>0</v>
      </c>
      <c r="G147" s="307">
        <v>199401</v>
      </c>
      <c r="H147" s="307">
        <v>209912</v>
      </c>
      <c r="I147" s="306" t="s">
        <v>2</v>
      </c>
      <c r="J147" s="308"/>
    </row>
    <row r="148" spans="1:10" ht="13.8" thickBot="1">
      <c r="A148" s="309"/>
      <c r="B148" s="308"/>
      <c r="C148" s="306" t="s">
        <v>295</v>
      </c>
      <c r="D148" s="306" t="s">
        <v>296</v>
      </c>
      <c r="E148" s="306"/>
      <c r="F148" s="307">
        <v>0</v>
      </c>
      <c r="G148" s="307">
        <v>199401</v>
      </c>
      <c r="H148" s="307">
        <v>209912</v>
      </c>
      <c r="I148" s="306" t="s">
        <v>2</v>
      </c>
      <c r="J148" s="308"/>
    </row>
    <row r="149" spans="1:10" ht="13.8" thickBot="1">
      <c r="A149" s="309"/>
      <c r="B149" s="308"/>
      <c r="C149" s="306" t="s">
        <v>297</v>
      </c>
      <c r="D149" s="306" t="s">
        <v>298</v>
      </c>
      <c r="E149" s="306"/>
      <c r="F149" s="307">
        <v>0</v>
      </c>
      <c r="G149" s="307">
        <v>199401</v>
      </c>
      <c r="H149" s="307">
        <v>209912</v>
      </c>
      <c r="I149" s="306" t="s">
        <v>2</v>
      </c>
      <c r="J149" s="308"/>
    </row>
    <row r="150" spans="1:10" ht="13.8" thickBot="1">
      <c r="A150" s="309"/>
      <c r="B150" s="308"/>
      <c r="C150" s="306" t="s">
        <v>299</v>
      </c>
      <c r="D150" s="306" t="s">
        <v>300</v>
      </c>
      <c r="E150" s="306"/>
      <c r="F150" s="307">
        <v>0</v>
      </c>
      <c r="G150" s="307">
        <v>199401</v>
      </c>
      <c r="H150" s="307">
        <v>209912</v>
      </c>
      <c r="I150" s="306" t="s">
        <v>2</v>
      </c>
      <c r="J150" s="308"/>
    </row>
    <row r="151" spans="1:10" ht="13.8" thickBot="1">
      <c r="A151" s="309"/>
      <c r="B151" s="308"/>
      <c r="C151" s="306" t="s">
        <v>301</v>
      </c>
      <c r="D151" s="306" t="s">
        <v>302</v>
      </c>
      <c r="E151" s="306"/>
      <c r="F151" s="307">
        <v>0</v>
      </c>
      <c r="G151" s="307">
        <v>199401</v>
      </c>
      <c r="H151" s="307">
        <v>209912</v>
      </c>
      <c r="I151" s="306" t="s">
        <v>2</v>
      </c>
      <c r="J151" s="308"/>
    </row>
    <row r="152" spans="1:10" ht="13.8" thickBot="1">
      <c r="A152" s="309"/>
      <c r="B152" s="308"/>
      <c r="C152" s="306" t="s">
        <v>303</v>
      </c>
      <c r="D152" s="306" t="s">
        <v>304</v>
      </c>
      <c r="E152" s="306"/>
      <c r="F152" s="307">
        <v>0</v>
      </c>
      <c r="G152" s="307">
        <v>199401</v>
      </c>
      <c r="H152" s="307">
        <v>209912</v>
      </c>
      <c r="I152" s="306" t="s">
        <v>2</v>
      </c>
      <c r="J152" s="308"/>
    </row>
    <row r="153" spans="1:10" ht="13.8" thickBot="1">
      <c r="A153" s="309"/>
      <c r="B153" s="308"/>
      <c r="C153" s="306" t="s">
        <v>305</v>
      </c>
      <c r="D153" s="306" t="s">
        <v>306</v>
      </c>
      <c r="E153" s="306"/>
      <c r="F153" s="307">
        <v>0</v>
      </c>
      <c r="G153" s="307">
        <v>199401</v>
      </c>
      <c r="H153" s="307">
        <v>209912</v>
      </c>
      <c r="I153" s="306" t="s">
        <v>2</v>
      </c>
      <c r="J153" s="308"/>
    </row>
    <row r="154" spans="1:10" ht="13.8" thickBot="1">
      <c r="A154" s="309"/>
      <c r="B154" s="308"/>
      <c r="C154" s="306" t="s">
        <v>307</v>
      </c>
      <c r="D154" s="306" t="s">
        <v>308</v>
      </c>
      <c r="E154" s="306"/>
      <c r="F154" s="307">
        <v>0</v>
      </c>
      <c r="G154" s="307">
        <v>199401</v>
      </c>
      <c r="H154" s="307">
        <v>209912</v>
      </c>
      <c r="I154" s="306" t="s">
        <v>2</v>
      </c>
      <c r="J154" s="308"/>
    </row>
    <row r="155" spans="1:10" ht="13.8" thickBot="1">
      <c r="A155" s="309"/>
      <c r="B155" s="308"/>
      <c r="C155" s="306" t="s">
        <v>309</v>
      </c>
      <c r="D155" s="306" t="s">
        <v>310</v>
      </c>
      <c r="E155" s="306"/>
      <c r="F155" s="307">
        <v>0</v>
      </c>
      <c r="G155" s="307">
        <v>199401</v>
      </c>
      <c r="H155" s="307">
        <v>209912</v>
      </c>
      <c r="I155" s="306" t="s">
        <v>2</v>
      </c>
      <c r="J155" s="308"/>
    </row>
    <row r="156" spans="1:10" ht="13.8" thickBot="1">
      <c r="A156" s="309"/>
      <c r="B156" s="308"/>
      <c r="C156" s="306" t="s">
        <v>311</v>
      </c>
      <c r="D156" s="306" t="s">
        <v>312</v>
      </c>
      <c r="E156" s="306"/>
      <c r="F156" s="307">
        <v>0</v>
      </c>
      <c r="G156" s="307">
        <v>199401</v>
      </c>
      <c r="H156" s="307">
        <v>209912</v>
      </c>
      <c r="I156" s="306" t="s">
        <v>2</v>
      </c>
      <c r="J156" s="308"/>
    </row>
    <row r="157" spans="1:10" ht="13.8" thickBot="1">
      <c r="A157" s="309"/>
      <c r="B157" s="308"/>
      <c r="C157" s="306" t="s">
        <v>313</v>
      </c>
      <c r="D157" s="306" t="s">
        <v>314</v>
      </c>
      <c r="E157" s="306"/>
      <c r="F157" s="307">
        <v>0</v>
      </c>
      <c r="G157" s="307">
        <v>199401</v>
      </c>
      <c r="H157" s="307">
        <v>209912</v>
      </c>
      <c r="I157" s="306" t="s">
        <v>2</v>
      </c>
      <c r="J157" s="308"/>
    </row>
    <row r="158" spans="1:10" ht="13.8" thickBot="1">
      <c r="A158" s="309"/>
      <c r="B158" s="308"/>
      <c r="C158" s="306" t="s">
        <v>315</v>
      </c>
      <c r="D158" s="306" t="s">
        <v>316</v>
      </c>
      <c r="E158" s="306"/>
      <c r="F158" s="307">
        <v>0</v>
      </c>
      <c r="G158" s="307">
        <v>199401</v>
      </c>
      <c r="H158" s="307">
        <v>209912</v>
      </c>
      <c r="I158" s="306" t="s">
        <v>2</v>
      </c>
      <c r="J158" s="308"/>
    </row>
    <row r="159" spans="1:10" ht="13.8" thickBot="1">
      <c r="A159" s="309"/>
      <c r="B159" s="308"/>
      <c r="C159" s="306" t="s">
        <v>317</v>
      </c>
      <c r="D159" s="306" t="s">
        <v>318</v>
      </c>
      <c r="E159" s="306"/>
      <c r="F159" s="307">
        <v>0</v>
      </c>
      <c r="G159" s="307">
        <v>199401</v>
      </c>
      <c r="H159" s="307">
        <v>209912</v>
      </c>
      <c r="I159" s="306" t="s">
        <v>2</v>
      </c>
      <c r="J159" s="308"/>
    </row>
    <row r="160" spans="1:10" ht="13.8" thickBot="1">
      <c r="A160" s="309"/>
      <c r="B160" s="308"/>
      <c r="C160" s="306" t="s">
        <v>319</v>
      </c>
      <c r="D160" s="306" t="s">
        <v>320</v>
      </c>
      <c r="E160" s="306"/>
      <c r="F160" s="307">
        <v>0</v>
      </c>
      <c r="G160" s="307">
        <v>199401</v>
      </c>
      <c r="H160" s="307">
        <v>209912</v>
      </c>
      <c r="I160" s="306" t="s">
        <v>2</v>
      </c>
      <c r="J160" s="308"/>
    </row>
    <row r="161" spans="1:10" ht="13.8" thickBot="1">
      <c r="A161" s="309"/>
      <c r="B161" s="308"/>
      <c r="C161" s="306" t="s">
        <v>321</v>
      </c>
      <c r="D161" s="306" t="s">
        <v>322</v>
      </c>
      <c r="E161" s="306"/>
      <c r="F161" s="307">
        <v>0</v>
      </c>
      <c r="G161" s="307">
        <v>199401</v>
      </c>
      <c r="H161" s="307">
        <v>209912</v>
      </c>
      <c r="I161" s="306" t="s">
        <v>2</v>
      </c>
      <c r="J161" s="308"/>
    </row>
    <row r="162" spans="1:10" ht="13.8" thickBot="1">
      <c r="A162" s="309"/>
      <c r="B162" s="308"/>
      <c r="C162" s="306" t="s">
        <v>323</v>
      </c>
      <c r="D162" s="306" t="s">
        <v>324</v>
      </c>
      <c r="E162" s="306"/>
      <c r="F162" s="307">
        <v>0</v>
      </c>
      <c r="G162" s="307">
        <v>199401</v>
      </c>
      <c r="H162" s="307">
        <v>209912</v>
      </c>
      <c r="I162" s="306" t="s">
        <v>2</v>
      </c>
      <c r="J162" s="308"/>
    </row>
    <row r="163" spans="1:10" ht="13.8" thickBot="1">
      <c r="A163" s="309"/>
      <c r="B163" s="308"/>
      <c r="C163" s="306" t="s">
        <v>325</v>
      </c>
      <c r="D163" s="306" t="s">
        <v>326</v>
      </c>
      <c r="E163" s="306"/>
      <c r="F163" s="307">
        <v>0</v>
      </c>
      <c r="G163" s="307">
        <v>199401</v>
      </c>
      <c r="H163" s="307">
        <v>209912</v>
      </c>
      <c r="I163" s="306" t="s">
        <v>2</v>
      </c>
      <c r="J163" s="308"/>
    </row>
    <row r="164" spans="1:10" ht="13.8" thickBot="1">
      <c r="A164" s="309"/>
      <c r="B164" s="308"/>
      <c r="C164" s="306" t="s">
        <v>327</v>
      </c>
      <c r="D164" s="306" t="s">
        <v>328</v>
      </c>
      <c r="E164" s="306"/>
      <c r="F164" s="307">
        <v>0</v>
      </c>
      <c r="G164" s="307">
        <v>199401</v>
      </c>
      <c r="H164" s="307">
        <v>209912</v>
      </c>
      <c r="I164" s="306" t="s">
        <v>2</v>
      </c>
      <c r="J164" s="308"/>
    </row>
    <row r="165" spans="1:10" ht="13.8" thickBot="1">
      <c r="A165" s="309"/>
      <c r="B165" s="308"/>
      <c r="C165" s="306" t="s">
        <v>329</v>
      </c>
      <c r="D165" s="306" t="s">
        <v>330</v>
      </c>
      <c r="E165" s="306"/>
      <c r="F165" s="307">
        <v>0</v>
      </c>
      <c r="G165" s="307">
        <v>199401</v>
      </c>
      <c r="H165" s="307">
        <v>209912</v>
      </c>
      <c r="I165" s="306" t="s">
        <v>2</v>
      </c>
      <c r="J165" s="308"/>
    </row>
    <row r="166" spans="1:10" ht="13.8" thickBot="1">
      <c r="A166" s="309"/>
      <c r="B166" s="308"/>
      <c r="C166" s="306" t="s">
        <v>331</v>
      </c>
      <c r="D166" s="306" t="s">
        <v>332</v>
      </c>
      <c r="E166" s="306"/>
      <c r="F166" s="307">
        <v>0</v>
      </c>
      <c r="G166" s="307">
        <v>199401</v>
      </c>
      <c r="H166" s="307">
        <v>209912</v>
      </c>
      <c r="I166" s="306" t="s">
        <v>2</v>
      </c>
      <c r="J166" s="308"/>
    </row>
    <row r="167" spans="1:10" ht="13.8" thickBot="1">
      <c r="A167" s="309"/>
      <c r="B167" s="308"/>
      <c r="C167" s="306" t="s">
        <v>333</v>
      </c>
      <c r="D167" s="306" t="s">
        <v>334</v>
      </c>
      <c r="E167" s="306"/>
      <c r="F167" s="307">
        <v>0</v>
      </c>
      <c r="G167" s="307">
        <v>199401</v>
      </c>
      <c r="H167" s="307">
        <v>209912</v>
      </c>
      <c r="I167" s="306" t="s">
        <v>2</v>
      </c>
      <c r="J167" s="308"/>
    </row>
    <row r="168" spans="1:10" ht="13.8" thickBot="1">
      <c r="A168" s="309"/>
      <c r="B168" s="308"/>
      <c r="C168" s="306" t="s">
        <v>335</v>
      </c>
      <c r="D168" s="306" t="s">
        <v>336</v>
      </c>
      <c r="E168" s="306"/>
      <c r="F168" s="307">
        <v>0</v>
      </c>
      <c r="G168" s="307">
        <v>199401</v>
      </c>
      <c r="H168" s="307">
        <v>209912</v>
      </c>
      <c r="I168" s="306" t="s">
        <v>2</v>
      </c>
      <c r="J168" s="308"/>
    </row>
    <row r="169" spans="1:10" ht="13.8" thickBot="1">
      <c r="A169" s="309"/>
      <c r="B169" s="308"/>
      <c r="C169" s="306" t="s">
        <v>337</v>
      </c>
      <c r="D169" s="306" t="s">
        <v>338</v>
      </c>
      <c r="E169" s="306"/>
      <c r="F169" s="307">
        <v>0</v>
      </c>
      <c r="G169" s="307">
        <v>199401</v>
      </c>
      <c r="H169" s="307">
        <v>209912</v>
      </c>
      <c r="I169" s="306" t="s">
        <v>2</v>
      </c>
      <c r="J169" s="308"/>
    </row>
    <row r="170" spans="1:10" ht="13.8" thickBot="1">
      <c r="A170" s="309"/>
      <c r="B170" s="308"/>
      <c r="C170" s="306" t="s">
        <v>339</v>
      </c>
      <c r="D170" s="306" t="s">
        <v>340</v>
      </c>
      <c r="E170" s="306"/>
      <c r="F170" s="307">
        <v>0</v>
      </c>
      <c r="G170" s="307">
        <v>199401</v>
      </c>
      <c r="H170" s="307">
        <v>209912</v>
      </c>
      <c r="I170" s="306" t="s">
        <v>2</v>
      </c>
      <c r="J170" s="308"/>
    </row>
    <row r="171" spans="1:10" ht="13.8" thickBot="1">
      <c r="A171" s="309"/>
      <c r="B171" s="308"/>
      <c r="C171" s="306" t="s">
        <v>341</v>
      </c>
      <c r="D171" s="306" t="s">
        <v>342</v>
      </c>
      <c r="E171" s="306"/>
      <c r="F171" s="307">
        <v>0</v>
      </c>
      <c r="G171" s="307">
        <v>199401</v>
      </c>
      <c r="H171" s="307">
        <v>209912</v>
      </c>
      <c r="I171" s="306" t="s">
        <v>2</v>
      </c>
      <c r="J171" s="308"/>
    </row>
    <row r="172" spans="1:10" ht="13.8" thickBot="1">
      <c r="A172" s="309"/>
      <c r="B172" s="308"/>
      <c r="C172" s="306" t="s">
        <v>343</v>
      </c>
      <c r="D172" s="306" t="s">
        <v>344</v>
      </c>
      <c r="E172" s="306"/>
      <c r="F172" s="307">
        <v>0</v>
      </c>
      <c r="G172" s="307">
        <v>199401</v>
      </c>
      <c r="H172" s="307">
        <v>209912</v>
      </c>
      <c r="I172" s="306" t="s">
        <v>2</v>
      </c>
      <c r="J172" s="308"/>
    </row>
    <row r="173" spans="1:10" ht="13.8" thickBot="1">
      <c r="A173" s="309"/>
      <c r="B173" s="308"/>
      <c r="C173" s="306" t="s">
        <v>345</v>
      </c>
      <c r="D173" s="306" t="s">
        <v>346</v>
      </c>
      <c r="E173" s="306"/>
      <c r="F173" s="307">
        <v>0</v>
      </c>
      <c r="G173" s="307">
        <v>199401</v>
      </c>
      <c r="H173" s="307">
        <v>209912</v>
      </c>
      <c r="I173" s="306" t="s">
        <v>2</v>
      </c>
      <c r="J173" s="308"/>
    </row>
    <row r="174" spans="1:10" ht="13.8" thickBot="1">
      <c r="A174" s="309"/>
      <c r="B174" s="308"/>
      <c r="C174" s="306" t="s">
        <v>347</v>
      </c>
      <c r="D174" s="306" t="s">
        <v>348</v>
      </c>
      <c r="E174" s="306"/>
      <c r="F174" s="307">
        <v>0</v>
      </c>
      <c r="G174" s="307">
        <v>199401</v>
      </c>
      <c r="H174" s="307">
        <v>209912</v>
      </c>
      <c r="I174" s="306" t="s">
        <v>2</v>
      </c>
      <c r="J174" s="308"/>
    </row>
    <row r="175" spans="1:10" ht="13.8" thickBot="1">
      <c r="A175" s="309"/>
      <c r="B175" s="308"/>
      <c r="C175" s="306" t="s">
        <v>349</v>
      </c>
      <c r="D175" s="306" t="s">
        <v>350</v>
      </c>
      <c r="E175" s="306"/>
      <c r="F175" s="307">
        <v>0</v>
      </c>
      <c r="G175" s="307">
        <v>199401</v>
      </c>
      <c r="H175" s="307">
        <v>209912</v>
      </c>
      <c r="I175" s="306" t="s">
        <v>2</v>
      </c>
      <c r="J175" s="308"/>
    </row>
    <row r="176" spans="1:10" ht="13.8" thickBot="1">
      <c r="A176" s="309"/>
      <c r="B176" s="308"/>
      <c r="C176" s="306" t="s">
        <v>351</v>
      </c>
      <c r="D176" s="306" t="s">
        <v>352</v>
      </c>
      <c r="E176" s="306"/>
      <c r="F176" s="307">
        <v>0</v>
      </c>
      <c r="G176" s="307">
        <v>199401</v>
      </c>
      <c r="H176" s="307">
        <v>209912</v>
      </c>
      <c r="I176" s="306" t="s">
        <v>2</v>
      </c>
      <c r="J176" s="308"/>
    </row>
    <row r="177" spans="1:10" ht="13.8" thickBot="1">
      <c r="A177" s="309"/>
      <c r="B177" s="308"/>
      <c r="C177" s="306" t="s">
        <v>353</v>
      </c>
      <c r="D177" s="306" t="s">
        <v>354</v>
      </c>
      <c r="E177" s="306"/>
      <c r="F177" s="307">
        <v>0</v>
      </c>
      <c r="G177" s="307">
        <v>199401</v>
      </c>
      <c r="H177" s="307">
        <v>209912</v>
      </c>
      <c r="I177" s="306" t="s">
        <v>2</v>
      </c>
      <c r="J177" s="308"/>
    </row>
    <row r="178" spans="1:10" ht="13.8" thickBot="1">
      <c r="A178" s="309"/>
      <c r="B178" s="308"/>
      <c r="C178" s="306" t="s">
        <v>355</v>
      </c>
      <c r="D178" s="306" t="s">
        <v>356</v>
      </c>
      <c r="E178" s="306"/>
      <c r="F178" s="307">
        <v>0</v>
      </c>
      <c r="G178" s="307">
        <v>199401</v>
      </c>
      <c r="H178" s="307">
        <v>209912</v>
      </c>
      <c r="I178" s="306" t="s">
        <v>2</v>
      </c>
      <c r="J178" s="308"/>
    </row>
    <row r="179" spans="1:10" ht="13.8" thickBot="1">
      <c r="A179" s="309"/>
      <c r="B179" s="308"/>
      <c r="C179" s="306" t="s">
        <v>357</v>
      </c>
      <c r="D179" s="306" t="s">
        <v>358</v>
      </c>
      <c r="E179" s="306"/>
      <c r="F179" s="307">
        <v>0</v>
      </c>
      <c r="G179" s="307">
        <v>199401</v>
      </c>
      <c r="H179" s="307">
        <v>209912</v>
      </c>
      <c r="I179" s="306" t="s">
        <v>2</v>
      </c>
      <c r="J179" s="308"/>
    </row>
    <row r="180" spans="1:10" ht="13.8" thickBot="1">
      <c r="A180" s="309"/>
      <c r="B180" s="308"/>
      <c r="C180" s="306" t="s">
        <v>359</v>
      </c>
      <c r="D180" s="306" t="s">
        <v>360</v>
      </c>
      <c r="E180" s="306"/>
      <c r="F180" s="307">
        <v>0</v>
      </c>
      <c r="G180" s="307">
        <v>199401</v>
      </c>
      <c r="H180" s="307">
        <v>209912</v>
      </c>
      <c r="I180" s="306" t="s">
        <v>2</v>
      </c>
      <c r="J180" s="308"/>
    </row>
    <row r="181" spans="1:10" ht="13.8" thickBot="1">
      <c r="A181" s="309"/>
      <c r="B181" s="308"/>
      <c r="C181" s="306" t="s">
        <v>361</v>
      </c>
      <c r="D181" s="306" t="s">
        <v>362</v>
      </c>
      <c r="E181" s="306"/>
      <c r="F181" s="307">
        <v>0</v>
      </c>
      <c r="G181" s="307">
        <v>199401</v>
      </c>
      <c r="H181" s="307">
        <v>209912</v>
      </c>
      <c r="I181" s="306" t="s">
        <v>2</v>
      </c>
      <c r="J181" s="308"/>
    </row>
    <row r="182" spans="1:10" ht="13.8" thickBot="1">
      <c r="A182" s="309"/>
      <c r="B182" s="308"/>
      <c r="C182" s="306" t="s">
        <v>363</v>
      </c>
      <c r="D182" s="306" t="s">
        <v>364</v>
      </c>
      <c r="E182" s="306"/>
      <c r="F182" s="307">
        <v>0</v>
      </c>
      <c r="G182" s="307">
        <v>199401</v>
      </c>
      <c r="H182" s="307">
        <v>209912</v>
      </c>
      <c r="I182" s="306" t="s">
        <v>2</v>
      </c>
      <c r="J182" s="308"/>
    </row>
    <row r="183" spans="1:10" ht="13.8" thickBot="1">
      <c r="A183" s="309"/>
      <c r="B183" s="308"/>
      <c r="C183" s="306" t="s">
        <v>365</v>
      </c>
      <c r="D183" s="306" t="s">
        <v>366</v>
      </c>
      <c r="E183" s="306"/>
      <c r="F183" s="307">
        <v>0</v>
      </c>
      <c r="G183" s="307">
        <v>199401</v>
      </c>
      <c r="H183" s="307">
        <v>209912</v>
      </c>
      <c r="I183" s="306" t="s">
        <v>2</v>
      </c>
      <c r="J183" s="308"/>
    </row>
    <row r="184" spans="1:10" ht="13.8" thickBot="1">
      <c r="A184" s="309"/>
      <c r="B184" s="308"/>
      <c r="C184" s="306" t="s">
        <v>367</v>
      </c>
      <c r="D184" s="306" t="s">
        <v>368</v>
      </c>
      <c r="E184" s="306"/>
      <c r="F184" s="307">
        <v>0</v>
      </c>
      <c r="G184" s="307">
        <v>199401</v>
      </c>
      <c r="H184" s="307">
        <v>209912</v>
      </c>
      <c r="I184" s="306" t="s">
        <v>2</v>
      </c>
      <c r="J184" s="308"/>
    </row>
    <row r="185" spans="1:10" ht="13.8" thickBot="1">
      <c r="A185" s="309"/>
      <c r="B185" s="308"/>
      <c r="C185" s="306" t="s">
        <v>369</v>
      </c>
      <c r="D185" s="306" t="s">
        <v>370</v>
      </c>
      <c r="E185" s="306"/>
      <c r="F185" s="307">
        <v>0</v>
      </c>
      <c r="G185" s="307">
        <v>199401</v>
      </c>
      <c r="H185" s="307">
        <v>209912</v>
      </c>
      <c r="I185" s="306" t="s">
        <v>2</v>
      </c>
      <c r="J185" s="308"/>
    </row>
    <row r="186" spans="1:10" ht="13.8" thickBot="1">
      <c r="A186" s="309"/>
      <c r="B186" s="308"/>
      <c r="C186" s="306" t="s">
        <v>371</v>
      </c>
      <c r="D186" s="306" t="s">
        <v>372</v>
      </c>
      <c r="E186" s="306"/>
      <c r="F186" s="307">
        <v>0</v>
      </c>
      <c r="G186" s="307">
        <v>199401</v>
      </c>
      <c r="H186" s="307">
        <v>209912</v>
      </c>
      <c r="I186" s="306" t="s">
        <v>2</v>
      </c>
      <c r="J186" s="308"/>
    </row>
    <row r="187" spans="1:10" ht="13.8" thickBot="1">
      <c r="A187" s="309"/>
      <c r="B187" s="308"/>
      <c r="C187" s="306" t="s">
        <v>373</v>
      </c>
      <c r="D187" s="306" t="s">
        <v>374</v>
      </c>
      <c r="E187" s="306"/>
      <c r="F187" s="307">
        <v>0</v>
      </c>
      <c r="G187" s="307">
        <v>199401</v>
      </c>
      <c r="H187" s="307">
        <v>209912</v>
      </c>
      <c r="I187" s="306" t="s">
        <v>2</v>
      </c>
      <c r="J187" s="308"/>
    </row>
    <row r="188" spans="1:10" ht="13.8" thickBot="1">
      <c r="A188" s="309"/>
      <c r="B188" s="308"/>
      <c r="C188" s="306" t="s">
        <v>375</v>
      </c>
      <c r="D188" s="306" t="s">
        <v>376</v>
      </c>
      <c r="E188" s="306"/>
      <c r="F188" s="307">
        <v>0</v>
      </c>
      <c r="G188" s="307">
        <v>199401</v>
      </c>
      <c r="H188" s="307">
        <v>209912</v>
      </c>
      <c r="I188" s="306" t="s">
        <v>2</v>
      </c>
      <c r="J188" s="308"/>
    </row>
    <row r="189" spans="1:10" ht="13.8" thickBot="1">
      <c r="A189" s="309"/>
      <c r="B189" s="308"/>
      <c r="C189" s="306" t="s">
        <v>377</v>
      </c>
      <c r="D189" s="306" t="s">
        <v>378</v>
      </c>
      <c r="E189" s="306"/>
      <c r="F189" s="307">
        <v>0</v>
      </c>
      <c r="G189" s="307">
        <v>199401</v>
      </c>
      <c r="H189" s="307">
        <v>209912</v>
      </c>
      <c r="I189" s="306" t="s">
        <v>2</v>
      </c>
      <c r="J189" s="308"/>
    </row>
    <row r="190" spans="1:10" ht="13.8" thickBot="1">
      <c r="A190" s="309"/>
      <c r="B190" s="308"/>
      <c r="C190" s="306" t="s">
        <v>379</v>
      </c>
      <c r="D190" s="306" t="s">
        <v>380</v>
      </c>
      <c r="E190" s="306"/>
      <c r="F190" s="307">
        <v>0</v>
      </c>
      <c r="G190" s="307">
        <v>199401</v>
      </c>
      <c r="H190" s="307">
        <v>209912</v>
      </c>
      <c r="I190" s="306" t="s">
        <v>2</v>
      </c>
      <c r="J190" s="308"/>
    </row>
    <row r="191" spans="1:10" ht="13.8" thickBot="1">
      <c r="A191" s="309"/>
      <c r="B191" s="308"/>
      <c r="C191" s="306" t="s">
        <v>381</v>
      </c>
      <c r="D191" s="306" t="s">
        <v>382</v>
      </c>
      <c r="E191" s="306"/>
      <c r="F191" s="307">
        <v>0</v>
      </c>
      <c r="G191" s="307">
        <v>199401</v>
      </c>
      <c r="H191" s="307">
        <v>209912</v>
      </c>
      <c r="I191" s="306" t="s">
        <v>2</v>
      </c>
      <c r="J191" s="308"/>
    </row>
    <row r="192" spans="1:10" ht="13.8" thickBot="1">
      <c r="A192" s="310"/>
      <c r="B192" s="311"/>
      <c r="C192" s="312" t="s">
        <v>383</v>
      </c>
      <c r="D192" s="312" t="s">
        <v>384</v>
      </c>
      <c r="E192" s="312"/>
      <c r="F192" s="313">
        <v>0</v>
      </c>
      <c r="G192" s="313">
        <v>199401</v>
      </c>
      <c r="H192" s="313">
        <v>209912</v>
      </c>
      <c r="I192" s="312" t="s">
        <v>2</v>
      </c>
      <c r="J192" s="3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BEAC-8F1D-430F-B55C-135C58AB30B8}">
  <sheetPr codeName="Sheet15"/>
  <dimension ref="A1:AD316"/>
  <sheetViews>
    <sheetView workbookViewId="0"/>
  </sheetViews>
  <sheetFormatPr defaultRowHeight="13.2"/>
  <cols>
    <col min="4" max="4" width="16.44140625" customWidth="1"/>
    <col min="5" max="5" width="21.44140625" customWidth="1"/>
    <col min="6" max="6" width="14.77734375" customWidth="1"/>
    <col min="11" max="11" width="15.77734375" customWidth="1"/>
    <col min="12" max="12" width="19.77734375" customWidth="1"/>
    <col min="14" max="14" width="19" customWidth="1"/>
    <col min="18" max="18" width="16.5546875" customWidth="1"/>
    <col min="30" max="30" width="0" hidden="1" customWidth="1"/>
  </cols>
  <sheetData>
    <row r="1" spans="1:18" ht="14.4">
      <c r="A1" s="423"/>
      <c r="B1" s="419"/>
      <c r="C1" s="419"/>
      <c r="D1" s="419"/>
      <c r="E1" s="419"/>
      <c r="F1" s="419"/>
      <c r="G1" s="419"/>
      <c r="H1" s="419"/>
      <c r="I1" s="419"/>
      <c r="J1" s="419"/>
      <c r="K1" s="419"/>
      <c r="L1" s="419"/>
      <c r="M1" s="419"/>
      <c r="N1" s="419"/>
    </row>
    <row r="2" spans="1:18" ht="14.4">
      <c r="A2" s="420"/>
      <c r="B2" s="420"/>
      <c r="C2" s="420"/>
      <c r="D2" s="421"/>
      <c r="E2" s="421"/>
      <c r="F2" s="421"/>
      <c r="G2" s="421"/>
      <c r="H2" s="421"/>
      <c r="I2" s="420"/>
      <c r="J2" s="421"/>
      <c r="K2" s="421"/>
      <c r="L2" s="421"/>
      <c r="M2" s="420"/>
      <c r="N2" s="420"/>
    </row>
    <row r="3" spans="1:18" ht="14.4">
      <c r="A3" s="420"/>
      <c r="B3" s="420"/>
      <c r="C3" s="420"/>
      <c r="D3" s="421"/>
      <c r="E3" s="421"/>
      <c r="F3" s="421"/>
      <c r="G3" s="421"/>
      <c r="H3" s="421"/>
      <c r="I3" s="420"/>
      <c r="J3" s="421"/>
      <c r="K3" s="421"/>
      <c r="L3" s="421"/>
      <c r="M3" s="420"/>
      <c r="N3" s="420"/>
      <c r="R3" s="251"/>
    </row>
    <row r="4" spans="1:18" ht="14.4">
      <c r="A4" s="420"/>
      <c r="B4" s="420"/>
      <c r="C4" s="420"/>
      <c r="D4" s="421"/>
      <c r="E4" s="421"/>
      <c r="F4" s="421"/>
      <c r="G4" s="421"/>
      <c r="H4" s="421"/>
      <c r="I4" s="420"/>
      <c r="J4" s="421"/>
      <c r="K4" s="421"/>
      <c r="L4" s="421"/>
      <c r="M4" s="420"/>
      <c r="N4" s="420"/>
    </row>
    <row r="5" spans="1:18" ht="14.4">
      <c r="A5" s="420"/>
      <c r="B5" s="420"/>
      <c r="C5" s="420"/>
      <c r="D5" s="421"/>
      <c r="E5" s="421"/>
      <c r="F5" s="421"/>
      <c r="G5" s="421"/>
      <c r="H5" s="421"/>
      <c r="I5" s="420"/>
      <c r="J5" s="421"/>
      <c r="K5" s="421"/>
      <c r="L5" s="421"/>
      <c r="M5" s="420"/>
      <c r="N5" s="420"/>
    </row>
    <row r="6" spans="1:18" ht="14.4">
      <c r="A6" s="420"/>
      <c r="B6" s="420"/>
      <c r="C6" s="420"/>
      <c r="D6" s="421"/>
      <c r="E6" s="421"/>
      <c r="F6" s="421"/>
      <c r="G6" s="421"/>
      <c r="H6" s="421"/>
      <c r="I6" s="420"/>
      <c r="J6" s="421"/>
      <c r="K6" s="421"/>
      <c r="L6" s="421"/>
      <c r="M6" s="420"/>
      <c r="N6" s="420"/>
    </row>
    <row r="7" spans="1:18" ht="14.4">
      <c r="A7" s="420"/>
      <c r="B7" s="420"/>
      <c r="C7" s="420"/>
      <c r="D7" s="421"/>
      <c r="E7" s="421"/>
      <c r="F7" s="421"/>
      <c r="G7" s="421"/>
      <c r="H7" s="421"/>
      <c r="I7" s="420"/>
      <c r="J7" s="421"/>
      <c r="K7" s="421"/>
      <c r="L7" s="421"/>
      <c r="M7" s="420"/>
      <c r="N7" s="420"/>
    </row>
    <row r="8" spans="1:18" ht="14.4">
      <c r="A8" s="420"/>
      <c r="B8" s="420"/>
      <c r="C8" s="420"/>
      <c r="D8" s="421"/>
      <c r="E8" s="421"/>
      <c r="F8" s="421"/>
      <c r="G8" s="421"/>
      <c r="H8" s="421"/>
      <c r="I8" s="420"/>
      <c r="J8" s="421"/>
      <c r="K8" s="421"/>
      <c r="L8" s="421"/>
      <c r="M8" s="420"/>
      <c r="N8" s="420"/>
    </row>
    <row r="9" spans="1:18" ht="14.4">
      <c r="A9" s="420"/>
      <c r="B9" s="420"/>
      <c r="C9" s="420"/>
      <c r="D9" s="421"/>
      <c r="E9" s="421"/>
      <c r="F9" s="421"/>
      <c r="G9" s="421"/>
      <c r="H9" s="421"/>
      <c r="I9" s="420"/>
      <c r="J9" s="421"/>
      <c r="K9" s="421"/>
      <c r="L9" s="421"/>
      <c r="M9" s="420"/>
      <c r="N9" s="420"/>
    </row>
    <row r="10" spans="1:18" ht="14.4">
      <c r="A10" s="420"/>
      <c r="B10" s="420"/>
      <c r="C10" s="420"/>
      <c r="D10" s="421"/>
      <c r="E10" s="421"/>
      <c r="F10" s="421"/>
      <c r="G10" s="421"/>
      <c r="H10" s="421"/>
      <c r="I10" s="420"/>
      <c r="J10" s="421"/>
      <c r="K10" s="421"/>
      <c r="L10" s="421"/>
      <c r="M10" s="420"/>
      <c r="N10" s="420"/>
    </row>
    <row r="11" spans="1:18" ht="14.4">
      <c r="A11" s="420"/>
      <c r="B11" s="420"/>
      <c r="C11" s="420"/>
      <c r="D11" s="421"/>
      <c r="E11" s="421"/>
      <c r="F11" s="421"/>
      <c r="G11" s="421"/>
      <c r="H11" s="421"/>
      <c r="I11" s="420"/>
      <c r="J11" s="421"/>
      <c r="K11" s="421"/>
      <c r="L11" s="421"/>
      <c r="M11" s="420"/>
      <c r="N11" s="420"/>
    </row>
    <row r="12" spans="1:18" ht="14.4">
      <c r="A12" s="420"/>
      <c r="B12" s="420"/>
      <c r="C12" s="420"/>
      <c r="D12" s="421"/>
      <c r="E12" s="421"/>
      <c r="F12" s="421"/>
      <c r="G12" s="421"/>
      <c r="H12" s="421"/>
      <c r="I12" s="420"/>
      <c r="J12" s="421"/>
      <c r="K12" s="421"/>
      <c r="L12" s="421"/>
      <c r="M12" s="420"/>
      <c r="N12" s="420"/>
    </row>
    <row r="13" spans="1:18" ht="14.4">
      <c r="A13" s="420"/>
      <c r="B13" s="420"/>
      <c r="C13" s="420"/>
      <c r="D13" s="421"/>
      <c r="E13" s="421"/>
      <c r="F13" s="421"/>
      <c r="G13" s="421"/>
      <c r="H13" s="421"/>
      <c r="I13" s="420"/>
      <c r="J13" s="421"/>
      <c r="K13" s="421"/>
      <c r="L13" s="421"/>
      <c r="M13" s="420"/>
      <c r="N13" s="420"/>
    </row>
    <row r="14" spans="1:18" ht="14.4">
      <c r="A14" s="420"/>
      <c r="B14" s="420"/>
      <c r="C14" s="420"/>
      <c r="D14" s="421"/>
      <c r="E14" s="421"/>
      <c r="F14" s="421"/>
      <c r="G14" s="421"/>
      <c r="H14" s="421"/>
      <c r="I14" s="420"/>
      <c r="J14" s="421"/>
      <c r="K14" s="421"/>
      <c r="L14" s="421"/>
      <c r="M14" s="420"/>
      <c r="N14" s="420"/>
    </row>
    <row r="15" spans="1:18" ht="14.4">
      <c r="A15" s="420"/>
      <c r="B15" s="420"/>
      <c r="C15" s="420"/>
      <c r="D15" s="421"/>
      <c r="E15" s="421"/>
      <c r="F15" s="421"/>
      <c r="G15" s="421"/>
      <c r="H15" s="421"/>
      <c r="I15" s="420"/>
      <c r="J15" s="421"/>
      <c r="K15" s="421"/>
      <c r="L15" s="421"/>
      <c r="M15" s="420"/>
      <c r="N15" s="420"/>
    </row>
    <row r="16" spans="1:18" ht="14.4">
      <c r="A16" s="420"/>
      <c r="B16" s="420"/>
      <c r="C16" s="420"/>
      <c r="D16" s="421"/>
      <c r="E16" s="421"/>
      <c r="F16" s="421"/>
      <c r="G16" s="421"/>
      <c r="H16" s="421"/>
      <c r="I16" s="420"/>
      <c r="J16" s="421"/>
      <c r="K16" s="421"/>
      <c r="L16" s="421"/>
      <c r="M16" s="420"/>
      <c r="N16" s="420"/>
    </row>
    <row r="17" spans="1:14" ht="14.4">
      <c r="A17" s="420"/>
      <c r="B17" s="420"/>
      <c r="C17" s="420"/>
      <c r="D17" s="421"/>
      <c r="E17" s="421"/>
      <c r="F17" s="421"/>
      <c r="G17" s="421"/>
      <c r="H17" s="421"/>
      <c r="I17" s="420"/>
      <c r="J17" s="421"/>
      <c r="K17" s="421"/>
      <c r="L17" s="421"/>
      <c r="M17" s="420"/>
      <c r="N17" s="420"/>
    </row>
    <row r="18" spans="1:14" ht="14.4">
      <c r="A18" s="420"/>
      <c r="B18" s="420"/>
      <c r="C18" s="420"/>
      <c r="D18" s="421"/>
      <c r="E18" s="421"/>
      <c r="F18" s="421"/>
      <c r="G18" s="421"/>
      <c r="H18" s="421"/>
      <c r="I18" s="420"/>
      <c r="J18" s="421"/>
      <c r="K18" s="421"/>
      <c r="L18" s="421"/>
      <c r="M18" s="420"/>
      <c r="N18" s="420"/>
    </row>
    <row r="19" spans="1:14" ht="14.4">
      <c r="A19" s="420"/>
      <c r="B19" s="420"/>
      <c r="C19" s="420"/>
      <c r="D19" s="421"/>
      <c r="E19" s="421"/>
      <c r="F19" s="421"/>
      <c r="G19" s="421"/>
      <c r="H19" s="421"/>
      <c r="I19" s="420"/>
      <c r="J19" s="421"/>
      <c r="K19" s="421"/>
      <c r="L19" s="421"/>
      <c r="M19" s="420"/>
      <c r="N19" s="420"/>
    </row>
    <row r="20" spans="1:14" ht="14.4">
      <c r="A20" s="420"/>
      <c r="B20" s="420"/>
      <c r="C20" s="420"/>
      <c r="D20" s="421"/>
      <c r="E20" s="421"/>
      <c r="F20" s="421"/>
      <c r="G20" s="421"/>
      <c r="H20" s="421"/>
      <c r="I20" s="420"/>
      <c r="J20" s="421"/>
      <c r="K20" s="421"/>
      <c r="L20" s="421"/>
      <c r="M20" s="420"/>
      <c r="N20" s="420"/>
    </row>
    <row r="21" spans="1:14" ht="14.4">
      <c r="A21" s="420"/>
      <c r="B21" s="420"/>
      <c r="C21" s="420"/>
      <c r="D21" s="421"/>
      <c r="E21" s="421"/>
      <c r="F21" s="421"/>
      <c r="G21" s="421"/>
      <c r="H21" s="421"/>
      <c r="I21" s="420"/>
      <c r="J21" s="421"/>
      <c r="K21" s="421"/>
      <c r="L21" s="421"/>
      <c r="M21" s="420"/>
      <c r="N21" s="420"/>
    </row>
    <row r="22" spans="1:14" ht="14.4">
      <c r="A22" s="420"/>
      <c r="B22" s="420"/>
      <c r="C22" s="420"/>
      <c r="D22" s="421"/>
      <c r="E22" s="421"/>
      <c r="F22" s="421"/>
      <c r="G22" s="421"/>
      <c r="H22" s="421"/>
      <c r="I22" s="420"/>
      <c r="J22" s="421"/>
      <c r="K22" s="421"/>
      <c r="L22" s="421"/>
      <c r="M22" s="420"/>
      <c r="N22" s="420"/>
    </row>
    <row r="23" spans="1:14" ht="14.4">
      <c r="A23" s="420"/>
      <c r="B23" s="420"/>
      <c r="C23" s="420"/>
      <c r="D23" s="421"/>
      <c r="E23" s="421"/>
      <c r="F23" s="421"/>
      <c r="G23" s="421"/>
      <c r="H23" s="421"/>
      <c r="I23" s="420"/>
      <c r="J23" s="421"/>
      <c r="K23" s="421"/>
      <c r="L23" s="421"/>
      <c r="M23" s="420"/>
      <c r="N23" s="420"/>
    </row>
    <row r="24" spans="1:14" ht="14.4">
      <c r="A24" s="420"/>
      <c r="B24" s="420"/>
      <c r="C24" s="420"/>
      <c r="D24" s="421"/>
      <c r="E24" s="421"/>
      <c r="F24" s="421"/>
      <c r="G24" s="421"/>
      <c r="H24" s="421"/>
      <c r="I24" s="420"/>
      <c r="J24" s="421"/>
      <c r="K24" s="421"/>
      <c r="L24" s="421"/>
      <c r="M24" s="420"/>
      <c r="N24" s="420"/>
    </row>
    <row r="25" spans="1:14" ht="14.4">
      <c r="A25" s="420"/>
      <c r="B25" s="420"/>
      <c r="C25" s="420"/>
      <c r="D25" s="421"/>
      <c r="E25" s="421"/>
      <c r="F25" s="421"/>
      <c r="G25" s="421"/>
      <c r="H25" s="421"/>
      <c r="I25" s="420"/>
      <c r="J25" s="421"/>
      <c r="K25" s="421"/>
      <c r="L25" s="421"/>
      <c r="M25" s="420"/>
      <c r="N25" s="420"/>
    </row>
    <row r="26" spans="1:14" ht="14.4">
      <c r="A26" s="420"/>
      <c r="B26" s="420"/>
      <c r="C26" s="420"/>
      <c r="D26" s="421"/>
      <c r="E26" s="421"/>
      <c r="F26" s="421"/>
      <c r="G26" s="421"/>
      <c r="H26" s="421"/>
      <c r="I26" s="420"/>
      <c r="J26" s="421"/>
      <c r="K26" s="421"/>
      <c r="L26" s="421"/>
      <c r="M26" s="420"/>
      <c r="N26" s="420"/>
    </row>
    <row r="27" spans="1:14" ht="14.4">
      <c r="A27" s="420"/>
      <c r="B27" s="420"/>
      <c r="C27" s="420"/>
      <c r="D27" s="421"/>
      <c r="E27" s="421"/>
      <c r="F27" s="421"/>
      <c r="G27" s="421"/>
      <c r="H27" s="421"/>
      <c r="I27" s="420"/>
      <c r="J27" s="421"/>
      <c r="K27" s="421"/>
      <c r="L27" s="421"/>
      <c r="M27" s="420"/>
      <c r="N27" s="420"/>
    </row>
    <row r="28" spans="1:14" ht="14.4">
      <c r="A28" s="420"/>
      <c r="B28" s="420"/>
      <c r="C28" s="420"/>
      <c r="D28" s="421"/>
      <c r="E28" s="421"/>
      <c r="F28" s="421"/>
      <c r="G28" s="421"/>
      <c r="H28" s="421"/>
      <c r="I28" s="420"/>
      <c r="J28" s="421"/>
      <c r="K28" s="421"/>
      <c r="L28" s="421"/>
      <c r="M28" s="420"/>
      <c r="N28" s="420"/>
    </row>
    <row r="29" spans="1:14" ht="14.4">
      <c r="A29" s="420"/>
      <c r="B29" s="420"/>
      <c r="C29" s="420"/>
      <c r="D29" s="421"/>
      <c r="E29" s="421"/>
      <c r="F29" s="421"/>
      <c r="G29" s="421"/>
      <c r="H29" s="421"/>
      <c r="I29" s="420"/>
      <c r="J29" s="421"/>
      <c r="K29" s="421"/>
      <c r="L29" s="421"/>
      <c r="M29" s="420"/>
      <c r="N29" s="420"/>
    </row>
    <row r="30" spans="1:14" ht="14.4">
      <c r="A30" s="420"/>
      <c r="B30" s="420"/>
      <c r="C30" s="420"/>
      <c r="D30" s="421"/>
      <c r="E30" s="421"/>
      <c r="F30" s="421"/>
      <c r="G30" s="421"/>
      <c r="H30" s="421"/>
      <c r="I30" s="420"/>
      <c r="J30" s="421"/>
      <c r="K30" s="421"/>
      <c r="L30" s="421"/>
      <c r="M30" s="420"/>
      <c r="N30" s="420"/>
    </row>
    <row r="31" spans="1:14" ht="14.4">
      <c r="A31" s="420"/>
      <c r="B31" s="420"/>
      <c r="C31" s="420"/>
      <c r="D31" s="421"/>
      <c r="E31" s="421"/>
      <c r="F31" s="421"/>
      <c r="G31" s="421"/>
      <c r="H31" s="421"/>
      <c r="I31" s="420"/>
      <c r="J31" s="421"/>
      <c r="K31" s="421"/>
      <c r="L31" s="421"/>
      <c r="M31" s="420"/>
      <c r="N31" s="420"/>
    </row>
    <row r="32" spans="1:14" ht="14.4">
      <c r="A32" s="420"/>
      <c r="B32" s="420"/>
      <c r="C32" s="420"/>
      <c r="D32" s="421"/>
      <c r="E32" s="421"/>
      <c r="F32" s="421"/>
      <c r="G32" s="421"/>
      <c r="H32" s="421"/>
      <c r="I32" s="420"/>
      <c r="J32" s="421"/>
      <c r="K32" s="421"/>
      <c r="L32" s="421"/>
      <c r="M32" s="420"/>
      <c r="N32" s="420"/>
    </row>
    <row r="33" spans="1:14" ht="14.4">
      <c r="A33" s="420"/>
      <c r="B33" s="420"/>
      <c r="C33" s="420"/>
      <c r="D33" s="421"/>
      <c r="E33" s="421"/>
      <c r="F33" s="421"/>
      <c r="G33" s="421"/>
      <c r="H33" s="421"/>
      <c r="I33" s="420"/>
      <c r="J33" s="421"/>
      <c r="K33" s="421"/>
      <c r="L33" s="421"/>
      <c r="M33" s="420"/>
      <c r="N33" s="420"/>
    </row>
    <row r="34" spans="1:14" ht="14.4">
      <c r="A34" s="420"/>
      <c r="B34" s="420"/>
      <c r="C34" s="420"/>
      <c r="D34" s="421"/>
      <c r="E34" s="421"/>
      <c r="F34" s="421"/>
      <c r="G34" s="421"/>
      <c r="H34" s="421"/>
      <c r="I34" s="420"/>
      <c r="J34" s="421"/>
      <c r="K34" s="421"/>
      <c r="L34" s="421"/>
      <c r="M34" s="420"/>
      <c r="N34" s="420"/>
    </row>
    <row r="35" spans="1:14" ht="14.4">
      <c r="A35" s="420"/>
      <c r="B35" s="420"/>
      <c r="C35" s="420"/>
      <c r="D35" s="421"/>
      <c r="E35" s="421"/>
      <c r="F35" s="421"/>
      <c r="G35" s="421"/>
      <c r="H35" s="421"/>
      <c r="I35" s="420"/>
      <c r="J35" s="421"/>
      <c r="K35" s="421"/>
      <c r="L35" s="421"/>
      <c r="M35" s="420"/>
      <c r="N35" s="420"/>
    </row>
    <row r="36" spans="1:14" ht="14.4">
      <c r="A36" s="420"/>
      <c r="B36" s="420"/>
      <c r="C36" s="420"/>
      <c r="D36" s="421"/>
      <c r="E36" s="421"/>
      <c r="F36" s="421"/>
      <c r="G36" s="421"/>
      <c r="H36" s="421"/>
      <c r="I36" s="420"/>
      <c r="J36" s="421"/>
      <c r="K36" s="421"/>
      <c r="L36" s="421"/>
      <c r="M36" s="420"/>
      <c r="N36" s="420"/>
    </row>
    <row r="37" spans="1:14" ht="14.4">
      <c r="A37" s="420"/>
      <c r="B37" s="420"/>
      <c r="C37" s="420"/>
      <c r="D37" s="421"/>
      <c r="E37" s="421"/>
      <c r="F37" s="421"/>
      <c r="G37" s="421"/>
      <c r="H37" s="421"/>
      <c r="I37" s="420"/>
      <c r="J37" s="421"/>
      <c r="K37" s="421"/>
      <c r="L37" s="421"/>
      <c r="M37" s="420"/>
      <c r="N37" s="420"/>
    </row>
    <row r="38" spans="1:14" ht="14.4">
      <c r="A38" s="420"/>
      <c r="B38" s="420"/>
      <c r="C38" s="420"/>
      <c r="D38" s="421"/>
      <c r="E38" s="421"/>
      <c r="F38" s="421"/>
      <c r="G38" s="421"/>
      <c r="H38" s="421"/>
      <c r="I38" s="420"/>
      <c r="J38" s="421"/>
      <c r="K38" s="421"/>
      <c r="L38" s="421"/>
      <c r="M38" s="420"/>
      <c r="N38" s="420"/>
    </row>
    <row r="39" spans="1:14" ht="14.4">
      <c r="A39" s="420"/>
      <c r="B39" s="420"/>
      <c r="C39" s="420"/>
      <c r="D39" s="421"/>
      <c r="E39" s="421"/>
      <c r="F39" s="421"/>
      <c r="G39" s="421"/>
      <c r="H39" s="421"/>
      <c r="I39" s="420"/>
      <c r="J39" s="421"/>
      <c r="K39" s="421"/>
      <c r="L39" s="421"/>
      <c r="M39" s="420"/>
      <c r="N39" s="420"/>
    </row>
    <row r="40" spans="1:14" ht="14.4">
      <c r="A40" s="420"/>
      <c r="B40" s="420"/>
      <c r="C40" s="420"/>
      <c r="D40" s="421"/>
      <c r="E40" s="421"/>
      <c r="F40" s="421"/>
      <c r="G40" s="421"/>
      <c r="H40" s="421"/>
      <c r="I40" s="420"/>
      <c r="J40" s="421"/>
      <c r="K40" s="421"/>
      <c r="L40" s="421"/>
      <c r="M40" s="420"/>
      <c r="N40" s="420"/>
    </row>
    <row r="41" spans="1:14" ht="14.4">
      <c r="A41" s="420"/>
      <c r="B41" s="420"/>
      <c r="C41" s="420"/>
      <c r="D41" s="421"/>
      <c r="E41" s="421"/>
      <c r="F41" s="421"/>
      <c r="G41" s="421"/>
      <c r="H41" s="421"/>
      <c r="I41" s="420"/>
      <c r="J41" s="421"/>
      <c r="K41" s="421"/>
      <c r="L41" s="421"/>
      <c r="M41" s="420"/>
      <c r="N41" s="420"/>
    </row>
    <row r="42" spans="1:14" ht="14.4">
      <c r="A42" s="420"/>
      <c r="B42" s="420"/>
      <c r="C42" s="420"/>
      <c r="D42" s="421"/>
      <c r="E42" s="421"/>
      <c r="F42" s="421"/>
      <c r="G42" s="421"/>
      <c r="H42" s="421"/>
      <c r="I42" s="420"/>
      <c r="J42" s="421"/>
      <c r="K42" s="421"/>
      <c r="L42" s="421"/>
      <c r="M42" s="420"/>
      <c r="N42" s="420"/>
    </row>
    <row r="43" spans="1:14" ht="14.4">
      <c r="A43" s="420"/>
      <c r="B43" s="420"/>
      <c r="C43" s="420"/>
      <c r="D43" s="421"/>
      <c r="E43" s="421"/>
      <c r="F43" s="421"/>
      <c r="G43" s="421"/>
      <c r="H43" s="421"/>
      <c r="I43" s="420"/>
      <c r="J43" s="421"/>
      <c r="K43" s="421"/>
      <c r="L43" s="421"/>
      <c r="M43" s="420"/>
      <c r="N43" s="420"/>
    </row>
    <row r="44" spans="1:14" ht="14.4">
      <c r="A44" s="420"/>
      <c r="B44" s="420"/>
      <c r="C44" s="420"/>
      <c r="D44" s="421"/>
      <c r="E44" s="421"/>
      <c r="F44" s="421"/>
      <c r="G44" s="421"/>
      <c r="H44" s="421"/>
      <c r="I44" s="420"/>
      <c r="J44" s="421"/>
      <c r="K44" s="421"/>
      <c r="L44" s="421"/>
      <c r="M44" s="420"/>
      <c r="N44" s="420"/>
    </row>
    <row r="45" spans="1:14" ht="14.4">
      <c r="A45" s="420"/>
      <c r="B45" s="420"/>
      <c r="C45" s="420"/>
      <c r="D45" s="421"/>
      <c r="E45" s="421"/>
      <c r="F45" s="421"/>
      <c r="G45" s="421"/>
      <c r="H45" s="421"/>
      <c r="I45" s="420"/>
      <c r="J45" s="421"/>
      <c r="K45" s="421"/>
      <c r="L45" s="421"/>
      <c r="M45" s="420"/>
      <c r="N45" s="420"/>
    </row>
    <row r="46" spans="1:14" ht="14.4">
      <c r="A46" s="420"/>
      <c r="B46" s="420"/>
      <c r="C46" s="420"/>
      <c r="D46" s="421"/>
      <c r="E46" s="421"/>
      <c r="F46" s="421"/>
      <c r="G46" s="421"/>
      <c r="H46" s="421"/>
      <c r="I46" s="420"/>
      <c r="J46" s="421"/>
      <c r="K46" s="421"/>
      <c r="L46" s="421"/>
      <c r="M46" s="420"/>
      <c r="N46" s="420"/>
    </row>
    <row r="47" spans="1:14" ht="14.4">
      <c r="A47" s="420"/>
      <c r="B47" s="420"/>
      <c r="C47" s="420"/>
      <c r="D47" s="421"/>
      <c r="E47" s="421"/>
      <c r="F47" s="421"/>
      <c r="G47" s="421"/>
      <c r="H47" s="421"/>
      <c r="I47" s="420"/>
      <c r="J47" s="421"/>
      <c r="K47" s="421"/>
      <c r="L47" s="421"/>
      <c r="M47" s="420"/>
      <c r="N47" s="420"/>
    </row>
    <row r="48" spans="1:14" ht="14.4">
      <c r="A48" s="420"/>
      <c r="B48" s="420"/>
      <c r="C48" s="420"/>
      <c r="D48" s="421"/>
      <c r="E48" s="421"/>
      <c r="F48" s="421"/>
      <c r="G48" s="421"/>
      <c r="H48" s="421"/>
      <c r="I48" s="420"/>
      <c r="J48" s="421"/>
      <c r="K48" s="421"/>
      <c r="L48" s="421"/>
      <c r="M48" s="420"/>
      <c r="N48" s="420"/>
    </row>
    <row r="49" spans="1:14" ht="14.4">
      <c r="A49" s="420"/>
      <c r="B49" s="420"/>
      <c r="C49" s="420"/>
      <c r="D49" s="421"/>
      <c r="E49" s="421"/>
      <c r="F49" s="421"/>
      <c r="G49" s="421"/>
      <c r="H49" s="421"/>
      <c r="I49" s="420"/>
      <c r="J49" s="421"/>
      <c r="K49" s="421"/>
      <c r="L49" s="421"/>
      <c r="M49" s="420"/>
      <c r="N49" s="420"/>
    </row>
    <row r="50" spans="1:14" ht="14.4">
      <c r="A50" s="420"/>
      <c r="B50" s="420"/>
      <c r="C50" s="420"/>
      <c r="D50" s="421"/>
      <c r="E50" s="421"/>
      <c r="F50" s="421"/>
      <c r="G50" s="421"/>
      <c r="H50" s="421"/>
      <c r="I50" s="420"/>
      <c r="J50" s="421"/>
      <c r="K50" s="421"/>
      <c r="L50" s="421"/>
      <c r="M50" s="420"/>
      <c r="N50" s="420"/>
    </row>
    <row r="51" spans="1:14" ht="14.4">
      <c r="A51" s="420"/>
      <c r="B51" s="420"/>
      <c r="C51" s="420"/>
      <c r="D51" s="421"/>
      <c r="E51" s="421"/>
      <c r="F51" s="421"/>
      <c r="G51" s="421"/>
      <c r="H51" s="421"/>
      <c r="I51" s="420"/>
      <c r="J51" s="421"/>
      <c r="K51" s="421"/>
      <c r="L51" s="421"/>
      <c r="M51" s="420"/>
      <c r="N51" s="420"/>
    </row>
    <row r="52" spans="1:14" ht="14.4">
      <c r="A52" s="420"/>
      <c r="B52" s="420"/>
      <c r="C52" s="420"/>
      <c r="D52" s="421"/>
      <c r="E52" s="421"/>
      <c r="F52" s="421"/>
      <c r="G52" s="421"/>
      <c r="H52" s="421"/>
      <c r="I52" s="420"/>
      <c r="J52" s="421"/>
      <c r="K52" s="421"/>
      <c r="L52" s="421"/>
      <c r="M52" s="420"/>
      <c r="N52" s="420"/>
    </row>
    <row r="53" spans="1:14" ht="14.4">
      <c r="A53" s="420"/>
      <c r="B53" s="420"/>
      <c r="C53" s="420"/>
      <c r="D53" s="421"/>
      <c r="E53" s="421"/>
      <c r="F53" s="421"/>
      <c r="G53" s="421"/>
      <c r="H53" s="421"/>
      <c r="I53" s="420"/>
      <c r="J53" s="421"/>
      <c r="K53" s="421"/>
      <c r="L53" s="421"/>
      <c r="M53" s="420"/>
      <c r="N53" s="420"/>
    </row>
    <row r="54" spans="1:14" ht="14.4">
      <c r="A54" s="420"/>
      <c r="B54" s="420"/>
      <c r="C54" s="420"/>
      <c r="D54" s="421"/>
      <c r="E54" s="421"/>
      <c r="F54" s="421"/>
      <c r="G54" s="421"/>
      <c r="H54" s="421"/>
      <c r="I54" s="420"/>
      <c r="J54" s="421"/>
      <c r="K54" s="421"/>
      <c r="L54" s="421"/>
      <c r="M54" s="420"/>
      <c r="N54" s="420"/>
    </row>
    <row r="55" spans="1:14" ht="14.4">
      <c r="A55" s="420"/>
      <c r="B55" s="420"/>
      <c r="C55" s="420"/>
      <c r="D55" s="421"/>
      <c r="E55" s="421"/>
      <c r="F55" s="421"/>
      <c r="G55" s="421"/>
      <c r="H55" s="421"/>
      <c r="I55" s="420"/>
      <c r="J55" s="421"/>
      <c r="K55" s="421"/>
      <c r="L55" s="421"/>
      <c r="M55" s="420"/>
      <c r="N55" s="420"/>
    </row>
    <row r="56" spans="1:14" ht="14.4">
      <c r="A56" s="420"/>
      <c r="B56" s="420"/>
      <c r="C56" s="420"/>
      <c r="D56" s="421"/>
      <c r="E56" s="421"/>
      <c r="F56" s="421"/>
      <c r="G56" s="421"/>
      <c r="H56" s="421"/>
      <c r="I56" s="420"/>
      <c r="J56" s="421"/>
      <c r="K56" s="421"/>
      <c r="L56" s="421"/>
      <c r="M56" s="420"/>
      <c r="N56" s="420"/>
    </row>
    <row r="57" spans="1:14" ht="14.4">
      <c r="A57" s="420"/>
      <c r="B57" s="420"/>
      <c r="C57" s="420"/>
      <c r="D57" s="421"/>
      <c r="E57" s="421"/>
      <c r="F57" s="421"/>
      <c r="G57" s="421"/>
      <c r="H57" s="421"/>
      <c r="I57" s="420"/>
      <c r="J57" s="421"/>
      <c r="K57" s="421"/>
      <c r="L57" s="421"/>
      <c r="M57" s="420"/>
      <c r="N57" s="420"/>
    </row>
    <row r="58" spans="1:14" ht="14.4">
      <c r="A58" s="420"/>
      <c r="B58" s="420"/>
      <c r="C58" s="420"/>
      <c r="D58" s="421"/>
      <c r="E58" s="421"/>
      <c r="F58" s="421"/>
      <c r="G58" s="421"/>
      <c r="H58" s="421"/>
      <c r="I58" s="420"/>
      <c r="J58" s="421"/>
      <c r="K58" s="421"/>
      <c r="L58" s="421"/>
      <c r="M58" s="420"/>
      <c r="N58" s="420"/>
    </row>
    <row r="59" spans="1:14" ht="14.4">
      <c r="A59" s="420"/>
      <c r="B59" s="420"/>
      <c r="C59" s="420"/>
      <c r="D59" s="421"/>
      <c r="E59" s="421"/>
      <c r="F59" s="421"/>
      <c r="G59" s="421"/>
      <c r="H59" s="421"/>
      <c r="I59" s="420"/>
      <c r="J59" s="421"/>
      <c r="K59" s="421"/>
      <c r="L59" s="421"/>
      <c r="M59" s="420"/>
      <c r="N59" s="420"/>
    </row>
    <row r="60" spans="1:14" ht="14.4">
      <c r="A60" s="420"/>
      <c r="B60" s="420"/>
      <c r="C60" s="420"/>
      <c r="D60" s="421"/>
      <c r="E60" s="421"/>
      <c r="F60" s="421"/>
      <c r="G60" s="421"/>
      <c r="H60" s="421"/>
      <c r="I60" s="420"/>
      <c r="J60" s="421"/>
      <c r="K60" s="421"/>
      <c r="L60" s="421"/>
      <c r="M60" s="420"/>
      <c r="N60" s="420"/>
    </row>
    <row r="61" spans="1:14" ht="14.4">
      <c r="A61" s="420"/>
      <c r="B61" s="420"/>
      <c r="C61" s="420"/>
      <c r="D61" s="421"/>
      <c r="E61" s="421"/>
      <c r="F61" s="421"/>
      <c r="G61" s="421"/>
      <c r="H61" s="421"/>
      <c r="I61" s="420"/>
      <c r="J61" s="421"/>
      <c r="K61" s="421"/>
      <c r="L61" s="421"/>
      <c r="M61" s="420"/>
      <c r="N61" s="420"/>
    </row>
    <row r="62" spans="1:14" ht="14.4">
      <c r="A62" s="420"/>
      <c r="B62" s="420"/>
      <c r="C62" s="420"/>
      <c r="D62" s="421"/>
      <c r="E62" s="421"/>
      <c r="F62" s="421"/>
      <c r="G62" s="421"/>
      <c r="H62" s="421"/>
      <c r="I62" s="420"/>
      <c r="J62" s="421"/>
      <c r="K62" s="421"/>
      <c r="L62" s="421"/>
      <c r="M62" s="420"/>
      <c r="N62" s="420"/>
    </row>
    <row r="63" spans="1:14" ht="14.4">
      <c r="A63" s="420"/>
      <c r="B63" s="420"/>
      <c r="C63" s="420"/>
      <c r="D63" s="421"/>
      <c r="E63" s="421"/>
      <c r="F63" s="421"/>
      <c r="G63" s="421"/>
      <c r="H63" s="421"/>
      <c r="I63" s="420"/>
      <c r="J63" s="421"/>
      <c r="K63" s="421"/>
      <c r="L63" s="421"/>
      <c r="M63" s="420"/>
      <c r="N63" s="420"/>
    </row>
    <row r="64" spans="1:14" ht="14.4">
      <c r="A64" s="420"/>
      <c r="B64" s="420"/>
      <c r="C64" s="420"/>
      <c r="D64" s="421"/>
      <c r="E64" s="421"/>
      <c r="F64" s="421"/>
      <c r="G64" s="421"/>
      <c r="H64" s="421"/>
      <c r="I64" s="420"/>
      <c r="J64" s="421"/>
      <c r="K64" s="421"/>
      <c r="L64" s="421"/>
      <c r="M64" s="420"/>
      <c r="N64" s="420"/>
    </row>
    <row r="65" spans="1:14" ht="14.4">
      <c r="A65" s="420"/>
      <c r="B65" s="420"/>
      <c r="C65" s="420"/>
      <c r="D65" s="421"/>
      <c r="E65" s="421"/>
      <c r="F65" s="421"/>
      <c r="G65" s="421"/>
      <c r="H65" s="421"/>
      <c r="I65" s="420"/>
      <c r="J65" s="421"/>
      <c r="K65" s="421"/>
      <c r="L65" s="421"/>
      <c r="M65" s="420"/>
      <c r="N65" s="420"/>
    </row>
    <row r="66" spans="1:14" ht="14.4">
      <c r="A66" s="420"/>
      <c r="B66" s="420"/>
      <c r="C66" s="420"/>
      <c r="D66" s="421"/>
      <c r="E66" s="421"/>
      <c r="F66" s="421"/>
      <c r="G66" s="421"/>
      <c r="H66" s="421"/>
      <c r="I66" s="420"/>
      <c r="J66" s="421"/>
      <c r="K66" s="421"/>
      <c r="L66" s="421"/>
      <c r="M66" s="420"/>
      <c r="N66" s="420"/>
    </row>
    <row r="67" spans="1:14" ht="14.4">
      <c r="A67" s="420"/>
      <c r="B67" s="420"/>
      <c r="C67" s="420"/>
      <c r="D67" s="421"/>
      <c r="E67" s="421"/>
      <c r="F67" s="421"/>
      <c r="G67" s="421"/>
      <c r="H67" s="421"/>
      <c r="I67" s="420"/>
      <c r="J67" s="421"/>
      <c r="K67" s="421"/>
      <c r="L67" s="421"/>
      <c r="M67" s="420"/>
      <c r="N67" s="420"/>
    </row>
    <row r="68" spans="1:14" ht="14.4">
      <c r="A68" s="420"/>
      <c r="B68" s="420"/>
      <c r="C68" s="420"/>
      <c r="D68" s="421"/>
      <c r="E68" s="421"/>
      <c r="F68" s="421"/>
      <c r="G68" s="421"/>
      <c r="H68" s="421"/>
      <c r="I68" s="420"/>
      <c r="J68" s="421"/>
      <c r="K68" s="421"/>
      <c r="L68" s="421"/>
      <c r="M68" s="420"/>
      <c r="N68" s="420"/>
    </row>
    <row r="69" spans="1:14" ht="14.4">
      <c r="A69" s="420"/>
      <c r="B69" s="420"/>
      <c r="C69" s="420"/>
      <c r="D69" s="421"/>
      <c r="E69" s="421"/>
      <c r="F69" s="421"/>
      <c r="G69" s="421"/>
      <c r="H69" s="421"/>
      <c r="I69" s="420"/>
      <c r="J69" s="421"/>
      <c r="K69" s="421"/>
      <c r="L69" s="421"/>
      <c r="M69" s="420"/>
      <c r="N69" s="420"/>
    </row>
    <row r="70" spans="1:14" ht="14.4">
      <c r="A70" s="420"/>
      <c r="B70" s="420"/>
      <c r="C70" s="420"/>
      <c r="D70" s="421"/>
      <c r="E70" s="421"/>
      <c r="F70" s="421"/>
      <c r="G70" s="421"/>
      <c r="H70" s="421"/>
      <c r="I70" s="420"/>
      <c r="J70" s="421"/>
      <c r="K70" s="421"/>
      <c r="L70" s="421"/>
      <c r="M70" s="420"/>
      <c r="N70" s="420"/>
    </row>
    <row r="71" spans="1:14" ht="14.4">
      <c r="A71" s="420"/>
      <c r="B71" s="420"/>
      <c r="C71" s="420"/>
      <c r="D71" s="421"/>
      <c r="E71" s="421"/>
      <c r="F71" s="421"/>
      <c r="G71" s="421"/>
      <c r="H71" s="421"/>
      <c r="I71" s="420"/>
      <c r="J71" s="421"/>
      <c r="K71" s="421"/>
      <c r="L71" s="421"/>
      <c r="M71" s="420"/>
      <c r="N71" s="420"/>
    </row>
    <row r="72" spans="1:14" ht="14.4">
      <c r="A72" s="420"/>
      <c r="B72" s="420"/>
      <c r="C72" s="420"/>
      <c r="D72" s="421"/>
      <c r="E72" s="421"/>
      <c r="F72" s="421"/>
      <c r="G72" s="421"/>
      <c r="H72" s="421"/>
      <c r="I72" s="420"/>
      <c r="J72" s="421"/>
      <c r="K72" s="421"/>
      <c r="L72" s="421"/>
      <c r="M72" s="420"/>
      <c r="N72" s="420"/>
    </row>
    <row r="73" spans="1:14" ht="14.4">
      <c r="A73" s="420"/>
      <c r="B73" s="420"/>
      <c r="C73" s="420"/>
      <c r="D73" s="421"/>
      <c r="E73" s="421"/>
      <c r="F73" s="421"/>
      <c r="G73" s="421"/>
      <c r="H73" s="421"/>
      <c r="I73" s="420"/>
      <c r="J73" s="421"/>
      <c r="K73" s="421"/>
      <c r="L73" s="421"/>
      <c r="M73" s="420"/>
      <c r="N73" s="420"/>
    </row>
    <row r="74" spans="1:14" ht="14.4">
      <c r="A74" s="420"/>
      <c r="B74" s="420"/>
      <c r="C74" s="420"/>
      <c r="D74" s="421"/>
      <c r="E74" s="421"/>
      <c r="F74" s="421"/>
      <c r="G74" s="421"/>
      <c r="H74" s="421"/>
      <c r="I74" s="420"/>
      <c r="J74" s="421"/>
      <c r="K74" s="421"/>
      <c r="L74" s="421"/>
      <c r="M74" s="420"/>
      <c r="N74" s="420"/>
    </row>
    <row r="75" spans="1:14" ht="14.4">
      <c r="A75" s="420"/>
      <c r="B75" s="420"/>
      <c r="C75" s="420"/>
      <c r="D75" s="421"/>
      <c r="E75" s="421"/>
      <c r="F75" s="421"/>
      <c r="G75" s="421"/>
      <c r="H75" s="421"/>
      <c r="I75" s="420"/>
      <c r="J75" s="421"/>
      <c r="K75" s="421"/>
      <c r="L75" s="421"/>
      <c r="M75" s="420"/>
      <c r="N75" s="420"/>
    </row>
    <row r="76" spans="1:14" ht="14.4">
      <c r="A76" s="420"/>
      <c r="B76" s="420"/>
      <c r="C76" s="420"/>
      <c r="D76" s="421"/>
      <c r="E76" s="421"/>
      <c r="F76" s="421"/>
      <c r="G76" s="421"/>
      <c r="H76" s="421"/>
      <c r="I76" s="420"/>
      <c r="J76" s="421"/>
      <c r="K76" s="421"/>
      <c r="L76" s="421"/>
      <c r="M76" s="420"/>
      <c r="N76" s="420"/>
    </row>
    <row r="77" spans="1:14" ht="14.4">
      <c r="A77" s="420"/>
      <c r="B77" s="420"/>
      <c r="C77" s="420"/>
      <c r="D77" s="421"/>
      <c r="E77" s="421"/>
      <c r="F77" s="421"/>
      <c r="G77" s="421"/>
      <c r="H77" s="421"/>
      <c r="I77" s="420"/>
      <c r="J77" s="421"/>
      <c r="K77" s="421"/>
      <c r="L77" s="421"/>
      <c r="M77" s="420"/>
      <c r="N77" s="420"/>
    </row>
    <row r="78" spans="1:14" ht="14.4">
      <c r="A78" s="420"/>
      <c r="B78" s="420"/>
      <c r="C78" s="420"/>
      <c r="D78" s="421"/>
      <c r="E78" s="421"/>
      <c r="F78" s="421"/>
      <c r="G78" s="421"/>
      <c r="H78" s="421"/>
      <c r="I78" s="420"/>
      <c r="J78" s="421"/>
      <c r="K78" s="421"/>
      <c r="L78" s="421"/>
      <c r="M78" s="420"/>
      <c r="N78" s="420"/>
    </row>
    <row r="79" spans="1:14" ht="14.4">
      <c r="A79" s="420"/>
      <c r="B79" s="420"/>
      <c r="C79" s="420"/>
      <c r="D79" s="421"/>
      <c r="E79" s="421"/>
      <c r="F79" s="421"/>
      <c r="G79" s="421"/>
      <c r="H79" s="421"/>
      <c r="I79" s="420"/>
      <c r="J79" s="421"/>
      <c r="K79" s="421"/>
      <c r="L79" s="421"/>
      <c r="M79" s="420"/>
      <c r="N79" s="420"/>
    </row>
    <row r="80" spans="1:14" ht="14.4">
      <c r="A80" s="420"/>
      <c r="B80" s="420"/>
      <c r="C80" s="420"/>
      <c r="D80" s="421"/>
      <c r="E80" s="421"/>
      <c r="F80" s="421"/>
      <c r="G80" s="421"/>
      <c r="H80" s="421"/>
      <c r="I80" s="420"/>
      <c r="J80" s="421"/>
      <c r="K80" s="421"/>
      <c r="L80" s="421"/>
      <c r="M80" s="420"/>
      <c r="N80" s="420"/>
    </row>
    <row r="81" spans="1:14" ht="14.4">
      <c r="A81" s="420"/>
      <c r="B81" s="420"/>
      <c r="C81" s="420"/>
      <c r="D81" s="421"/>
      <c r="E81" s="421"/>
      <c r="F81" s="421"/>
      <c r="G81" s="421"/>
      <c r="H81" s="421"/>
      <c r="I81" s="420"/>
      <c r="J81" s="421"/>
      <c r="K81" s="421"/>
      <c r="L81" s="421"/>
      <c r="M81" s="420"/>
      <c r="N81" s="420"/>
    </row>
    <row r="82" spans="1:14" ht="14.4">
      <c r="A82" s="420"/>
      <c r="B82" s="420"/>
      <c r="C82" s="420"/>
      <c r="D82" s="421"/>
      <c r="E82" s="421"/>
      <c r="F82" s="421"/>
      <c r="G82" s="421"/>
      <c r="H82" s="421"/>
      <c r="I82" s="420"/>
      <c r="J82" s="421"/>
      <c r="K82" s="421"/>
      <c r="L82" s="421"/>
      <c r="M82" s="420"/>
      <c r="N82" s="420"/>
    </row>
    <row r="83" spans="1:14" ht="14.4">
      <c r="A83" s="420"/>
      <c r="B83" s="420"/>
      <c r="C83" s="420"/>
      <c r="D83" s="421"/>
      <c r="E83" s="421"/>
      <c r="F83" s="421"/>
      <c r="G83" s="421"/>
      <c r="H83" s="421"/>
      <c r="I83" s="420"/>
      <c r="J83" s="421"/>
      <c r="K83" s="421"/>
      <c r="L83" s="421"/>
      <c r="M83" s="420"/>
      <c r="N83" s="420"/>
    </row>
    <row r="84" spans="1:14" ht="14.4">
      <c r="A84" s="420"/>
      <c r="B84" s="420"/>
      <c r="C84" s="420"/>
      <c r="D84" s="421"/>
      <c r="E84" s="421"/>
      <c r="F84" s="421"/>
      <c r="G84" s="421"/>
      <c r="H84" s="421"/>
      <c r="I84" s="420"/>
      <c r="J84" s="421"/>
      <c r="K84" s="421"/>
      <c r="L84" s="421"/>
      <c r="M84" s="420"/>
      <c r="N84" s="420"/>
    </row>
    <row r="85" spans="1:14" ht="14.4">
      <c r="A85" s="420"/>
      <c r="B85" s="420"/>
      <c r="C85" s="420"/>
      <c r="D85" s="421"/>
      <c r="E85" s="421"/>
      <c r="F85" s="421"/>
      <c r="G85" s="421"/>
      <c r="H85" s="421"/>
      <c r="I85" s="420"/>
      <c r="J85" s="421"/>
      <c r="K85" s="421"/>
      <c r="L85" s="421"/>
      <c r="M85" s="420"/>
      <c r="N85" s="420"/>
    </row>
    <row r="86" spans="1:14" ht="14.4">
      <c r="A86" s="420"/>
      <c r="B86" s="420"/>
      <c r="C86" s="420"/>
      <c r="D86" s="421"/>
      <c r="E86" s="421"/>
      <c r="F86" s="421"/>
      <c r="G86" s="421"/>
      <c r="H86" s="421"/>
      <c r="I86" s="420"/>
      <c r="J86" s="421"/>
      <c r="K86" s="421"/>
      <c r="L86" s="421"/>
      <c r="M86" s="420"/>
      <c r="N86" s="420"/>
    </row>
    <row r="87" spans="1:14" ht="14.4">
      <c r="A87" s="420"/>
      <c r="B87" s="420"/>
      <c r="C87" s="420"/>
      <c r="D87" s="421"/>
      <c r="E87" s="421"/>
      <c r="F87" s="421"/>
      <c r="G87" s="421"/>
      <c r="H87" s="421"/>
      <c r="I87" s="420"/>
      <c r="J87" s="421"/>
      <c r="K87" s="421"/>
      <c r="L87" s="421"/>
      <c r="M87" s="420"/>
      <c r="N87" s="420"/>
    </row>
    <row r="88" spans="1:14" ht="14.4">
      <c r="A88" s="420"/>
      <c r="B88" s="420"/>
      <c r="C88" s="420"/>
      <c r="D88" s="421"/>
      <c r="E88" s="421"/>
      <c r="F88" s="421"/>
      <c r="G88" s="421"/>
      <c r="H88" s="421"/>
      <c r="I88" s="420"/>
      <c r="J88" s="421"/>
      <c r="K88" s="421"/>
      <c r="L88" s="421"/>
      <c r="M88" s="420"/>
      <c r="N88" s="420"/>
    </row>
    <row r="89" spans="1:14" ht="14.4">
      <c r="A89" s="420"/>
      <c r="B89" s="420"/>
      <c r="C89" s="420"/>
      <c r="D89" s="421"/>
      <c r="E89" s="421"/>
      <c r="F89" s="421"/>
      <c r="G89" s="421"/>
      <c r="H89" s="421"/>
      <c r="I89" s="420"/>
      <c r="J89" s="421"/>
      <c r="K89" s="421"/>
      <c r="L89" s="421"/>
      <c r="M89" s="420"/>
      <c r="N89" s="420"/>
    </row>
    <row r="90" spans="1:14" ht="14.4">
      <c r="A90" s="420"/>
      <c r="B90" s="420"/>
      <c r="C90" s="420"/>
      <c r="D90" s="421"/>
      <c r="E90" s="421"/>
      <c r="F90" s="421"/>
      <c r="G90" s="421"/>
      <c r="H90" s="421"/>
      <c r="I90" s="420"/>
      <c r="J90" s="421"/>
      <c r="K90" s="421"/>
      <c r="L90" s="421"/>
      <c r="M90" s="420"/>
      <c r="N90" s="420"/>
    </row>
    <row r="91" spans="1:14" ht="14.4">
      <c r="A91" s="420"/>
      <c r="B91" s="420"/>
      <c r="C91" s="420"/>
      <c r="D91" s="421"/>
      <c r="E91" s="421"/>
      <c r="F91" s="421"/>
      <c r="G91" s="421"/>
      <c r="H91" s="421"/>
      <c r="I91" s="420"/>
      <c r="J91" s="421"/>
      <c r="K91" s="421"/>
      <c r="L91" s="421"/>
      <c r="M91" s="420"/>
      <c r="N91" s="420"/>
    </row>
    <row r="92" spans="1:14" ht="14.4">
      <c r="A92" s="420"/>
      <c r="B92" s="420"/>
      <c r="C92" s="420"/>
      <c r="D92" s="421"/>
      <c r="E92" s="421"/>
      <c r="F92" s="421"/>
      <c r="G92" s="421"/>
      <c r="H92" s="421"/>
      <c r="I92" s="420"/>
      <c r="J92" s="421"/>
      <c r="K92" s="421"/>
      <c r="L92" s="421"/>
      <c r="M92" s="420"/>
      <c r="N92" s="420"/>
    </row>
    <row r="93" spans="1:14" ht="14.4">
      <c r="A93" s="420"/>
      <c r="B93" s="420"/>
      <c r="C93" s="420"/>
      <c r="D93" s="421"/>
      <c r="E93" s="421"/>
      <c r="F93" s="421"/>
      <c r="G93" s="421"/>
      <c r="H93" s="421"/>
      <c r="I93" s="420"/>
      <c r="J93" s="421"/>
      <c r="K93" s="421"/>
      <c r="L93" s="421"/>
      <c r="M93" s="420"/>
      <c r="N93" s="420"/>
    </row>
    <row r="94" spans="1:14" ht="14.4">
      <c r="A94" s="420"/>
      <c r="B94" s="420"/>
      <c r="C94" s="420"/>
      <c r="D94" s="421"/>
      <c r="E94" s="421"/>
      <c r="F94" s="421"/>
      <c r="G94" s="421"/>
      <c r="H94" s="421"/>
      <c r="I94" s="420"/>
      <c r="J94" s="421"/>
      <c r="K94" s="421"/>
      <c r="L94" s="421"/>
      <c r="M94" s="420"/>
      <c r="N94" s="420"/>
    </row>
    <row r="95" spans="1:14" ht="14.4">
      <c r="A95" s="420"/>
      <c r="B95" s="420"/>
      <c r="C95" s="420"/>
      <c r="D95" s="421"/>
      <c r="E95" s="421"/>
      <c r="F95" s="421"/>
      <c r="G95" s="421"/>
      <c r="H95" s="421"/>
      <c r="I95" s="420"/>
      <c r="J95" s="421"/>
      <c r="K95" s="421"/>
      <c r="L95" s="421"/>
      <c r="M95" s="420"/>
      <c r="N95" s="420"/>
    </row>
    <row r="96" spans="1:14" ht="14.4">
      <c r="A96" s="420"/>
      <c r="B96" s="420"/>
      <c r="C96" s="420"/>
      <c r="D96" s="421"/>
      <c r="E96" s="421"/>
      <c r="F96" s="421"/>
      <c r="G96" s="421"/>
      <c r="H96" s="421"/>
      <c r="I96" s="420"/>
      <c r="J96" s="421"/>
      <c r="K96" s="421"/>
      <c r="L96" s="421"/>
      <c r="M96" s="420"/>
      <c r="N96" s="420"/>
    </row>
    <row r="97" spans="1:14" ht="14.4">
      <c r="A97" s="420"/>
      <c r="B97" s="420"/>
      <c r="C97" s="420"/>
      <c r="D97" s="421"/>
      <c r="E97" s="421"/>
      <c r="F97" s="421"/>
      <c r="G97" s="421"/>
      <c r="H97" s="421"/>
      <c r="I97" s="420"/>
      <c r="J97" s="421"/>
      <c r="K97" s="421"/>
      <c r="L97" s="421"/>
      <c r="M97" s="420"/>
      <c r="N97" s="420"/>
    </row>
    <row r="98" spans="1:14" ht="14.4">
      <c r="A98" s="420"/>
      <c r="B98" s="420"/>
      <c r="C98" s="420"/>
      <c r="D98" s="421"/>
      <c r="E98" s="421"/>
      <c r="F98" s="421"/>
      <c r="G98" s="421"/>
      <c r="H98" s="421"/>
      <c r="I98" s="420"/>
      <c r="J98" s="421"/>
      <c r="K98" s="421"/>
      <c r="L98" s="421"/>
      <c r="M98" s="420"/>
      <c r="N98" s="420"/>
    </row>
    <row r="99" spans="1:14" ht="14.4">
      <c r="A99" s="420"/>
      <c r="B99" s="420"/>
      <c r="C99" s="420"/>
      <c r="D99" s="421"/>
      <c r="E99" s="421"/>
      <c r="F99" s="421"/>
      <c r="G99" s="421"/>
      <c r="H99" s="421"/>
      <c r="I99" s="420"/>
      <c r="J99" s="421"/>
      <c r="K99" s="421"/>
      <c r="L99" s="421"/>
      <c r="M99" s="420"/>
      <c r="N99" s="420"/>
    </row>
    <row r="100" spans="1:14" ht="14.4">
      <c r="A100" s="420"/>
      <c r="B100" s="420"/>
      <c r="C100" s="420"/>
      <c r="D100" s="421"/>
      <c r="E100" s="421"/>
      <c r="F100" s="421"/>
      <c r="G100" s="421"/>
      <c r="H100" s="421"/>
      <c r="I100" s="420"/>
      <c r="J100" s="421"/>
      <c r="K100" s="421"/>
      <c r="L100" s="421"/>
      <c r="M100" s="420"/>
      <c r="N100" s="420"/>
    </row>
    <row r="101" spans="1:14" ht="14.4">
      <c r="A101" s="420"/>
      <c r="B101" s="420"/>
      <c r="C101" s="420"/>
      <c r="D101" s="421"/>
      <c r="E101" s="421"/>
      <c r="F101" s="421"/>
      <c r="G101" s="421"/>
      <c r="H101" s="421"/>
      <c r="I101" s="420"/>
      <c r="J101" s="421"/>
      <c r="K101" s="421"/>
      <c r="L101" s="421"/>
      <c r="M101" s="420"/>
      <c r="N101" s="420"/>
    </row>
    <row r="102" spans="1:14" ht="14.4">
      <c r="A102" s="420"/>
      <c r="B102" s="420"/>
      <c r="C102" s="420"/>
      <c r="D102" s="421"/>
      <c r="E102" s="421"/>
      <c r="F102" s="421"/>
      <c r="G102" s="421"/>
      <c r="H102" s="421"/>
      <c r="I102" s="420"/>
      <c r="J102" s="421"/>
      <c r="K102" s="421"/>
      <c r="L102" s="421"/>
      <c r="M102" s="420"/>
      <c r="N102" s="420"/>
    </row>
    <row r="103" spans="1:14" ht="14.4">
      <c r="A103" s="420"/>
      <c r="B103" s="420"/>
      <c r="C103" s="420"/>
      <c r="D103" s="421"/>
      <c r="E103" s="421"/>
      <c r="F103" s="421"/>
      <c r="G103" s="421"/>
      <c r="H103" s="421"/>
      <c r="I103" s="420"/>
      <c r="J103" s="421"/>
      <c r="K103" s="421"/>
      <c r="L103" s="421"/>
      <c r="M103" s="420"/>
      <c r="N103" s="420"/>
    </row>
    <row r="104" spans="1:14" ht="14.4">
      <c r="A104" s="420"/>
      <c r="B104" s="420"/>
      <c r="C104" s="420"/>
      <c r="D104" s="421"/>
      <c r="E104" s="421"/>
      <c r="F104" s="421"/>
      <c r="G104" s="421"/>
      <c r="H104" s="421"/>
      <c r="I104" s="420"/>
      <c r="J104" s="421"/>
      <c r="K104" s="421"/>
      <c r="L104" s="421"/>
      <c r="M104" s="420"/>
      <c r="N104" s="420"/>
    </row>
    <row r="105" spans="1:14" ht="14.4">
      <c r="A105" s="420"/>
      <c r="B105" s="420"/>
      <c r="C105" s="420"/>
      <c r="D105" s="421"/>
      <c r="E105" s="421"/>
      <c r="F105" s="421"/>
      <c r="G105" s="421"/>
      <c r="H105" s="421"/>
      <c r="I105" s="420"/>
      <c r="J105" s="421"/>
      <c r="K105" s="421"/>
      <c r="L105" s="421"/>
      <c r="M105" s="420"/>
      <c r="N105" s="420"/>
    </row>
    <row r="106" spans="1:14" ht="14.4">
      <c r="A106" s="420"/>
      <c r="B106" s="420"/>
      <c r="C106" s="420"/>
      <c r="D106" s="421"/>
      <c r="E106" s="421"/>
      <c r="F106" s="421"/>
      <c r="G106" s="421"/>
      <c r="H106" s="421"/>
      <c r="I106" s="420"/>
      <c r="J106" s="421"/>
      <c r="K106" s="421"/>
      <c r="L106" s="421"/>
      <c r="M106" s="420"/>
      <c r="N106" s="420"/>
    </row>
    <row r="107" spans="1:14" ht="14.4">
      <c r="A107" s="420"/>
      <c r="B107" s="420"/>
      <c r="C107" s="420"/>
      <c r="D107" s="421"/>
      <c r="E107" s="421"/>
      <c r="F107" s="421"/>
      <c r="G107" s="421"/>
      <c r="H107" s="421"/>
      <c r="I107" s="420"/>
      <c r="J107" s="421"/>
      <c r="K107" s="421"/>
      <c r="L107" s="421"/>
      <c r="M107" s="420"/>
      <c r="N107" s="420"/>
    </row>
    <row r="108" spans="1:14" ht="14.4">
      <c r="A108" s="420"/>
      <c r="B108" s="420"/>
      <c r="C108" s="420"/>
      <c r="D108" s="421"/>
      <c r="E108" s="421"/>
      <c r="F108" s="421"/>
      <c r="G108" s="421"/>
      <c r="H108" s="421"/>
      <c r="I108" s="420"/>
      <c r="J108" s="421"/>
      <c r="K108" s="421"/>
      <c r="L108" s="421"/>
      <c r="M108" s="420"/>
      <c r="N108" s="420"/>
    </row>
    <row r="109" spans="1:14" ht="14.4">
      <c r="A109" s="420"/>
      <c r="B109" s="420"/>
      <c r="C109" s="420"/>
      <c r="D109" s="421"/>
      <c r="E109" s="421"/>
      <c r="F109" s="421"/>
      <c r="G109" s="421"/>
      <c r="H109" s="421"/>
      <c r="I109" s="420"/>
      <c r="J109" s="421"/>
      <c r="K109" s="421"/>
      <c r="L109" s="421"/>
      <c r="M109" s="420"/>
      <c r="N109" s="420"/>
    </row>
    <row r="110" spans="1:14" ht="14.4">
      <c r="A110" s="420"/>
      <c r="B110" s="420"/>
      <c r="C110" s="420"/>
      <c r="D110" s="421"/>
      <c r="E110" s="421"/>
      <c r="F110" s="421"/>
      <c r="G110" s="421"/>
      <c r="H110" s="421"/>
      <c r="I110" s="420"/>
      <c r="J110" s="421"/>
      <c r="K110" s="421"/>
      <c r="L110" s="421"/>
      <c r="M110" s="420"/>
      <c r="N110" s="420"/>
    </row>
    <row r="111" spans="1:14" ht="14.4">
      <c r="A111" s="420"/>
      <c r="B111" s="420"/>
      <c r="C111" s="420"/>
      <c r="D111" s="421"/>
      <c r="E111" s="421"/>
      <c r="F111" s="421"/>
      <c r="G111" s="421"/>
      <c r="H111" s="421"/>
      <c r="I111" s="420"/>
      <c r="J111" s="421"/>
      <c r="K111" s="421"/>
      <c r="L111" s="421"/>
      <c r="M111" s="420"/>
      <c r="N111" s="420"/>
    </row>
    <row r="112" spans="1:14" ht="14.4">
      <c r="A112" s="420"/>
      <c r="B112" s="420"/>
      <c r="C112" s="420"/>
      <c r="D112" s="421"/>
      <c r="E112" s="421"/>
      <c r="F112" s="421"/>
      <c r="G112" s="421"/>
      <c r="H112" s="421"/>
      <c r="I112" s="420"/>
      <c r="J112" s="421"/>
      <c r="K112" s="421"/>
      <c r="L112" s="421"/>
      <c r="M112" s="420"/>
      <c r="N112" s="420"/>
    </row>
    <row r="113" spans="1:14" ht="14.4">
      <c r="A113" s="420"/>
      <c r="B113" s="420"/>
      <c r="C113" s="420"/>
      <c r="D113" s="421"/>
      <c r="E113" s="421"/>
      <c r="F113" s="421"/>
      <c r="G113" s="421"/>
      <c r="H113" s="421"/>
      <c r="I113" s="420"/>
      <c r="J113" s="421"/>
      <c r="K113" s="421"/>
      <c r="L113" s="421"/>
      <c r="M113" s="420"/>
      <c r="N113" s="420"/>
    </row>
    <row r="114" spans="1:14" ht="14.4">
      <c r="A114" s="420"/>
      <c r="B114" s="420"/>
      <c r="C114" s="420"/>
      <c r="D114" s="421"/>
      <c r="E114" s="421"/>
      <c r="F114" s="421"/>
      <c r="G114" s="421"/>
      <c r="H114" s="421"/>
      <c r="I114" s="420"/>
      <c r="J114" s="421"/>
      <c r="K114" s="421"/>
      <c r="L114" s="421"/>
      <c r="M114" s="420"/>
      <c r="N114" s="420"/>
    </row>
    <row r="115" spans="1:14" ht="14.4">
      <c r="A115" s="420"/>
      <c r="B115" s="420"/>
      <c r="C115" s="420"/>
      <c r="D115" s="421"/>
      <c r="E115" s="421"/>
      <c r="F115" s="421"/>
      <c r="G115" s="421"/>
      <c r="H115" s="421"/>
      <c r="I115" s="420"/>
      <c r="J115" s="421"/>
      <c r="K115" s="421"/>
      <c r="L115" s="421"/>
      <c r="M115" s="420"/>
      <c r="N115" s="420"/>
    </row>
    <row r="116" spans="1:14" ht="14.4">
      <c r="A116" s="420"/>
      <c r="B116" s="420"/>
      <c r="C116" s="420"/>
      <c r="D116" s="421"/>
      <c r="E116" s="421"/>
      <c r="F116" s="421"/>
      <c r="G116" s="421"/>
      <c r="H116" s="421"/>
      <c r="I116" s="420"/>
      <c r="J116" s="421"/>
      <c r="K116" s="421"/>
      <c r="L116" s="421"/>
      <c r="M116" s="420"/>
      <c r="N116" s="420"/>
    </row>
    <row r="117" spans="1:14" ht="14.4">
      <c r="A117" s="420"/>
      <c r="B117" s="420"/>
      <c r="C117" s="420"/>
      <c r="D117" s="421"/>
      <c r="E117" s="421"/>
      <c r="F117" s="421"/>
      <c r="G117" s="421"/>
      <c r="H117" s="421"/>
      <c r="I117" s="420"/>
      <c r="J117" s="421"/>
      <c r="K117" s="421"/>
      <c r="L117" s="421"/>
      <c r="M117" s="420"/>
      <c r="N117" s="420"/>
    </row>
    <row r="118" spans="1:14" ht="14.4">
      <c r="A118" s="420"/>
      <c r="B118" s="420"/>
      <c r="C118" s="420"/>
      <c r="D118" s="421"/>
      <c r="E118" s="421"/>
      <c r="F118" s="421"/>
      <c r="G118" s="421"/>
      <c r="H118" s="421"/>
      <c r="I118" s="420"/>
      <c r="J118" s="421"/>
      <c r="K118" s="421"/>
      <c r="L118" s="421"/>
      <c r="M118" s="420"/>
      <c r="N118" s="420"/>
    </row>
    <row r="119" spans="1:14" ht="14.4">
      <c r="A119" s="420"/>
      <c r="B119" s="420"/>
      <c r="C119" s="420"/>
      <c r="D119" s="421"/>
      <c r="E119" s="421"/>
      <c r="F119" s="421"/>
      <c r="G119" s="421"/>
      <c r="H119" s="421"/>
      <c r="I119" s="420"/>
      <c r="J119" s="421"/>
      <c r="K119" s="421"/>
      <c r="L119" s="421"/>
      <c r="M119" s="420"/>
      <c r="N119" s="420"/>
    </row>
    <row r="120" spans="1:14" ht="14.4">
      <c r="A120" s="420"/>
      <c r="B120" s="420"/>
      <c r="C120" s="420"/>
      <c r="D120" s="421"/>
      <c r="E120" s="421"/>
      <c r="F120" s="421"/>
      <c r="G120" s="421"/>
      <c r="H120" s="421"/>
      <c r="I120" s="420"/>
      <c r="J120" s="421"/>
      <c r="K120" s="421"/>
      <c r="L120" s="421"/>
      <c r="M120" s="420"/>
      <c r="N120" s="420"/>
    </row>
    <row r="121" spans="1:14" ht="14.4">
      <c r="A121" s="420"/>
      <c r="B121" s="420"/>
      <c r="C121" s="420"/>
      <c r="D121" s="421"/>
      <c r="E121" s="421"/>
      <c r="F121" s="421"/>
      <c r="G121" s="421"/>
      <c r="H121" s="421"/>
      <c r="I121" s="420"/>
      <c r="J121" s="421"/>
      <c r="K121" s="421"/>
      <c r="L121" s="421"/>
      <c r="M121" s="420"/>
      <c r="N121" s="420"/>
    </row>
    <row r="122" spans="1:14" ht="14.4">
      <c r="A122" s="420"/>
      <c r="B122" s="420"/>
      <c r="C122" s="420"/>
      <c r="D122" s="421"/>
      <c r="E122" s="421"/>
      <c r="F122" s="421"/>
      <c r="G122" s="421"/>
      <c r="H122" s="421"/>
      <c r="I122" s="420"/>
      <c r="J122" s="421"/>
      <c r="K122" s="421"/>
      <c r="L122" s="421"/>
      <c r="M122" s="420"/>
      <c r="N122" s="420"/>
    </row>
    <row r="123" spans="1:14" ht="14.4">
      <c r="A123" s="420"/>
      <c r="B123" s="420"/>
      <c r="C123" s="420"/>
      <c r="D123" s="421"/>
      <c r="E123" s="421"/>
      <c r="F123" s="421"/>
      <c r="G123" s="421"/>
      <c r="H123" s="421"/>
      <c r="I123" s="420"/>
      <c r="J123" s="421"/>
      <c r="K123" s="421"/>
      <c r="L123" s="421"/>
      <c r="M123" s="420"/>
      <c r="N123" s="420"/>
    </row>
    <row r="124" spans="1:14" ht="14.4">
      <c r="A124" s="420"/>
      <c r="B124" s="420"/>
      <c r="C124" s="420"/>
      <c r="D124" s="421"/>
      <c r="E124" s="421"/>
      <c r="F124" s="421"/>
      <c r="G124" s="421"/>
      <c r="H124" s="421"/>
      <c r="I124" s="420"/>
      <c r="J124" s="421"/>
      <c r="K124" s="421"/>
      <c r="L124" s="421"/>
      <c r="M124" s="420"/>
      <c r="N124" s="420"/>
    </row>
    <row r="125" spans="1:14" ht="14.4">
      <c r="A125" s="420"/>
      <c r="B125" s="420"/>
      <c r="C125" s="420"/>
      <c r="D125" s="421"/>
      <c r="E125" s="421"/>
      <c r="F125" s="421"/>
      <c r="G125" s="421"/>
      <c r="H125" s="421"/>
      <c r="I125" s="420"/>
      <c r="J125" s="421"/>
      <c r="K125" s="421"/>
      <c r="L125" s="421"/>
      <c r="M125" s="420"/>
      <c r="N125" s="420"/>
    </row>
    <row r="126" spans="1:14" ht="14.4">
      <c r="A126" s="420"/>
      <c r="B126" s="420"/>
      <c r="C126" s="420"/>
      <c r="D126" s="421"/>
      <c r="E126" s="421"/>
      <c r="F126" s="421"/>
      <c r="G126" s="421"/>
      <c r="H126" s="421"/>
      <c r="I126" s="420"/>
      <c r="J126" s="421"/>
      <c r="K126" s="421"/>
      <c r="L126" s="421"/>
      <c r="M126" s="420"/>
      <c r="N126" s="420"/>
    </row>
    <row r="127" spans="1:14" ht="14.4">
      <c r="A127" s="420"/>
      <c r="B127" s="420"/>
      <c r="C127" s="420"/>
      <c r="D127" s="421"/>
      <c r="E127" s="421"/>
      <c r="F127" s="421"/>
      <c r="G127" s="421"/>
      <c r="H127" s="421"/>
      <c r="I127" s="420"/>
      <c r="J127" s="421"/>
      <c r="K127" s="421"/>
      <c r="L127" s="421"/>
      <c r="M127" s="420"/>
      <c r="N127" s="420"/>
    </row>
    <row r="128" spans="1:14" ht="14.4">
      <c r="A128" s="420"/>
      <c r="B128" s="420"/>
      <c r="C128" s="420"/>
      <c r="D128" s="421"/>
      <c r="E128" s="421"/>
      <c r="F128" s="421"/>
      <c r="G128" s="421"/>
      <c r="H128" s="421"/>
      <c r="I128" s="420"/>
      <c r="J128" s="421"/>
      <c r="K128" s="421"/>
      <c r="L128" s="421"/>
      <c r="M128" s="420"/>
      <c r="N128" s="420"/>
    </row>
    <row r="129" spans="1:14" ht="14.4">
      <c r="A129" s="420"/>
      <c r="B129" s="420"/>
      <c r="C129" s="420"/>
      <c r="D129" s="421"/>
      <c r="E129" s="421"/>
      <c r="F129" s="421"/>
      <c r="G129" s="421"/>
      <c r="H129" s="421"/>
      <c r="I129" s="420"/>
      <c r="J129" s="421"/>
      <c r="K129" s="421"/>
      <c r="L129" s="421"/>
      <c r="M129" s="420"/>
      <c r="N129" s="420"/>
    </row>
    <row r="130" spans="1:14" ht="14.4">
      <c r="A130" s="420"/>
      <c r="B130" s="420"/>
      <c r="C130" s="420"/>
      <c r="D130" s="421"/>
      <c r="E130" s="421"/>
      <c r="F130" s="421"/>
      <c r="G130" s="421"/>
      <c r="H130" s="421"/>
      <c r="I130" s="420"/>
      <c r="J130" s="421"/>
      <c r="K130" s="421"/>
      <c r="L130" s="421"/>
      <c r="M130" s="420"/>
      <c r="N130" s="420"/>
    </row>
    <row r="131" spans="1:14" ht="14.4">
      <c r="A131" s="420"/>
      <c r="B131" s="420"/>
      <c r="C131" s="420"/>
      <c r="D131" s="421"/>
      <c r="E131" s="421"/>
      <c r="F131" s="421"/>
      <c r="G131" s="421"/>
      <c r="H131" s="421"/>
      <c r="I131" s="420"/>
      <c r="J131" s="421"/>
      <c r="K131" s="421"/>
      <c r="L131" s="421"/>
      <c r="M131" s="420"/>
      <c r="N131" s="420"/>
    </row>
    <row r="132" spans="1:14" ht="14.4">
      <c r="A132" s="420"/>
      <c r="B132" s="420"/>
      <c r="C132" s="420"/>
      <c r="D132" s="421"/>
      <c r="E132" s="421"/>
      <c r="F132" s="421"/>
      <c r="G132" s="421"/>
      <c r="H132" s="421"/>
      <c r="I132" s="420"/>
      <c r="J132" s="421"/>
      <c r="K132" s="421"/>
      <c r="L132" s="421"/>
      <c r="M132" s="420"/>
      <c r="N132" s="420"/>
    </row>
    <row r="133" spans="1:14" ht="14.4">
      <c r="A133" s="420"/>
      <c r="B133" s="420"/>
      <c r="C133" s="420"/>
      <c r="D133" s="421"/>
      <c r="E133" s="421"/>
      <c r="F133" s="421"/>
      <c r="G133" s="421"/>
      <c r="H133" s="421"/>
      <c r="I133" s="420"/>
      <c r="J133" s="421"/>
      <c r="K133" s="421"/>
      <c r="L133" s="421"/>
      <c r="M133" s="420"/>
      <c r="N133" s="420"/>
    </row>
    <row r="134" spans="1:14" ht="14.4">
      <c r="A134" s="420"/>
      <c r="B134" s="420"/>
      <c r="C134" s="420"/>
      <c r="D134" s="421"/>
      <c r="E134" s="421"/>
      <c r="F134" s="421"/>
      <c r="G134" s="421"/>
      <c r="H134" s="421"/>
      <c r="I134" s="420"/>
      <c r="J134" s="421"/>
      <c r="K134" s="421"/>
      <c r="L134" s="421"/>
      <c r="M134" s="420"/>
      <c r="N134" s="420"/>
    </row>
    <row r="135" spans="1:14" ht="14.4">
      <c r="A135" s="420"/>
      <c r="B135" s="420"/>
      <c r="C135" s="420"/>
      <c r="D135" s="421"/>
      <c r="E135" s="421"/>
      <c r="F135" s="421"/>
      <c r="G135" s="421"/>
      <c r="H135" s="421"/>
      <c r="I135" s="420"/>
      <c r="J135" s="421"/>
      <c r="K135" s="421"/>
      <c r="L135" s="421"/>
      <c r="M135" s="420"/>
      <c r="N135" s="420"/>
    </row>
    <row r="136" spans="1:14" ht="14.4">
      <c r="A136" s="420"/>
      <c r="B136" s="420"/>
      <c r="C136" s="420"/>
      <c r="D136" s="421"/>
      <c r="E136" s="421"/>
      <c r="F136" s="421"/>
      <c r="G136" s="421"/>
      <c r="H136" s="421"/>
      <c r="I136" s="420"/>
      <c r="J136" s="421"/>
      <c r="K136" s="421"/>
      <c r="L136" s="421"/>
      <c r="M136" s="420"/>
      <c r="N136" s="420"/>
    </row>
    <row r="137" spans="1:14" ht="14.4">
      <c r="A137" s="420"/>
      <c r="B137" s="420"/>
      <c r="C137" s="420"/>
      <c r="D137" s="421"/>
      <c r="E137" s="421"/>
      <c r="F137" s="421"/>
      <c r="G137" s="421"/>
      <c r="H137" s="421"/>
      <c r="I137" s="420"/>
      <c r="J137" s="421"/>
      <c r="K137" s="421"/>
      <c r="L137" s="421"/>
      <c r="M137" s="420"/>
      <c r="N137" s="420"/>
    </row>
    <row r="138" spans="1:14" ht="14.4">
      <c r="A138" s="420"/>
      <c r="B138" s="420"/>
      <c r="C138" s="420"/>
      <c r="D138" s="421"/>
      <c r="E138" s="421"/>
      <c r="F138" s="421"/>
      <c r="G138" s="421"/>
      <c r="H138" s="421"/>
      <c r="I138" s="420"/>
      <c r="J138" s="421"/>
      <c r="K138" s="421"/>
      <c r="L138" s="421"/>
      <c r="M138" s="420"/>
      <c r="N138" s="420"/>
    </row>
    <row r="139" spans="1:14" ht="14.4">
      <c r="A139" s="420"/>
      <c r="B139" s="420"/>
      <c r="C139" s="420"/>
      <c r="D139" s="421"/>
      <c r="E139" s="421"/>
      <c r="F139" s="421"/>
      <c r="G139" s="421"/>
      <c r="H139" s="421"/>
      <c r="I139" s="420"/>
      <c r="J139" s="421"/>
      <c r="K139" s="421"/>
      <c r="L139" s="421"/>
      <c r="M139" s="420"/>
      <c r="N139" s="420"/>
    </row>
    <row r="140" spans="1:14" ht="14.4">
      <c r="A140" s="420"/>
      <c r="B140" s="420"/>
      <c r="C140" s="420"/>
      <c r="D140" s="421"/>
      <c r="E140" s="421"/>
      <c r="F140" s="421"/>
      <c r="G140" s="421"/>
      <c r="H140" s="421"/>
      <c r="I140" s="420"/>
      <c r="J140" s="421"/>
      <c r="K140" s="421"/>
      <c r="L140" s="421"/>
      <c r="M140" s="420"/>
      <c r="N140" s="420"/>
    </row>
    <row r="141" spans="1:14" ht="14.4">
      <c r="A141" s="420"/>
      <c r="B141" s="420"/>
      <c r="C141" s="420"/>
      <c r="D141" s="421"/>
      <c r="E141" s="421"/>
      <c r="F141" s="421"/>
      <c r="G141" s="421"/>
      <c r="H141" s="421"/>
      <c r="I141" s="420"/>
      <c r="J141" s="421"/>
      <c r="K141" s="421"/>
      <c r="L141" s="421"/>
      <c r="M141" s="420"/>
      <c r="N141" s="420"/>
    </row>
    <row r="142" spans="1:14" ht="14.4">
      <c r="A142" s="420"/>
      <c r="B142" s="420"/>
      <c r="C142" s="420"/>
      <c r="D142" s="421"/>
      <c r="E142" s="421"/>
      <c r="F142" s="421"/>
      <c r="G142" s="421"/>
      <c r="H142" s="421"/>
      <c r="I142" s="420"/>
      <c r="J142" s="421"/>
      <c r="K142" s="421"/>
      <c r="L142" s="421"/>
      <c r="M142" s="420"/>
      <c r="N142" s="420"/>
    </row>
    <row r="143" spans="1:14" ht="14.4">
      <c r="A143" s="420"/>
      <c r="B143" s="420"/>
      <c r="C143" s="420"/>
      <c r="D143" s="421"/>
      <c r="E143" s="421"/>
      <c r="F143" s="421"/>
      <c r="G143" s="421"/>
      <c r="H143" s="421"/>
      <c r="I143" s="420"/>
      <c r="J143" s="421"/>
      <c r="K143" s="421"/>
      <c r="L143" s="421"/>
      <c r="M143" s="420"/>
      <c r="N143" s="420"/>
    </row>
    <row r="144" spans="1:14" ht="14.4">
      <c r="A144" s="420"/>
      <c r="B144" s="420"/>
      <c r="C144" s="420"/>
      <c r="D144" s="421"/>
      <c r="E144" s="421"/>
      <c r="F144" s="421"/>
      <c r="G144" s="421"/>
      <c r="H144" s="421"/>
      <c r="I144" s="420"/>
      <c r="J144" s="421"/>
      <c r="K144" s="421"/>
      <c r="L144" s="421"/>
      <c r="M144" s="420"/>
      <c r="N144" s="420"/>
    </row>
    <row r="145" spans="1:14" ht="14.4">
      <c r="A145" s="420"/>
      <c r="B145" s="420"/>
      <c r="C145" s="420"/>
      <c r="D145" s="421"/>
      <c r="E145" s="421"/>
      <c r="F145" s="421"/>
      <c r="G145" s="421"/>
      <c r="H145" s="421"/>
      <c r="I145" s="420"/>
      <c r="J145" s="421"/>
      <c r="K145" s="421"/>
      <c r="L145" s="421"/>
      <c r="M145" s="420"/>
      <c r="N145" s="420"/>
    </row>
    <row r="146" spans="1:14" ht="14.4">
      <c r="A146" s="420"/>
      <c r="B146" s="420"/>
      <c r="C146" s="420"/>
      <c r="D146" s="421"/>
      <c r="E146" s="421"/>
      <c r="F146" s="421"/>
      <c r="G146" s="421"/>
      <c r="H146" s="421"/>
      <c r="I146" s="420"/>
      <c r="J146" s="421"/>
      <c r="K146" s="421"/>
      <c r="L146" s="421"/>
      <c r="M146" s="420"/>
      <c r="N146" s="420"/>
    </row>
    <row r="147" spans="1:14" ht="14.4">
      <c r="A147" s="420"/>
      <c r="B147" s="420"/>
      <c r="C147" s="420"/>
      <c r="D147" s="421"/>
      <c r="E147" s="421"/>
      <c r="F147" s="421"/>
      <c r="G147" s="421"/>
      <c r="H147" s="421"/>
      <c r="I147" s="420"/>
      <c r="J147" s="421"/>
      <c r="K147" s="421"/>
      <c r="L147" s="421"/>
      <c r="M147" s="420"/>
      <c r="N147" s="420"/>
    </row>
    <row r="148" spans="1:14" ht="14.4">
      <c r="A148" s="420"/>
      <c r="B148" s="420"/>
      <c r="C148" s="420"/>
      <c r="D148" s="421"/>
      <c r="E148" s="421"/>
      <c r="F148" s="421"/>
      <c r="G148" s="421"/>
      <c r="H148" s="421"/>
      <c r="I148" s="420"/>
      <c r="J148" s="421"/>
      <c r="K148" s="421"/>
      <c r="L148" s="421"/>
      <c r="M148" s="420"/>
      <c r="N148" s="420"/>
    </row>
    <row r="149" spans="1:14" ht="14.4">
      <c r="A149" s="420"/>
      <c r="B149" s="420"/>
      <c r="C149" s="420"/>
      <c r="D149" s="421"/>
      <c r="E149" s="421"/>
      <c r="F149" s="421"/>
      <c r="G149" s="421"/>
      <c r="H149" s="421"/>
      <c r="I149" s="420"/>
      <c r="J149" s="421"/>
      <c r="K149" s="421"/>
      <c r="L149" s="421"/>
      <c r="M149" s="420"/>
      <c r="N149" s="420"/>
    </row>
    <row r="150" spans="1:14" ht="14.4">
      <c r="A150" s="420"/>
      <c r="B150" s="420"/>
      <c r="C150" s="420"/>
      <c r="D150" s="421"/>
      <c r="E150" s="421"/>
      <c r="F150" s="421"/>
      <c r="G150" s="421"/>
      <c r="H150" s="421"/>
      <c r="I150" s="420"/>
      <c r="J150" s="421"/>
      <c r="K150" s="421"/>
      <c r="L150" s="421"/>
      <c r="M150" s="420"/>
      <c r="N150" s="420"/>
    </row>
    <row r="151" spans="1:14" ht="14.4">
      <c r="A151" s="420"/>
      <c r="B151" s="420"/>
      <c r="C151" s="420"/>
      <c r="D151" s="421"/>
      <c r="E151" s="421"/>
      <c r="F151" s="421"/>
      <c r="G151" s="421"/>
      <c r="H151" s="421"/>
      <c r="I151" s="420"/>
      <c r="J151" s="421"/>
      <c r="K151" s="421"/>
      <c r="L151" s="421"/>
      <c r="M151" s="420"/>
      <c r="N151" s="420"/>
    </row>
    <row r="152" spans="1:14" ht="14.4">
      <c r="A152" s="420"/>
      <c r="B152" s="420"/>
      <c r="C152" s="420"/>
      <c r="D152" s="421"/>
      <c r="E152" s="421"/>
      <c r="F152" s="421"/>
      <c r="G152" s="421"/>
      <c r="H152" s="421"/>
      <c r="I152" s="420"/>
      <c r="J152" s="421"/>
      <c r="K152" s="421"/>
      <c r="L152" s="421"/>
      <c r="M152" s="420"/>
      <c r="N152" s="420"/>
    </row>
    <row r="153" spans="1:14" ht="14.4">
      <c r="A153" s="420"/>
      <c r="B153" s="420"/>
      <c r="C153" s="420"/>
      <c r="D153" s="421"/>
      <c r="E153" s="421"/>
      <c r="F153" s="421"/>
      <c r="G153" s="421"/>
      <c r="H153" s="421"/>
      <c r="I153" s="420"/>
      <c r="J153" s="421"/>
      <c r="K153" s="421"/>
      <c r="L153" s="421"/>
      <c r="M153" s="420"/>
      <c r="N153" s="420"/>
    </row>
    <row r="154" spans="1:14" ht="14.4">
      <c r="A154" s="420"/>
      <c r="B154" s="420"/>
      <c r="C154" s="420"/>
      <c r="D154" s="421"/>
      <c r="E154" s="421"/>
      <c r="F154" s="421"/>
      <c r="G154" s="421"/>
      <c r="H154" s="421"/>
      <c r="I154" s="420"/>
      <c r="J154" s="421"/>
      <c r="K154" s="421"/>
      <c r="L154" s="421"/>
      <c r="M154" s="420"/>
      <c r="N154" s="420"/>
    </row>
    <row r="155" spans="1:14" ht="14.4">
      <c r="A155" s="420"/>
      <c r="B155" s="420"/>
      <c r="C155" s="420"/>
      <c r="D155" s="421"/>
      <c r="E155" s="421"/>
      <c r="F155" s="421"/>
      <c r="G155" s="421"/>
      <c r="H155" s="421"/>
      <c r="I155" s="420"/>
      <c r="J155" s="421"/>
      <c r="K155" s="421"/>
      <c r="L155" s="421"/>
      <c r="M155" s="420"/>
      <c r="N155" s="420"/>
    </row>
    <row r="156" spans="1:14" ht="14.4">
      <c r="A156" s="420"/>
      <c r="B156" s="420"/>
      <c r="C156" s="420"/>
      <c r="D156" s="421"/>
      <c r="E156" s="421"/>
      <c r="F156" s="421"/>
      <c r="G156" s="421"/>
      <c r="H156" s="421"/>
      <c r="I156" s="420"/>
      <c r="J156" s="421"/>
      <c r="K156" s="421"/>
      <c r="L156" s="421"/>
      <c r="M156" s="420"/>
      <c r="N156" s="420"/>
    </row>
    <row r="157" spans="1:14" ht="14.4">
      <c r="A157" s="420"/>
      <c r="B157" s="420"/>
      <c r="C157" s="420"/>
      <c r="D157" s="421"/>
      <c r="E157" s="421"/>
      <c r="F157" s="421"/>
      <c r="G157" s="421"/>
      <c r="H157" s="421"/>
      <c r="I157" s="420"/>
      <c r="J157" s="421"/>
      <c r="K157" s="421"/>
      <c r="L157" s="421"/>
      <c r="M157" s="420"/>
      <c r="N157" s="420"/>
    </row>
    <row r="158" spans="1:14" ht="14.4">
      <c r="A158" s="420"/>
      <c r="B158" s="420"/>
      <c r="C158" s="420"/>
      <c r="D158" s="421"/>
      <c r="E158" s="421"/>
      <c r="F158" s="421"/>
      <c r="G158" s="421"/>
      <c r="H158" s="421"/>
      <c r="I158" s="420"/>
      <c r="J158" s="421"/>
      <c r="K158" s="421"/>
      <c r="L158" s="421"/>
      <c r="M158" s="420"/>
      <c r="N158" s="420"/>
    </row>
    <row r="159" spans="1:14" ht="14.4">
      <c r="A159" s="420"/>
      <c r="B159" s="420"/>
      <c r="C159" s="420"/>
      <c r="D159" s="421"/>
      <c r="E159" s="421"/>
      <c r="F159" s="421"/>
      <c r="G159" s="421"/>
      <c r="H159" s="421"/>
      <c r="I159" s="420"/>
      <c r="J159" s="421"/>
      <c r="K159" s="421"/>
      <c r="L159" s="421"/>
      <c r="M159" s="420"/>
      <c r="N159" s="420"/>
    </row>
    <row r="160" spans="1:14" ht="14.4">
      <c r="A160" s="420"/>
      <c r="B160" s="420"/>
      <c r="C160" s="420"/>
      <c r="D160" s="421"/>
      <c r="E160" s="421"/>
      <c r="F160" s="421"/>
      <c r="G160" s="421"/>
      <c r="H160" s="421"/>
      <c r="I160" s="420"/>
      <c r="J160" s="421"/>
      <c r="K160" s="421"/>
      <c r="L160" s="421"/>
      <c r="M160" s="420"/>
      <c r="N160" s="420"/>
    </row>
    <row r="161" spans="1:30" ht="14.4">
      <c r="A161" s="420"/>
      <c r="B161" s="420"/>
      <c r="C161" s="420"/>
      <c r="D161" s="421"/>
      <c r="E161" s="421"/>
      <c r="F161" s="421"/>
      <c r="G161" s="421"/>
      <c r="H161" s="421"/>
      <c r="I161" s="420"/>
      <c r="J161" s="421"/>
      <c r="K161" s="421"/>
      <c r="L161" s="421"/>
      <c r="M161" s="420"/>
      <c r="N161" s="420"/>
    </row>
    <row r="162" spans="1:30" ht="14.4">
      <c r="A162" s="420"/>
      <c r="B162" s="420"/>
      <c r="C162" s="420"/>
      <c r="D162" s="421"/>
      <c r="E162" s="421"/>
      <c r="F162" s="421"/>
      <c r="G162" s="421"/>
      <c r="H162" s="421"/>
      <c r="I162" s="420"/>
      <c r="J162" s="421"/>
      <c r="K162" s="421"/>
      <c r="L162" s="421"/>
      <c r="M162" s="420"/>
      <c r="N162" s="420"/>
    </row>
    <row r="163" spans="1:30" ht="14.4">
      <c r="A163" s="420"/>
      <c r="B163" s="420"/>
      <c r="C163" s="420"/>
      <c r="D163" s="421"/>
      <c r="E163" s="421"/>
      <c r="F163" s="421"/>
      <c r="G163" s="421"/>
      <c r="H163" s="421"/>
      <c r="I163" s="420"/>
      <c r="J163" s="421"/>
      <c r="K163" s="421"/>
      <c r="L163" s="421"/>
      <c r="M163" s="420"/>
      <c r="N163" s="420"/>
    </row>
    <row r="164" spans="1:30" ht="14.4">
      <c r="A164" s="420"/>
      <c r="B164" s="420"/>
      <c r="C164" s="420"/>
      <c r="D164" s="421"/>
      <c r="E164" s="421"/>
      <c r="F164" s="421"/>
      <c r="G164" s="421"/>
      <c r="H164" s="421"/>
      <c r="I164" s="420"/>
      <c r="J164" s="421"/>
      <c r="K164" s="421"/>
      <c r="L164" s="421"/>
      <c r="M164" s="420"/>
      <c r="N164" s="420"/>
    </row>
    <row r="165" spans="1:30" ht="14.4">
      <c r="A165" s="420"/>
      <c r="B165" s="420"/>
      <c r="C165" s="420"/>
      <c r="D165" s="421"/>
      <c r="E165" s="421"/>
      <c r="F165" s="421"/>
      <c r="G165" s="421"/>
      <c r="H165" s="421"/>
      <c r="I165" s="420"/>
      <c r="J165" s="421"/>
      <c r="K165" s="421"/>
      <c r="L165" s="421"/>
      <c r="M165" s="420"/>
      <c r="N165" s="420"/>
      <c r="AD165" t="s">
        <v>1367</v>
      </c>
    </row>
    <row r="166" spans="1:30" ht="14.4">
      <c r="A166" s="420"/>
      <c r="B166" s="420"/>
      <c r="C166" s="420"/>
      <c r="D166" s="421"/>
      <c r="E166" s="421"/>
      <c r="F166" s="421"/>
      <c r="G166" s="421"/>
      <c r="H166" s="421"/>
      <c r="I166" s="420"/>
      <c r="J166" s="421"/>
      <c r="K166" s="421"/>
      <c r="L166" s="421"/>
      <c r="M166" s="420"/>
      <c r="N166" s="420"/>
      <c r="AD166" t="s">
        <v>1368</v>
      </c>
    </row>
    <row r="167" spans="1:30" ht="14.4">
      <c r="A167" s="420"/>
      <c r="B167" s="420"/>
      <c r="C167" s="420"/>
      <c r="D167" s="421"/>
      <c r="E167" s="421"/>
      <c r="F167" s="421"/>
      <c r="G167" s="421"/>
      <c r="H167" s="421"/>
      <c r="I167" s="420"/>
      <c r="J167" s="421"/>
      <c r="K167" s="421"/>
      <c r="L167" s="421"/>
      <c r="M167" s="420"/>
      <c r="N167" s="420"/>
    </row>
    <row r="168" spans="1:30" ht="14.4">
      <c r="A168" s="420"/>
      <c r="B168" s="420"/>
      <c r="C168" s="420"/>
      <c r="D168" s="421"/>
      <c r="E168" s="421"/>
      <c r="F168" s="421"/>
      <c r="G168" s="421"/>
      <c r="H168" s="421"/>
      <c r="I168" s="420"/>
      <c r="J168" s="421"/>
      <c r="K168" s="421"/>
      <c r="L168" s="421"/>
      <c r="M168" s="420"/>
      <c r="N168" s="420"/>
    </row>
    <row r="169" spans="1:30" ht="14.4">
      <c r="A169" s="420"/>
      <c r="B169" s="420"/>
      <c r="C169" s="420"/>
      <c r="D169" s="421"/>
      <c r="E169" s="421"/>
      <c r="F169" s="421"/>
      <c r="G169" s="421"/>
      <c r="H169" s="421"/>
      <c r="I169" s="420"/>
      <c r="J169" s="421"/>
      <c r="K169" s="421"/>
      <c r="L169" s="421"/>
      <c r="M169" s="420"/>
      <c r="N169" s="420"/>
    </row>
    <row r="170" spans="1:30" ht="14.4">
      <c r="A170" s="420"/>
      <c r="B170" s="420"/>
      <c r="C170" s="420"/>
      <c r="D170" s="421"/>
      <c r="E170" s="421"/>
      <c r="F170" s="421"/>
      <c r="G170" s="421"/>
      <c r="H170" s="421"/>
      <c r="I170" s="420"/>
      <c r="J170" s="421"/>
      <c r="K170" s="421"/>
      <c r="L170" s="421"/>
      <c r="M170" s="420"/>
      <c r="N170" s="420"/>
    </row>
    <row r="171" spans="1:30" ht="14.4">
      <c r="A171" s="420"/>
      <c r="B171" s="420"/>
      <c r="C171" s="420"/>
      <c r="D171" s="421"/>
      <c r="E171" s="421"/>
      <c r="F171" s="421"/>
      <c r="G171" s="421"/>
      <c r="H171" s="421"/>
      <c r="I171" s="420"/>
      <c r="J171" s="421"/>
      <c r="K171" s="421"/>
      <c r="L171" s="421"/>
      <c r="M171" s="420"/>
      <c r="N171" s="420"/>
    </row>
    <row r="172" spans="1:30" ht="14.4">
      <c r="A172" s="420"/>
      <c r="B172" s="420"/>
      <c r="C172" s="420"/>
      <c r="D172" s="421"/>
      <c r="E172" s="421"/>
      <c r="F172" s="421"/>
      <c r="G172" s="421"/>
      <c r="H172" s="421"/>
      <c r="I172" s="420"/>
      <c r="J172" s="421"/>
      <c r="K172" s="421"/>
      <c r="L172" s="421"/>
      <c r="M172" s="420"/>
      <c r="N172" s="420"/>
    </row>
    <row r="173" spans="1:30" ht="14.4">
      <c r="A173" s="420"/>
      <c r="B173" s="420"/>
      <c r="C173" s="420"/>
      <c r="D173" s="421"/>
      <c r="E173" s="421"/>
      <c r="F173" s="421"/>
      <c r="G173" s="421"/>
      <c r="H173" s="421"/>
      <c r="I173" s="420"/>
      <c r="J173" s="421"/>
      <c r="K173" s="421"/>
      <c r="L173" s="421"/>
      <c r="M173" s="420"/>
      <c r="N173" s="420"/>
    </row>
    <row r="174" spans="1:30" ht="14.4">
      <c r="A174" s="420"/>
      <c r="B174" s="420"/>
      <c r="C174" s="420"/>
      <c r="D174" s="421"/>
      <c r="E174" s="421"/>
      <c r="F174" s="421"/>
      <c r="G174" s="421"/>
      <c r="H174" s="421"/>
      <c r="I174" s="420"/>
      <c r="J174" s="421"/>
      <c r="K174" s="421"/>
      <c r="L174" s="421"/>
      <c r="M174" s="420"/>
      <c r="N174" s="420"/>
    </row>
    <row r="175" spans="1:30" ht="14.4">
      <c r="A175" s="420"/>
      <c r="B175" s="420"/>
      <c r="C175" s="420"/>
      <c r="D175" s="421"/>
      <c r="E175" s="421"/>
      <c r="F175" s="421"/>
      <c r="G175" s="421"/>
      <c r="H175" s="421"/>
      <c r="I175" s="420"/>
      <c r="J175" s="421"/>
      <c r="K175" s="421"/>
      <c r="L175" s="421"/>
      <c r="M175" s="420"/>
      <c r="N175" s="420"/>
    </row>
    <row r="176" spans="1:30" ht="14.4">
      <c r="A176" s="420"/>
      <c r="B176" s="420"/>
      <c r="C176" s="420"/>
      <c r="D176" s="421"/>
      <c r="E176" s="421"/>
      <c r="F176" s="421"/>
      <c r="G176" s="421"/>
      <c r="H176" s="421"/>
      <c r="I176" s="420"/>
      <c r="J176" s="421"/>
      <c r="K176" s="421"/>
      <c r="L176" s="421"/>
      <c r="M176" s="420"/>
      <c r="N176" s="420"/>
    </row>
    <row r="177" spans="1:14" ht="14.4">
      <c r="A177" s="420"/>
      <c r="B177" s="420"/>
      <c r="C177" s="420"/>
      <c r="D177" s="421"/>
      <c r="E177" s="421"/>
      <c r="F177" s="421"/>
      <c r="G177" s="421"/>
      <c r="H177" s="421"/>
      <c r="I177" s="420"/>
      <c r="J177" s="421"/>
      <c r="K177" s="421"/>
      <c r="L177" s="421"/>
      <c r="M177" s="420"/>
      <c r="N177" s="420"/>
    </row>
    <row r="178" spans="1:14" ht="14.4">
      <c r="A178" s="420"/>
      <c r="B178" s="420"/>
      <c r="C178" s="420"/>
      <c r="D178" s="421"/>
      <c r="E178" s="421"/>
      <c r="F178" s="421"/>
      <c r="G178" s="421"/>
      <c r="H178" s="421"/>
      <c r="I178" s="420"/>
      <c r="J178" s="421"/>
      <c r="K178" s="421"/>
      <c r="L178" s="421"/>
      <c r="M178" s="420"/>
      <c r="N178" s="420"/>
    </row>
    <row r="179" spans="1:14" ht="14.4">
      <c r="A179" s="420"/>
      <c r="B179" s="420"/>
      <c r="C179" s="420"/>
      <c r="D179" s="421"/>
      <c r="E179" s="421"/>
      <c r="F179" s="421"/>
      <c r="G179" s="421"/>
      <c r="H179" s="421"/>
      <c r="I179" s="420"/>
      <c r="J179" s="421"/>
      <c r="K179" s="421"/>
      <c r="L179" s="421"/>
      <c r="M179" s="420"/>
      <c r="N179" s="420"/>
    </row>
    <row r="180" spans="1:14" ht="14.4">
      <c r="A180" s="420"/>
      <c r="B180" s="420"/>
      <c r="C180" s="420"/>
      <c r="D180" s="421"/>
      <c r="E180" s="421"/>
      <c r="F180" s="421"/>
      <c r="G180" s="421"/>
      <c r="H180" s="421"/>
      <c r="I180" s="420"/>
      <c r="J180" s="421"/>
      <c r="K180" s="421"/>
      <c r="L180" s="421"/>
      <c r="M180" s="420"/>
      <c r="N180" s="420"/>
    </row>
    <row r="181" spans="1:14" ht="14.4">
      <c r="A181" s="420"/>
      <c r="B181" s="420"/>
      <c r="C181" s="420"/>
      <c r="D181" s="421"/>
      <c r="E181" s="421"/>
      <c r="F181" s="421"/>
      <c r="G181" s="421"/>
      <c r="H181" s="421"/>
      <c r="I181" s="420"/>
      <c r="J181" s="421"/>
      <c r="K181" s="421"/>
      <c r="L181" s="421"/>
      <c r="M181" s="420"/>
      <c r="N181" s="420"/>
    </row>
    <row r="182" spans="1:14" ht="14.4">
      <c r="A182" s="420"/>
      <c r="B182" s="420"/>
      <c r="C182" s="420"/>
      <c r="D182" s="421"/>
      <c r="E182" s="421"/>
      <c r="F182" s="421"/>
      <c r="G182" s="421"/>
      <c r="H182" s="421"/>
      <c r="I182" s="420"/>
      <c r="J182" s="421"/>
      <c r="K182" s="421"/>
      <c r="L182" s="421"/>
      <c r="M182" s="420"/>
      <c r="N182" s="420"/>
    </row>
    <row r="183" spans="1:14" ht="14.4">
      <c r="A183" s="420"/>
      <c r="B183" s="420"/>
      <c r="C183" s="420"/>
      <c r="D183" s="421"/>
      <c r="E183" s="421"/>
      <c r="F183" s="421"/>
      <c r="G183" s="421"/>
      <c r="H183" s="421"/>
      <c r="I183" s="420"/>
      <c r="J183" s="421"/>
      <c r="K183" s="421"/>
      <c r="L183" s="421"/>
      <c r="M183" s="420"/>
      <c r="N183" s="420"/>
    </row>
    <row r="184" spans="1:14" ht="14.4">
      <c r="A184" s="420"/>
      <c r="B184" s="420"/>
      <c r="C184" s="420"/>
      <c r="D184" s="421"/>
      <c r="E184" s="421"/>
      <c r="F184" s="421"/>
      <c r="G184" s="421"/>
      <c r="H184" s="421"/>
      <c r="I184" s="420"/>
      <c r="J184" s="421"/>
      <c r="K184" s="421"/>
      <c r="L184" s="421"/>
      <c r="M184" s="420"/>
      <c r="N184" s="420"/>
    </row>
    <row r="185" spans="1:14" ht="14.4">
      <c r="A185" s="420"/>
      <c r="B185" s="420"/>
      <c r="C185" s="420"/>
      <c r="D185" s="421"/>
      <c r="E185" s="421"/>
      <c r="F185" s="421"/>
      <c r="G185" s="421"/>
      <c r="H185" s="421"/>
      <c r="I185" s="420"/>
      <c r="J185" s="421"/>
      <c r="K185" s="421"/>
      <c r="L185" s="421"/>
      <c r="M185" s="420"/>
      <c r="N185" s="420"/>
    </row>
    <row r="186" spans="1:14" ht="14.4">
      <c r="A186" s="420"/>
      <c r="B186" s="420"/>
      <c r="C186" s="420"/>
      <c r="D186" s="421"/>
      <c r="E186" s="421"/>
      <c r="F186" s="421"/>
      <c r="G186" s="421"/>
      <c r="H186" s="421"/>
      <c r="I186" s="420"/>
      <c r="J186" s="421"/>
      <c r="K186" s="421"/>
      <c r="L186" s="421"/>
      <c r="M186" s="420"/>
      <c r="N186" s="420"/>
    </row>
    <row r="187" spans="1:14" ht="14.4">
      <c r="A187" s="420"/>
      <c r="B187" s="420"/>
      <c r="C187" s="420"/>
      <c r="D187" s="421"/>
      <c r="E187" s="421"/>
      <c r="F187" s="421"/>
      <c r="G187" s="421"/>
      <c r="H187" s="421"/>
      <c r="I187" s="420"/>
      <c r="J187" s="421"/>
      <c r="K187" s="421"/>
      <c r="L187" s="421"/>
      <c r="M187" s="420"/>
      <c r="N187" s="420"/>
    </row>
    <row r="188" spans="1:14" ht="14.4">
      <c r="A188" s="420"/>
      <c r="B188" s="420"/>
      <c r="C188" s="420"/>
      <c r="D188" s="421"/>
      <c r="E188" s="421"/>
      <c r="F188" s="421"/>
      <c r="G188" s="421"/>
      <c r="H188" s="421"/>
      <c r="I188" s="420"/>
      <c r="J188" s="421"/>
      <c r="K188" s="421"/>
      <c r="L188" s="421"/>
      <c r="M188" s="420"/>
      <c r="N188" s="420"/>
    </row>
    <row r="189" spans="1:14" ht="14.4">
      <c r="A189" s="420"/>
      <c r="B189" s="420"/>
      <c r="C189" s="420"/>
      <c r="D189" s="421"/>
      <c r="E189" s="421"/>
      <c r="F189" s="421"/>
      <c r="G189" s="421"/>
      <c r="H189" s="421"/>
      <c r="I189" s="420"/>
      <c r="J189" s="421"/>
      <c r="K189" s="421"/>
      <c r="L189" s="421"/>
      <c r="M189" s="420"/>
      <c r="N189" s="420"/>
    </row>
    <row r="190" spans="1:14" ht="14.4">
      <c r="A190" s="420"/>
      <c r="B190" s="420"/>
      <c r="C190" s="420"/>
      <c r="D190" s="421"/>
      <c r="E190" s="421"/>
      <c r="F190" s="421"/>
      <c r="G190" s="421"/>
      <c r="H190" s="421"/>
      <c r="I190" s="420"/>
      <c r="J190" s="421"/>
      <c r="K190" s="421"/>
      <c r="L190" s="421"/>
      <c r="M190" s="420"/>
      <c r="N190" s="420"/>
    </row>
    <row r="191" spans="1:14" ht="14.4">
      <c r="A191" s="420"/>
      <c r="B191" s="420"/>
      <c r="C191" s="420"/>
      <c r="D191" s="421"/>
      <c r="E191" s="421"/>
      <c r="F191" s="421"/>
      <c r="G191" s="421"/>
      <c r="H191" s="421"/>
      <c r="I191" s="420"/>
      <c r="J191" s="421"/>
      <c r="K191" s="421"/>
      <c r="L191" s="421"/>
      <c r="M191" s="420"/>
      <c r="N191" s="420"/>
    </row>
    <row r="192" spans="1:14" ht="14.4">
      <c r="A192" s="420"/>
      <c r="B192" s="420"/>
      <c r="C192" s="420"/>
      <c r="D192" s="421"/>
      <c r="E192" s="421"/>
      <c r="F192" s="421"/>
      <c r="G192" s="421"/>
      <c r="H192" s="421"/>
      <c r="I192" s="420"/>
      <c r="J192" s="421"/>
      <c r="K192" s="421"/>
      <c r="L192" s="421"/>
      <c r="M192" s="420"/>
      <c r="N192" s="420"/>
    </row>
    <row r="193" spans="1:14" ht="14.4">
      <c r="A193" s="420"/>
      <c r="B193" s="420"/>
      <c r="C193" s="420"/>
      <c r="D193" s="421"/>
      <c r="E193" s="421"/>
      <c r="F193" s="421"/>
      <c r="G193" s="421"/>
      <c r="H193" s="421"/>
      <c r="I193" s="420"/>
      <c r="J193" s="421"/>
      <c r="K193" s="421"/>
      <c r="L193" s="421"/>
      <c r="M193" s="420"/>
      <c r="N193" s="420"/>
    </row>
    <row r="194" spans="1:14" ht="14.4">
      <c r="A194" s="420"/>
      <c r="B194" s="420"/>
      <c r="C194" s="420"/>
      <c r="D194" s="421"/>
      <c r="E194" s="421"/>
      <c r="F194" s="421"/>
      <c r="G194" s="421"/>
      <c r="H194" s="421"/>
      <c r="I194" s="420"/>
      <c r="J194" s="421"/>
      <c r="K194" s="421"/>
      <c r="L194" s="421"/>
      <c r="M194" s="420"/>
      <c r="N194" s="420"/>
    </row>
    <row r="195" spans="1:14" ht="14.4">
      <c r="A195" s="420"/>
      <c r="B195" s="420"/>
      <c r="C195" s="420"/>
      <c r="D195" s="421"/>
      <c r="E195" s="421"/>
      <c r="F195" s="421"/>
      <c r="G195" s="421"/>
      <c r="H195" s="421"/>
      <c r="I195" s="420"/>
      <c r="J195" s="421"/>
      <c r="K195" s="421"/>
      <c r="L195" s="421"/>
      <c r="M195" s="420"/>
      <c r="N195" s="420"/>
    </row>
    <row r="196" spans="1:14" ht="14.4">
      <c r="A196" s="420"/>
      <c r="B196" s="420"/>
      <c r="C196" s="420"/>
      <c r="D196" s="421"/>
      <c r="E196" s="421"/>
      <c r="F196" s="421"/>
      <c r="G196" s="421"/>
      <c r="H196" s="421"/>
      <c r="I196" s="420"/>
      <c r="J196" s="421"/>
      <c r="K196" s="421"/>
      <c r="L196" s="421"/>
      <c r="M196" s="420"/>
      <c r="N196" s="420"/>
    </row>
    <row r="197" spans="1:14" ht="14.4">
      <c r="A197" s="420"/>
      <c r="B197" s="420"/>
      <c r="C197" s="420"/>
      <c r="D197" s="421"/>
      <c r="E197" s="421"/>
      <c r="F197" s="421"/>
      <c r="G197" s="421"/>
      <c r="H197" s="421"/>
      <c r="I197" s="420"/>
      <c r="J197" s="421"/>
      <c r="K197" s="421"/>
      <c r="L197" s="421"/>
      <c r="M197" s="420"/>
      <c r="N197" s="420"/>
    </row>
    <row r="198" spans="1:14" ht="14.4">
      <c r="A198" s="420"/>
      <c r="B198" s="420"/>
      <c r="C198" s="420"/>
      <c r="D198" s="421"/>
      <c r="E198" s="421"/>
      <c r="F198" s="421"/>
      <c r="G198" s="421"/>
      <c r="H198" s="421"/>
      <c r="I198" s="420"/>
      <c r="J198" s="421"/>
      <c r="K198" s="421"/>
      <c r="L198" s="421"/>
      <c r="M198" s="420"/>
      <c r="N198" s="420"/>
    </row>
    <row r="199" spans="1:14" ht="14.4">
      <c r="A199" s="419"/>
      <c r="B199" s="419"/>
      <c r="C199" s="419"/>
      <c r="D199" s="422"/>
      <c r="E199" s="422"/>
      <c r="F199" s="422"/>
      <c r="G199" s="422"/>
      <c r="H199" s="422"/>
      <c r="I199" s="419"/>
      <c r="J199" s="422"/>
      <c r="K199" s="422"/>
      <c r="L199" s="422"/>
      <c r="M199" s="419"/>
      <c r="N199" s="419"/>
    </row>
    <row r="200" spans="1:14" ht="14.4">
      <c r="A200" s="420"/>
      <c r="B200" s="420"/>
      <c r="C200" s="420"/>
      <c r="D200" s="421"/>
      <c r="E200" s="421"/>
      <c r="F200" s="421"/>
      <c r="G200" s="421"/>
      <c r="H200" s="421"/>
      <c r="I200" s="420"/>
      <c r="J200" s="421"/>
      <c r="K200" s="421"/>
      <c r="L200" s="421"/>
      <c r="M200" s="420"/>
      <c r="N200" s="420"/>
    </row>
    <row r="201" spans="1:14" ht="14.4">
      <c r="A201" s="420"/>
      <c r="B201" s="420"/>
      <c r="C201" s="420"/>
      <c r="D201" s="421"/>
      <c r="E201" s="421"/>
      <c r="F201" s="421"/>
      <c r="G201" s="421"/>
      <c r="H201" s="421"/>
      <c r="I201" s="420"/>
      <c r="J201" s="421"/>
      <c r="K201" s="421"/>
      <c r="L201" s="421"/>
      <c r="M201" s="420"/>
      <c r="N201" s="420"/>
    </row>
    <row r="202" spans="1:14" ht="14.4">
      <c r="A202" s="420"/>
      <c r="B202" s="420"/>
      <c r="C202" s="420"/>
      <c r="D202" s="421"/>
      <c r="E202" s="421"/>
      <c r="F202" s="421"/>
      <c r="G202" s="421"/>
      <c r="H202" s="421"/>
      <c r="I202" s="420"/>
      <c r="J202" s="421"/>
      <c r="K202" s="421"/>
      <c r="L202" s="421"/>
      <c r="M202" s="420"/>
      <c r="N202" s="420"/>
    </row>
    <row r="203" spans="1:14" ht="14.4">
      <c r="A203" s="420"/>
      <c r="B203" s="420"/>
      <c r="C203" s="420"/>
      <c r="D203" s="421"/>
      <c r="E203" s="421"/>
      <c r="F203" s="421"/>
      <c r="G203" s="421"/>
      <c r="H203" s="421"/>
      <c r="I203" s="420"/>
      <c r="J203" s="421"/>
      <c r="K203" s="421"/>
      <c r="L203" s="421"/>
      <c r="M203" s="420"/>
      <c r="N203" s="420"/>
    </row>
    <row r="204" spans="1:14" ht="14.4">
      <c r="A204" s="420"/>
      <c r="B204" s="420"/>
      <c r="C204" s="420"/>
      <c r="D204" s="421"/>
      <c r="E204" s="421"/>
      <c r="F204" s="421"/>
      <c r="G204" s="421"/>
      <c r="H204" s="421"/>
      <c r="I204" s="420"/>
      <c r="J204" s="421"/>
      <c r="K204" s="421"/>
      <c r="L204" s="421"/>
      <c r="M204" s="420"/>
      <c r="N204" s="420"/>
    </row>
    <row r="205" spans="1:14" ht="14.4">
      <c r="A205" s="420"/>
      <c r="B205" s="420"/>
      <c r="C205" s="420"/>
      <c r="D205" s="421"/>
      <c r="E205" s="421"/>
      <c r="F205" s="421"/>
      <c r="G205" s="421"/>
      <c r="H205" s="421"/>
      <c r="I205" s="420"/>
      <c r="J205" s="421"/>
      <c r="K205" s="421"/>
      <c r="L205" s="421"/>
      <c r="M205" s="420"/>
      <c r="N205" s="420"/>
    </row>
    <row r="206" spans="1:14" ht="14.4">
      <c r="A206" s="420"/>
      <c r="B206" s="420"/>
      <c r="C206" s="420"/>
      <c r="D206" s="421"/>
      <c r="E206" s="421"/>
      <c r="F206" s="421"/>
      <c r="G206" s="421"/>
      <c r="H206" s="421"/>
      <c r="I206" s="420"/>
      <c r="J206" s="421"/>
      <c r="K206" s="421"/>
      <c r="L206" s="421"/>
      <c r="M206" s="420"/>
      <c r="N206" s="420"/>
    </row>
    <row r="207" spans="1:14" ht="14.4">
      <c r="A207" s="420"/>
      <c r="B207" s="420"/>
      <c r="C207" s="420"/>
      <c r="D207" s="421"/>
      <c r="E207" s="421"/>
      <c r="F207" s="421"/>
      <c r="G207" s="421"/>
      <c r="H207" s="421"/>
      <c r="I207" s="420"/>
      <c r="J207" s="421"/>
      <c r="K207" s="421"/>
      <c r="L207" s="421"/>
      <c r="M207" s="420"/>
      <c r="N207" s="420"/>
    </row>
    <row r="208" spans="1:14" ht="14.4">
      <c r="A208" s="420"/>
      <c r="B208" s="420"/>
      <c r="C208" s="420"/>
      <c r="D208" s="421"/>
      <c r="E208" s="421"/>
      <c r="F208" s="421"/>
      <c r="G208" s="421"/>
      <c r="H208" s="421"/>
      <c r="I208" s="420"/>
      <c r="J208" s="421"/>
      <c r="K208" s="421"/>
      <c r="L208" s="421"/>
      <c r="M208" s="420"/>
      <c r="N208" s="420"/>
    </row>
    <row r="209" spans="1:14" ht="14.4">
      <c r="A209" s="420"/>
      <c r="B209" s="420"/>
      <c r="C209" s="420"/>
      <c r="D209" s="421"/>
      <c r="E209" s="421"/>
      <c r="F209" s="421"/>
      <c r="G209" s="421"/>
      <c r="H209" s="421"/>
      <c r="I209" s="420"/>
      <c r="J209" s="421"/>
      <c r="K209" s="421"/>
      <c r="L209" s="421"/>
      <c r="M209" s="420"/>
      <c r="N209" s="420"/>
    </row>
    <row r="210" spans="1:14" ht="14.4">
      <c r="A210" s="420"/>
      <c r="B210" s="420"/>
      <c r="C210" s="420"/>
      <c r="D210" s="421"/>
      <c r="E210" s="421"/>
      <c r="F210" s="421"/>
      <c r="G210" s="421"/>
      <c r="H210" s="421"/>
      <c r="I210" s="420"/>
      <c r="J210" s="421"/>
      <c r="K210" s="421"/>
      <c r="L210" s="421"/>
      <c r="M210" s="420"/>
      <c r="N210" s="420"/>
    </row>
    <row r="211" spans="1:14" ht="14.4">
      <c r="A211" s="420"/>
      <c r="B211" s="420"/>
      <c r="C211" s="420"/>
      <c r="D211" s="421"/>
      <c r="E211" s="421"/>
      <c r="F211" s="421"/>
      <c r="G211" s="421"/>
      <c r="H211" s="421"/>
      <c r="I211" s="420"/>
      <c r="J211" s="421"/>
      <c r="K211" s="421"/>
      <c r="L211" s="421"/>
      <c r="M211" s="420"/>
      <c r="N211" s="420"/>
    </row>
    <row r="212" spans="1:14" ht="14.4">
      <c r="A212" s="420"/>
      <c r="B212" s="420"/>
      <c r="C212" s="420"/>
      <c r="D212" s="421"/>
      <c r="E212" s="421"/>
      <c r="F212" s="421"/>
      <c r="G212" s="421"/>
      <c r="H212" s="421"/>
      <c r="I212" s="420"/>
      <c r="J212" s="421"/>
      <c r="K212" s="421"/>
      <c r="L212" s="421"/>
      <c r="M212" s="420"/>
      <c r="N212" s="420"/>
    </row>
    <row r="213" spans="1:14" ht="14.4">
      <c r="A213" s="420"/>
      <c r="B213" s="420"/>
      <c r="C213" s="420"/>
      <c r="D213" s="421"/>
      <c r="E213" s="421"/>
      <c r="F213" s="421"/>
      <c r="G213" s="421"/>
      <c r="H213" s="421"/>
      <c r="I213" s="420"/>
      <c r="J213" s="421"/>
      <c r="K213" s="421"/>
      <c r="L213" s="421"/>
      <c r="M213" s="420"/>
      <c r="N213" s="420"/>
    </row>
    <row r="214" spans="1:14" ht="14.4">
      <c r="A214" s="420"/>
      <c r="B214" s="420"/>
      <c r="C214" s="420"/>
      <c r="D214" s="421"/>
      <c r="E214" s="421"/>
      <c r="F214" s="421"/>
      <c r="G214" s="421"/>
      <c r="H214" s="421"/>
      <c r="I214" s="420"/>
      <c r="J214" s="421"/>
      <c r="K214" s="421"/>
      <c r="L214" s="421"/>
      <c r="M214" s="420"/>
      <c r="N214" s="420"/>
    </row>
    <row r="215" spans="1:14" ht="14.4">
      <c r="A215" s="420"/>
      <c r="B215" s="420"/>
      <c r="C215" s="420"/>
      <c r="D215" s="421"/>
      <c r="E215" s="421"/>
      <c r="F215" s="421"/>
      <c r="G215" s="421"/>
      <c r="H215" s="421"/>
      <c r="I215" s="420"/>
      <c r="J215" s="421"/>
      <c r="K215" s="421"/>
      <c r="L215" s="421"/>
      <c r="M215" s="420"/>
      <c r="N215" s="420"/>
    </row>
    <row r="216" spans="1:14" ht="14.4">
      <c r="A216" s="420"/>
      <c r="B216" s="420"/>
      <c r="C216" s="420"/>
      <c r="D216" s="421"/>
      <c r="E216" s="421"/>
      <c r="F216" s="421"/>
      <c r="G216" s="421"/>
      <c r="H216" s="421"/>
      <c r="I216" s="420"/>
      <c r="J216" s="421"/>
      <c r="K216" s="421"/>
      <c r="L216" s="421"/>
      <c r="M216" s="420"/>
      <c r="N216" s="420"/>
    </row>
    <row r="217" spans="1:14" ht="14.4">
      <c r="A217" s="420"/>
      <c r="B217" s="420"/>
      <c r="C217" s="420"/>
      <c r="D217" s="421"/>
      <c r="E217" s="421"/>
      <c r="F217" s="421"/>
      <c r="G217" s="421"/>
      <c r="H217" s="421"/>
      <c r="I217" s="420"/>
      <c r="J217" s="421"/>
      <c r="K217" s="421"/>
      <c r="L217" s="421"/>
      <c r="M217" s="420"/>
      <c r="N217" s="420"/>
    </row>
    <row r="218" spans="1:14" ht="14.4">
      <c r="A218" s="420"/>
      <c r="B218" s="420"/>
      <c r="C218" s="420"/>
      <c r="D218" s="421"/>
      <c r="E218" s="421"/>
      <c r="F218" s="421"/>
      <c r="G218" s="421"/>
      <c r="H218" s="421"/>
      <c r="I218" s="420"/>
      <c r="J218" s="421"/>
      <c r="K218" s="421"/>
      <c r="L218" s="421"/>
      <c r="M218" s="420"/>
      <c r="N218" s="420"/>
    </row>
    <row r="219" spans="1:14" ht="14.4">
      <c r="A219" s="420"/>
      <c r="B219" s="420"/>
      <c r="C219" s="420"/>
      <c r="D219" s="421"/>
      <c r="E219" s="421"/>
      <c r="F219" s="421"/>
      <c r="G219" s="421"/>
      <c r="H219" s="421"/>
      <c r="I219" s="420"/>
      <c r="J219" s="421"/>
      <c r="K219" s="421"/>
      <c r="L219" s="421"/>
      <c r="M219" s="420"/>
      <c r="N219" s="420"/>
    </row>
    <row r="220" spans="1:14" ht="14.4">
      <c r="A220" s="419"/>
      <c r="B220" s="419"/>
      <c r="C220" s="419"/>
      <c r="D220" s="422"/>
      <c r="E220" s="422"/>
      <c r="F220" s="422"/>
      <c r="G220" s="422"/>
      <c r="H220" s="422"/>
      <c r="I220" s="419"/>
      <c r="J220" s="422"/>
      <c r="K220" s="422"/>
      <c r="L220" s="422"/>
      <c r="M220" s="419"/>
      <c r="N220" s="419"/>
    </row>
    <row r="221" spans="1:14" ht="14.4">
      <c r="A221" s="420"/>
      <c r="B221" s="420"/>
      <c r="C221" s="420"/>
      <c r="D221" s="421"/>
      <c r="E221" s="421"/>
      <c r="F221" s="421"/>
      <c r="G221" s="421"/>
      <c r="H221" s="421"/>
      <c r="I221" s="420"/>
      <c r="J221" s="421"/>
      <c r="K221" s="421"/>
      <c r="L221" s="421"/>
      <c r="M221" s="420"/>
      <c r="N221" s="420"/>
    </row>
    <row r="222" spans="1:14" ht="14.4">
      <c r="A222" s="420"/>
      <c r="B222" s="420"/>
      <c r="C222" s="420"/>
      <c r="D222" s="421"/>
      <c r="E222" s="421"/>
      <c r="F222" s="421"/>
      <c r="G222" s="421"/>
      <c r="H222" s="421"/>
      <c r="I222" s="420"/>
      <c r="J222" s="421"/>
      <c r="K222" s="421"/>
      <c r="L222" s="421"/>
      <c r="M222" s="420"/>
      <c r="N222" s="420"/>
    </row>
    <row r="223" spans="1:14" ht="14.4">
      <c r="A223" s="420"/>
      <c r="B223" s="420"/>
      <c r="C223" s="420"/>
      <c r="D223" s="421"/>
      <c r="E223" s="421"/>
      <c r="F223" s="421"/>
      <c r="G223" s="421"/>
      <c r="H223" s="421"/>
      <c r="I223" s="420"/>
      <c r="J223" s="421"/>
      <c r="K223" s="421"/>
      <c r="L223" s="421"/>
      <c r="M223" s="420"/>
      <c r="N223" s="420"/>
    </row>
    <row r="224" spans="1:14" ht="14.4">
      <c r="A224" s="420"/>
      <c r="B224" s="420"/>
      <c r="C224" s="420"/>
      <c r="D224" s="421"/>
      <c r="E224" s="421"/>
      <c r="F224" s="421"/>
      <c r="G224" s="421"/>
      <c r="H224" s="421"/>
      <c r="I224" s="420"/>
      <c r="J224" s="421"/>
      <c r="K224" s="421"/>
      <c r="L224" s="421"/>
      <c r="M224" s="420"/>
      <c r="N224" s="420"/>
    </row>
    <row r="225" spans="1:14" ht="14.4">
      <c r="A225" s="420"/>
      <c r="B225" s="420"/>
      <c r="C225" s="420"/>
      <c r="D225" s="421"/>
      <c r="E225" s="421"/>
      <c r="F225" s="421"/>
      <c r="G225" s="421"/>
      <c r="H225" s="421"/>
      <c r="I225" s="420"/>
      <c r="J225" s="421"/>
      <c r="K225" s="421"/>
      <c r="L225" s="421"/>
      <c r="M225" s="420"/>
      <c r="N225" s="420"/>
    </row>
    <row r="226" spans="1:14" ht="14.4">
      <c r="A226" s="419"/>
      <c r="B226" s="419"/>
      <c r="C226" s="419"/>
      <c r="D226" s="422"/>
      <c r="E226" s="422"/>
      <c r="F226" s="422"/>
      <c r="G226" s="422"/>
      <c r="H226" s="422"/>
      <c r="I226" s="419"/>
      <c r="J226" s="422"/>
      <c r="K226" s="422"/>
      <c r="L226" s="422"/>
      <c r="M226" s="419"/>
      <c r="N226" s="419"/>
    </row>
    <row r="227" spans="1:14" ht="14.4">
      <c r="A227" s="382"/>
      <c r="B227" s="382"/>
      <c r="C227" s="382"/>
      <c r="D227" s="383"/>
      <c r="E227" s="383"/>
      <c r="F227" s="383"/>
      <c r="G227" s="383"/>
      <c r="H227" s="383"/>
      <c r="I227" s="382"/>
      <c r="J227" s="383"/>
      <c r="K227" s="383"/>
      <c r="L227" s="383"/>
      <c r="M227" s="382"/>
      <c r="N227" s="382"/>
    </row>
    <row r="228" spans="1:14" ht="14.4">
      <c r="A228" s="382"/>
      <c r="B228" s="382"/>
      <c r="C228" s="382"/>
      <c r="D228" s="383"/>
      <c r="E228" s="383"/>
      <c r="F228" s="383"/>
      <c r="G228" s="383"/>
      <c r="H228" s="383"/>
      <c r="I228" s="382"/>
      <c r="J228" s="383"/>
      <c r="K228" s="383"/>
      <c r="L228" s="383"/>
      <c r="M228" s="382"/>
      <c r="N228" s="382"/>
    </row>
    <row r="229" spans="1:14" ht="14.4">
      <c r="A229" s="382"/>
      <c r="B229" s="382"/>
      <c r="C229" s="382"/>
      <c r="D229" s="383"/>
      <c r="E229" s="383"/>
      <c r="F229" s="383"/>
      <c r="G229" s="383"/>
      <c r="H229" s="383"/>
      <c r="I229" s="382"/>
      <c r="J229" s="383"/>
      <c r="K229" s="383"/>
      <c r="L229" s="383"/>
      <c r="M229" s="382"/>
      <c r="N229" s="382"/>
    </row>
    <row r="230" spans="1:14" ht="14.4">
      <c r="A230" s="382"/>
      <c r="B230" s="382"/>
      <c r="C230" s="382"/>
      <c r="D230" s="383"/>
      <c r="E230" s="383"/>
      <c r="F230" s="383"/>
      <c r="G230" s="383"/>
      <c r="H230" s="383"/>
      <c r="I230" s="382"/>
      <c r="J230" s="383"/>
      <c r="K230" s="383"/>
      <c r="L230" s="383"/>
      <c r="M230" s="382"/>
      <c r="N230" s="382"/>
    </row>
    <row r="231" spans="1:14" ht="14.4">
      <c r="A231" s="382"/>
      <c r="B231" s="382"/>
      <c r="C231" s="382"/>
      <c r="D231" s="383"/>
      <c r="E231" s="383"/>
      <c r="F231" s="383"/>
      <c r="G231" s="383"/>
      <c r="H231" s="383"/>
      <c r="I231" s="382"/>
      <c r="J231" s="383"/>
      <c r="K231" s="383"/>
      <c r="L231" s="383"/>
      <c r="M231" s="382"/>
      <c r="N231" s="382"/>
    </row>
    <row r="232" spans="1:14" ht="14.4">
      <c r="A232" s="382"/>
      <c r="B232" s="382"/>
      <c r="C232" s="382"/>
      <c r="D232" s="383"/>
      <c r="E232" s="383"/>
      <c r="F232" s="383"/>
      <c r="G232" s="383"/>
      <c r="H232" s="383"/>
      <c r="I232" s="382"/>
      <c r="J232" s="383"/>
      <c r="K232" s="383"/>
      <c r="L232" s="383"/>
      <c r="M232" s="382"/>
      <c r="N232" s="382"/>
    </row>
    <row r="233" spans="1:14" ht="14.4">
      <c r="A233" s="382"/>
      <c r="B233" s="382"/>
      <c r="C233" s="382"/>
      <c r="D233" s="383"/>
      <c r="E233" s="383"/>
      <c r="F233" s="383"/>
      <c r="G233" s="383"/>
      <c r="H233" s="383"/>
      <c r="I233" s="382"/>
      <c r="J233" s="383"/>
      <c r="K233" s="383"/>
      <c r="L233" s="383"/>
      <c r="M233" s="382"/>
      <c r="N233" s="382"/>
    </row>
    <row r="234" spans="1:14" ht="14.4">
      <c r="A234" s="382"/>
      <c r="B234" s="382"/>
      <c r="C234" s="382"/>
      <c r="D234" s="383"/>
      <c r="E234" s="383"/>
      <c r="F234" s="383"/>
      <c r="G234" s="383"/>
      <c r="H234" s="383"/>
      <c r="I234" s="382"/>
      <c r="J234" s="383"/>
      <c r="K234" s="383"/>
      <c r="L234" s="383"/>
      <c r="M234" s="382"/>
      <c r="N234" s="382"/>
    </row>
    <row r="235" spans="1:14" ht="14.4">
      <c r="A235" s="382"/>
      <c r="B235" s="382"/>
      <c r="C235" s="382"/>
      <c r="D235" s="383"/>
      <c r="E235" s="383"/>
      <c r="F235" s="383"/>
      <c r="G235" s="383"/>
      <c r="H235" s="383"/>
      <c r="I235" s="382"/>
      <c r="J235" s="383"/>
      <c r="K235" s="383"/>
      <c r="L235" s="383"/>
      <c r="M235" s="382"/>
      <c r="N235" s="382"/>
    </row>
    <row r="236" spans="1:14" ht="14.4">
      <c r="A236" s="382"/>
      <c r="B236" s="382"/>
      <c r="C236" s="382"/>
      <c r="D236" s="383"/>
      <c r="E236" s="383"/>
      <c r="F236" s="383"/>
      <c r="G236" s="383"/>
      <c r="H236" s="383"/>
      <c r="I236" s="382"/>
      <c r="J236" s="383"/>
      <c r="K236" s="383"/>
      <c r="L236" s="383"/>
      <c r="M236" s="382"/>
      <c r="N236" s="382"/>
    </row>
    <row r="237" spans="1:14" ht="14.4">
      <c r="A237" s="382"/>
      <c r="B237" s="382"/>
      <c r="C237" s="382"/>
      <c r="D237" s="383"/>
      <c r="E237" s="383"/>
      <c r="F237" s="383"/>
      <c r="G237" s="383"/>
      <c r="H237" s="383"/>
      <c r="I237" s="382"/>
      <c r="J237" s="383"/>
      <c r="K237" s="383"/>
      <c r="L237" s="383"/>
      <c r="M237" s="382"/>
      <c r="N237" s="382"/>
    </row>
    <row r="238" spans="1:14" ht="14.4">
      <c r="A238" s="382"/>
      <c r="B238" s="382"/>
      <c r="C238" s="382"/>
      <c r="D238" s="383"/>
      <c r="E238" s="383"/>
      <c r="F238" s="383"/>
      <c r="G238" s="383"/>
      <c r="H238" s="383"/>
      <c r="I238" s="382"/>
      <c r="J238" s="383"/>
      <c r="K238" s="383"/>
      <c r="L238" s="383"/>
      <c r="M238" s="382"/>
      <c r="N238" s="382"/>
    </row>
    <row r="239" spans="1:14" ht="14.4">
      <c r="A239" s="382"/>
      <c r="B239" s="382"/>
      <c r="C239" s="382"/>
      <c r="D239" s="383"/>
      <c r="E239" s="383"/>
      <c r="F239" s="383"/>
      <c r="G239" s="383"/>
      <c r="H239" s="383"/>
      <c r="I239" s="382"/>
      <c r="J239" s="383"/>
      <c r="K239" s="383"/>
      <c r="L239" s="383"/>
      <c r="M239" s="382"/>
      <c r="N239" s="382"/>
    </row>
    <row r="240" spans="1:14" ht="14.4">
      <c r="A240" s="382"/>
      <c r="B240" s="382"/>
      <c r="C240" s="382"/>
      <c r="D240" s="383"/>
      <c r="E240" s="383"/>
      <c r="F240" s="383"/>
      <c r="G240" s="383"/>
      <c r="H240" s="383"/>
      <c r="I240" s="382"/>
      <c r="J240" s="383"/>
      <c r="K240" s="383"/>
      <c r="L240" s="383"/>
      <c r="M240" s="382"/>
      <c r="N240" s="382"/>
    </row>
    <row r="241" spans="1:14" ht="14.4">
      <c r="A241" s="382"/>
      <c r="B241" s="382"/>
      <c r="C241" s="382"/>
      <c r="D241" s="383"/>
      <c r="E241" s="383"/>
      <c r="F241" s="383"/>
      <c r="G241" s="383"/>
      <c r="H241" s="383"/>
      <c r="I241" s="382"/>
      <c r="J241" s="383"/>
      <c r="K241" s="383"/>
      <c r="L241" s="383"/>
      <c r="M241" s="382"/>
      <c r="N241" s="382"/>
    </row>
    <row r="242" spans="1:14" ht="14.4">
      <c r="A242" s="382"/>
      <c r="B242" s="382"/>
      <c r="C242" s="382"/>
      <c r="D242" s="383"/>
      <c r="E242" s="383"/>
      <c r="F242" s="383"/>
      <c r="G242" s="383"/>
      <c r="H242" s="383"/>
      <c r="I242" s="382"/>
      <c r="J242" s="383"/>
      <c r="K242" s="383"/>
      <c r="L242" s="383"/>
      <c r="M242" s="382"/>
      <c r="N242" s="382"/>
    </row>
    <row r="243" spans="1:14" ht="14.4">
      <c r="A243" s="382"/>
      <c r="B243" s="382"/>
      <c r="C243" s="382"/>
      <c r="D243" s="383"/>
      <c r="E243" s="383"/>
      <c r="F243" s="383"/>
      <c r="G243" s="383"/>
      <c r="H243" s="383"/>
      <c r="I243" s="382"/>
      <c r="J243" s="383"/>
      <c r="K243" s="383"/>
      <c r="L243" s="383"/>
      <c r="M243" s="382"/>
      <c r="N243" s="382"/>
    </row>
    <row r="244" spans="1:14" ht="14.4">
      <c r="A244" s="382"/>
      <c r="B244" s="382"/>
      <c r="C244" s="382"/>
      <c r="D244" s="383"/>
      <c r="E244" s="383"/>
      <c r="F244" s="383"/>
      <c r="G244" s="383"/>
      <c r="H244" s="383"/>
      <c r="I244" s="382"/>
      <c r="J244" s="383"/>
      <c r="K244" s="383"/>
      <c r="L244" s="383"/>
      <c r="M244" s="382"/>
      <c r="N244" s="382"/>
    </row>
    <row r="245" spans="1:14" ht="14.4">
      <c r="A245" s="382"/>
      <c r="B245" s="382"/>
      <c r="C245" s="382"/>
      <c r="D245" s="383"/>
      <c r="E245" s="383"/>
      <c r="F245" s="383"/>
      <c r="G245" s="383"/>
      <c r="H245" s="383"/>
      <c r="I245" s="382"/>
      <c r="J245" s="383"/>
      <c r="K245" s="383"/>
      <c r="L245" s="383"/>
      <c r="M245" s="382"/>
      <c r="N245" s="382"/>
    </row>
    <row r="246" spans="1:14" ht="14.4">
      <c r="A246" s="382"/>
      <c r="B246" s="382"/>
      <c r="C246" s="382"/>
      <c r="D246" s="383"/>
      <c r="E246" s="383"/>
      <c r="F246" s="383"/>
      <c r="G246" s="383"/>
      <c r="H246" s="383"/>
      <c r="I246" s="382"/>
      <c r="J246" s="383"/>
      <c r="K246" s="383"/>
      <c r="L246" s="383"/>
      <c r="M246" s="382"/>
      <c r="N246" s="382"/>
    </row>
    <row r="247" spans="1:14" ht="14.4">
      <c r="A247" s="382"/>
      <c r="B247" s="382"/>
      <c r="C247" s="382"/>
      <c r="D247" s="383"/>
      <c r="E247" s="383"/>
      <c r="F247" s="383"/>
      <c r="G247" s="383"/>
      <c r="H247" s="383"/>
      <c r="I247" s="382"/>
      <c r="J247" s="383"/>
      <c r="K247" s="383"/>
      <c r="L247" s="383"/>
      <c r="M247" s="382"/>
      <c r="N247" s="382"/>
    </row>
    <row r="248" spans="1:14" ht="14.4">
      <c r="A248" s="382"/>
      <c r="B248" s="382"/>
      <c r="C248" s="382"/>
      <c r="D248" s="383"/>
      <c r="E248" s="383"/>
      <c r="F248" s="383"/>
      <c r="G248" s="383"/>
      <c r="H248" s="383"/>
      <c r="I248" s="382"/>
      <c r="J248" s="383"/>
      <c r="K248" s="383"/>
      <c r="L248" s="383"/>
      <c r="M248" s="382"/>
      <c r="N248" s="382"/>
    </row>
    <row r="249" spans="1:14" ht="14.4">
      <c r="A249" s="382"/>
      <c r="B249" s="382"/>
      <c r="C249" s="382"/>
      <c r="D249" s="383"/>
      <c r="E249" s="383"/>
      <c r="F249" s="383"/>
      <c r="G249" s="383"/>
      <c r="H249" s="383"/>
      <c r="I249" s="382"/>
      <c r="J249" s="383"/>
      <c r="K249" s="383"/>
      <c r="L249" s="383"/>
      <c r="M249" s="382"/>
      <c r="N249" s="382"/>
    </row>
    <row r="250" spans="1:14" ht="14.4">
      <c r="A250" s="382"/>
      <c r="B250" s="382"/>
      <c r="C250" s="382"/>
      <c r="D250" s="383"/>
      <c r="E250" s="383"/>
      <c r="F250" s="383"/>
      <c r="G250" s="383"/>
      <c r="H250" s="383"/>
      <c r="I250" s="382"/>
      <c r="J250" s="383"/>
      <c r="K250" s="383"/>
      <c r="L250" s="383"/>
      <c r="M250" s="382"/>
      <c r="N250" s="382"/>
    </row>
    <row r="251" spans="1:14" ht="14.4">
      <c r="A251" s="384"/>
      <c r="B251" s="384"/>
      <c r="C251" s="384"/>
      <c r="D251" s="385"/>
      <c r="E251" s="385"/>
      <c r="F251" s="385"/>
      <c r="G251" s="385"/>
      <c r="H251" s="385"/>
      <c r="I251" s="384"/>
      <c r="J251" s="385"/>
      <c r="K251" s="385"/>
      <c r="L251" s="385"/>
      <c r="M251" s="384"/>
      <c r="N251" s="384"/>
    </row>
    <row r="252" spans="1:14" ht="14.4">
      <c r="A252" s="382"/>
      <c r="B252" s="382"/>
      <c r="C252" s="382"/>
      <c r="D252" s="383"/>
      <c r="E252" s="383"/>
      <c r="F252" s="383"/>
      <c r="G252" s="383"/>
      <c r="H252" s="383"/>
      <c r="I252" s="382"/>
      <c r="J252" s="383"/>
      <c r="K252" s="383"/>
      <c r="L252" s="383"/>
      <c r="M252" s="382"/>
      <c r="N252" s="382"/>
    </row>
    <row r="253" spans="1:14" ht="14.4">
      <c r="A253" s="382"/>
      <c r="B253" s="382"/>
      <c r="C253" s="382"/>
      <c r="D253" s="383"/>
      <c r="E253" s="383"/>
      <c r="F253" s="383"/>
      <c r="G253" s="383"/>
      <c r="H253" s="383"/>
      <c r="I253" s="382"/>
      <c r="J253" s="383"/>
      <c r="K253" s="383"/>
      <c r="L253" s="383"/>
      <c r="M253" s="382"/>
      <c r="N253" s="382"/>
    </row>
    <row r="254" spans="1:14" ht="14.4">
      <c r="A254" s="382"/>
      <c r="B254" s="382"/>
      <c r="C254" s="382"/>
      <c r="D254" s="383"/>
      <c r="E254" s="383"/>
      <c r="F254" s="383"/>
      <c r="G254" s="383"/>
      <c r="H254" s="383"/>
      <c r="I254" s="382"/>
      <c r="J254" s="383"/>
      <c r="K254" s="383"/>
      <c r="L254" s="383"/>
      <c r="M254" s="382"/>
      <c r="N254" s="382"/>
    </row>
    <row r="255" spans="1:14" ht="14.4">
      <c r="A255" s="382"/>
      <c r="B255" s="382"/>
      <c r="C255" s="382"/>
      <c r="D255" s="383"/>
      <c r="E255" s="383"/>
      <c r="F255" s="383"/>
      <c r="G255" s="383"/>
      <c r="H255" s="383"/>
      <c r="I255" s="382"/>
      <c r="J255" s="383"/>
      <c r="K255" s="383"/>
      <c r="L255" s="383"/>
      <c r="M255" s="382"/>
      <c r="N255" s="382"/>
    </row>
    <row r="256" spans="1:14" ht="14.4">
      <c r="A256" s="382"/>
      <c r="B256" s="382"/>
      <c r="C256" s="382"/>
      <c r="D256" s="383"/>
      <c r="E256" s="383"/>
      <c r="F256" s="383"/>
      <c r="G256" s="383"/>
      <c r="H256" s="383"/>
      <c r="I256" s="382"/>
      <c r="J256" s="383"/>
      <c r="K256" s="383"/>
      <c r="L256" s="383"/>
      <c r="M256" s="382"/>
      <c r="N256" s="382"/>
    </row>
    <row r="257" spans="1:14" ht="14.4">
      <c r="A257" s="382"/>
      <c r="B257" s="382"/>
      <c r="C257" s="382"/>
      <c r="D257" s="383"/>
      <c r="E257" s="383"/>
      <c r="F257" s="383"/>
      <c r="G257" s="383"/>
      <c r="H257" s="383"/>
      <c r="I257" s="382"/>
      <c r="J257" s="383"/>
      <c r="K257" s="383"/>
      <c r="L257" s="383"/>
      <c r="M257" s="382"/>
      <c r="N257" s="382"/>
    </row>
    <row r="258" spans="1:14" ht="14.4">
      <c r="A258" s="382"/>
      <c r="B258" s="382"/>
      <c r="C258" s="382"/>
      <c r="D258" s="383"/>
      <c r="E258" s="383"/>
      <c r="F258" s="383"/>
      <c r="G258" s="383"/>
      <c r="H258" s="383"/>
      <c r="I258" s="382"/>
      <c r="J258" s="383"/>
      <c r="K258" s="383"/>
      <c r="L258" s="383"/>
      <c r="M258" s="382"/>
      <c r="N258" s="382"/>
    </row>
    <row r="259" spans="1:14" ht="14.4">
      <c r="A259" s="382"/>
      <c r="B259" s="382"/>
      <c r="C259" s="382"/>
      <c r="D259" s="383"/>
      <c r="E259" s="383"/>
      <c r="F259" s="383"/>
      <c r="G259" s="383"/>
      <c r="H259" s="383"/>
      <c r="I259" s="382"/>
      <c r="J259" s="383"/>
      <c r="K259" s="383"/>
      <c r="L259" s="383"/>
      <c r="M259" s="382"/>
      <c r="N259" s="382"/>
    </row>
    <row r="260" spans="1:14" ht="14.4">
      <c r="A260" s="382"/>
      <c r="B260" s="382"/>
      <c r="C260" s="382"/>
      <c r="D260" s="383"/>
      <c r="E260" s="383"/>
      <c r="F260" s="383"/>
      <c r="G260" s="383"/>
      <c r="H260" s="383"/>
      <c r="I260" s="382"/>
      <c r="J260" s="383"/>
      <c r="K260" s="383"/>
      <c r="L260" s="383"/>
      <c r="M260" s="382"/>
      <c r="N260" s="382"/>
    </row>
    <row r="261" spans="1:14" ht="14.4">
      <c r="A261" s="382"/>
      <c r="B261" s="382"/>
      <c r="C261" s="382"/>
      <c r="D261" s="383"/>
      <c r="E261" s="383"/>
      <c r="F261" s="383"/>
      <c r="G261" s="383"/>
      <c r="H261" s="383"/>
      <c r="I261" s="382"/>
      <c r="J261" s="383"/>
      <c r="K261" s="383"/>
      <c r="L261" s="383"/>
      <c r="M261" s="382"/>
      <c r="N261" s="382"/>
    </row>
    <row r="262" spans="1:14" ht="14.4">
      <c r="A262" s="382"/>
      <c r="B262" s="382"/>
      <c r="C262" s="382"/>
      <c r="D262" s="383"/>
      <c r="E262" s="383"/>
      <c r="F262" s="383"/>
      <c r="G262" s="383"/>
      <c r="H262" s="383"/>
      <c r="I262" s="382"/>
      <c r="J262" s="383"/>
      <c r="K262" s="383"/>
      <c r="L262" s="383"/>
      <c r="M262" s="382"/>
      <c r="N262" s="382"/>
    </row>
    <row r="263" spans="1:14" ht="14.4">
      <c r="A263" s="382"/>
      <c r="B263" s="382"/>
      <c r="C263" s="382"/>
      <c r="D263" s="383"/>
      <c r="E263" s="383"/>
      <c r="F263" s="383"/>
      <c r="G263" s="383"/>
      <c r="H263" s="383"/>
      <c r="I263" s="382"/>
      <c r="J263" s="383"/>
      <c r="K263" s="383"/>
      <c r="L263" s="383"/>
      <c r="M263" s="382"/>
      <c r="N263" s="382"/>
    </row>
    <row r="264" spans="1:14" ht="14.4">
      <c r="A264" s="382"/>
      <c r="B264" s="382"/>
      <c r="C264" s="382"/>
      <c r="D264" s="383"/>
      <c r="E264" s="383"/>
      <c r="F264" s="383"/>
      <c r="G264" s="383"/>
      <c r="H264" s="383"/>
      <c r="I264" s="382"/>
      <c r="J264" s="383"/>
      <c r="K264" s="383"/>
      <c r="L264" s="383"/>
      <c r="M264" s="382"/>
      <c r="N264" s="382"/>
    </row>
    <row r="265" spans="1:14" ht="14.4">
      <c r="A265" s="382"/>
      <c r="B265" s="382"/>
      <c r="C265" s="382"/>
      <c r="D265" s="383"/>
      <c r="E265" s="383"/>
      <c r="F265" s="383"/>
      <c r="G265" s="383"/>
      <c r="H265" s="383"/>
      <c r="I265" s="382"/>
      <c r="J265" s="383"/>
      <c r="K265" s="383"/>
      <c r="L265" s="383"/>
      <c r="M265" s="382"/>
      <c r="N265" s="382"/>
    </row>
    <row r="266" spans="1:14" ht="14.4">
      <c r="A266" s="384"/>
      <c r="B266" s="384"/>
      <c r="C266" s="384"/>
      <c r="D266" s="385"/>
      <c r="E266" s="385"/>
      <c r="F266" s="385"/>
      <c r="G266" s="385"/>
      <c r="H266" s="385"/>
      <c r="I266" s="384"/>
      <c r="J266" s="385"/>
      <c r="K266" s="385"/>
      <c r="L266" s="385"/>
      <c r="M266" s="384"/>
      <c r="N266" s="384"/>
    </row>
    <row r="267" spans="1:14" ht="14.4">
      <c r="A267" s="382"/>
      <c r="B267" s="382"/>
      <c r="C267" s="382"/>
      <c r="D267" s="383"/>
      <c r="E267" s="383"/>
      <c r="F267" s="383"/>
      <c r="G267" s="383"/>
      <c r="H267" s="383"/>
      <c r="I267" s="382"/>
      <c r="J267" s="383"/>
      <c r="K267" s="383"/>
      <c r="L267" s="383"/>
      <c r="M267" s="382"/>
      <c r="N267" s="382"/>
    </row>
    <row r="268" spans="1:14" ht="14.4">
      <c r="A268" s="382"/>
      <c r="B268" s="382"/>
      <c r="C268" s="382"/>
      <c r="D268" s="383"/>
      <c r="E268" s="383"/>
      <c r="F268" s="383"/>
      <c r="G268" s="383"/>
      <c r="H268" s="383"/>
      <c r="I268" s="382"/>
      <c r="J268" s="383"/>
      <c r="K268" s="383"/>
      <c r="L268" s="383"/>
      <c r="M268" s="382"/>
      <c r="N268" s="382"/>
    </row>
    <row r="269" spans="1:14" ht="14.4">
      <c r="A269" s="382"/>
      <c r="B269" s="382"/>
      <c r="C269" s="382"/>
      <c r="D269" s="383"/>
      <c r="E269" s="383"/>
      <c r="F269" s="383"/>
      <c r="G269" s="383"/>
      <c r="H269" s="383"/>
      <c r="I269" s="382"/>
      <c r="J269" s="383"/>
      <c r="K269" s="383"/>
      <c r="L269" s="383"/>
      <c r="M269" s="382"/>
      <c r="N269" s="382"/>
    </row>
    <row r="270" spans="1:14" ht="14.4">
      <c r="A270" s="382"/>
      <c r="B270" s="382"/>
      <c r="C270" s="382"/>
      <c r="D270" s="383"/>
      <c r="E270" s="383"/>
      <c r="F270" s="383"/>
      <c r="G270" s="383"/>
      <c r="H270" s="383"/>
      <c r="I270" s="382"/>
      <c r="J270" s="383"/>
      <c r="K270" s="383"/>
      <c r="L270" s="383"/>
      <c r="M270" s="382"/>
      <c r="N270" s="382"/>
    </row>
    <row r="271" spans="1:14" ht="14.4">
      <c r="A271" s="382"/>
      <c r="B271" s="382"/>
      <c r="C271" s="382"/>
      <c r="D271" s="383"/>
      <c r="E271" s="383"/>
      <c r="F271" s="383"/>
      <c r="G271" s="383"/>
      <c r="H271" s="383"/>
      <c r="I271" s="382"/>
      <c r="J271" s="383"/>
      <c r="K271" s="383"/>
      <c r="L271" s="383"/>
      <c r="M271" s="382"/>
      <c r="N271" s="382"/>
    </row>
    <row r="272" spans="1:14" ht="14.4">
      <c r="A272" s="382"/>
      <c r="B272" s="382"/>
      <c r="C272" s="382"/>
      <c r="D272" s="383"/>
      <c r="E272" s="383"/>
      <c r="F272" s="383"/>
      <c r="G272" s="383"/>
      <c r="H272" s="383"/>
      <c r="I272" s="382"/>
      <c r="J272" s="383"/>
      <c r="K272" s="383"/>
      <c r="L272" s="383"/>
      <c r="M272" s="382"/>
      <c r="N272" s="382"/>
    </row>
    <row r="273" spans="1:14" ht="14.4">
      <c r="A273" s="382"/>
      <c r="B273" s="382"/>
      <c r="C273" s="382"/>
      <c r="D273" s="383"/>
      <c r="E273" s="383"/>
      <c r="F273" s="383"/>
      <c r="G273" s="383"/>
      <c r="H273" s="383"/>
      <c r="I273" s="382"/>
      <c r="J273" s="383"/>
      <c r="K273" s="383"/>
      <c r="L273" s="383"/>
      <c r="M273" s="382"/>
      <c r="N273" s="382"/>
    </row>
    <row r="274" spans="1:14" ht="14.4">
      <c r="A274" s="382"/>
      <c r="B274" s="382"/>
      <c r="C274" s="382"/>
      <c r="D274" s="383"/>
      <c r="E274" s="383"/>
      <c r="F274" s="383"/>
      <c r="G274" s="383"/>
      <c r="H274" s="383"/>
      <c r="I274" s="382"/>
      <c r="J274" s="383"/>
      <c r="K274" s="383"/>
      <c r="L274" s="383"/>
      <c r="M274" s="382"/>
      <c r="N274" s="382"/>
    </row>
    <row r="275" spans="1:14" ht="14.4">
      <c r="A275" s="382"/>
      <c r="B275" s="382"/>
      <c r="C275" s="382"/>
      <c r="D275" s="383"/>
      <c r="E275" s="383"/>
      <c r="F275" s="383"/>
      <c r="G275" s="383"/>
      <c r="H275" s="383"/>
      <c r="I275" s="382"/>
      <c r="J275" s="383"/>
      <c r="K275" s="383"/>
      <c r="L275" s="383"/>
      <c r="M275" s="382"/>
      <c r="N275" s="382"/>
    </row>
    <row r="276" spans="1:14" ht="14.4">
      <c r="A276" s="382"/>
      <c r="B276" s="382"/>
      <c r="C276" s="382"/>
      <c r="D276" s="383"/>
      <c r="E276" s="383"/>
      <c r="F276" s="383"/>
      <c r="G276" s="383"/>
      <c r="H276" s="383"/>
      <c r="I276" s="382"/>
      <c r="J276" s="383"/>
      <c r="K276" s="383"/>
      <c r="L276" s="383"/>
      <c r="M276" s="382"/>
      <c r="N276" s="382"/>
    </row>
    <row r="277" spans="1:14" ht="14.4">
      <c r="A277" s="382"/>
      <c r="B277" s="382"/>
      <c r="C277" s="382"/>
      <c r="D277" s="383"/>
      <c r="E277" s="383"/>
      <c r="F277" s="383"/>
      <c r="G277" s="383"/>
      <c r="H277" s="383"/>
      <c r="I277" s="382"/>
      <c r="J277" s="383"/>
      <c r="K277" s="383"/>
      <c r="L277" s="383"/>
      <c r="M277" s="382"/>
      <c r="N277" s="382"/>
    </row>
    <row r="278" spans="1:14" ht="14.4">
      <c r="A278" s="382"/>
      <c r="B278" s="382"/>
      <c r="C278" s="382"/>
      <c r="D278" s="383"/>
      <c r="E278" s="383"/>
      <c r="F278" s="383"/>
      <c r="G278" s="383"/>
      <c r="H278" s="383"/>
      <c r="I278" s="382"/>
      <c r="J278" s="383"/>
      <c r="K278" s="383"/>
      <c r="L278" s="383"/>
      <c r="M278" s="382"/>
      <c r="N278" s="382"/>
    </row>
    <row r="279" spans="1:14" ht="14.4">
      <c r="A279" s="382"/>
      <c r="B279" s="382"/>
      <c r="C279" s="382"/>
      <c r="D279" s="383"/>
      <c r="E279" s="383"/>
      <c r="F279" s="383"/>
      <c r="G279" s="383"/>
      <c r="H279" s="383"/>
      <c r="I279" s="382"/>
      <c r="J279" s="383"/>
      <c r="K279" s="383"/>
      <c r="L279" s="383"/>
      <c r="M279" s="382"/>
      <c r="N279" s="382"/>
    </row>
    <row r="280" spans="1:14" ht="14.4">
      <c r="A280" s="382"/>
      <c r="B280" s="382"/>
      <c r="C280" s="382"/>
      <c r="D280" s="383"/>
      <c r="E280" s="383"/>
      <c r="F280" s="383"/>
      <c r="G280" s="383"/>
      <c r="H280" s="383"/>
      <c r="I280" s="382"/>
      <c r="J280" s="383"/>
      <c r="K280" s="383"/>
      <c r="L280" s="383"/>
      <c r="M280" s="382"/>
      <c r="N280" s="382"/>
    </row>
    <row r="281" spans="1:14" ht="14.4">
      <c r="A281" s="382"/>
      <c r="B281" s="382"/>
      <c r="C281" s="382"/>
      <c r="D281" s="383"/>
      <c r="E281" s="383"/>
      <c r="F281" s="383"/>
      <c r="G281" s="383"/>
      <c r="H281" s="383"/>
      <c r="I281" s="382"/>
      <c r="J281" s="383"/>
      <c r="K281" s="383"/>
      <c r="L281" s="383"/>
      <c r="M281" s="382"/>
      <c r="N281" s="382"/>
    </row>
    <row r="282" spans="1:14" ht="14.4">
      <c r="A282" s="382"/>
      <c r="B282" s="382"/>
      <c r="C282" s="382"/>
      <c r="D282" s="383"/>
      <c r="E282" s="383"/>
      <c r="F282" s="383"/>
      <c r="G282" s="383"/>
      <c r="H282" s="383"/>
      <c r="I282" s="382"/>
      <c r="J282" s="383"/>
      <c r="K282" s="383"/>
      <c r="L282" s="383"/>
      <c r="M282" s="382"/>
      <c r="N282" s="382"/>
    </row>
    <row r="283" spans="1:14" ht="14.4">
      <c r="A283" s="382"/>
      <c r="B283" s="382"/>
      <c r="C283" s="382"/>
      <c r="D283" s="383"/>
      <c r="E283" s="383"/>
      <c r="F283" s="383"/>
      <c r="G283" s="383"/>
      <c r="H283" s="383"/>
      <c r="I283" s="382"/>
      <c r="J283" s="383"/>
      <c r="K283" s="383"/>
      <c r="L283" s="383"/>
      <c r="M283" s="382"/>
      <c r="N283" s="382"/>
    </row>
    <row r="284" spans="1:14" ht="14.4">
      <c r="A284" s="382"/>
      <c r="B284" s="382"/>
      <c r="C284" s="382"/>
      <c r="D284" s="383"/>
      <c r="E284" s="383"/>
      <c r="F284" s="383"/>
      <c r="G284" s="383"/>
      <c r="H284" s="383"/>
      <c r="I284" s="382"/>
      <c r="J284" s="383"/>
      <c r="K284" s="383"/>
      <c r="L284" s="383"/>
      <c r="M284" s="382"/>
      <c r="N284" s="382"/>
    </row>
    <row r="285" spans="1:14" ht="14.4">
      <c r="A285" s="382"/>
      <c r="B285" s="382"/>
      <c r="C285" s="382"/>
      <c r="D285" s="383"/>
      <c r="E285" s="383"/>
      <c r="F285" s="383"/>
      <c r="G285" s="383"/>
      <c r="H285" s="383"/>
      <c r="I285" s="382"/>
      <c r="J285" s="383"/>
      <c r="K285" s="383"/>
      <c r="L285" s="383"/>
      <c r="M285" s="382"/>
      <c r="N285" s="382"/>
    </row>
    <row r="286" spans="1:14" ht="14.4">
      <c r="A286" s="382"/>
      <c r="B286" s="382"/>
      <c r="C286" s="382"/>
      <c r="D286" s="383"/>
      <c r="E286" s="383"/>
      <c r="F286" s="383"/>
      <c r="G286" s="383"/>
      <c r="H286" s="383"/>
      <c r="I286" s="382"/>
      <c r="J286" s="383"/>
      <c r="K286" s="383"/>
      <c r="L286" s="383"/>
      <c r="M286" s="382"/>
      <c r="N286" s="382"/>
    </row>
    <row r="287" spans="1:14" ht="14.4">
      <c r="A287" s="382"/>
      <c r="B287" s="382"/>
      <c r="C287" s="382"/>
      <c r="D287" s="383"/>
      <c r="E287" s="383"/>
      <c r="F287" s="383"/>
      <c r="G287" s="383"/>
      <c r="H287" s="383"/>
      <c r="I287" s="382"/>
      <c r="J287" s="383"/>
      <c r="K287" s="383"/>
      <c r="L287" s="383"/>
      <c r="M287" s="382"/>
      <c r="N287" s="382"/>
    </row>
    <row r="288" spans="1:14" ht="14.4">
      <c r="A288" s="382"/>
      <c r="B288" s="382"/>
      <c r="C288" s="382"/>
      <c r="D288" s="383"/>
      <c r="E288" s="383"/>
      <c r="F288" s="383"/>
      <c r="G288" s="383"/>
      <c r="H288" s="383"/>
      <c r="I288" s="382"/>
      <c r="J288" s="383"/>
      <c r="K288" s="383"/>
      <c r="L288" s="383"/>
      <c r="M288" s="382"/>
      <c r="N288" s="382"/>
    </row>
    <row r="289" spans="1:14" ht="14.4">
      <c r="A289" s="382"/>
      <c r="B289" s="382"/>
      <c r="C289" s="382"/>
      <c r="D289" s="383"/>
      <c r="E289" s="383"/>
      <c r="F289" s="383"/>
      <c r="G289" s="383"/>
      <c r="H289" s="383"/>
      <c r="I289" s="382"/>
      <c r="J289" s="383"/>
      <c r="K289" s="383"/>
      <c r="L289" s="383"/>
      <c r="M289" s="382"/>
      <c r="N289" s="382"/>
    </row>
    <row r="290" spans="1:14" ht="14.4">
      <c r="A290" s="382"/>
      <c r="B290" s="382"/>
      <c r="C290" s="382"/>
      <c r="D290" s="383"/>
      <c r="E290" s="383"/>
      <c r="F290" s="383"/>
      <c r="G290" s="383"/>
      <c r="H290" s="383"/>
      <c r="I290" s="382"/>
      <c r="J290" s="383"/>
      <c r="K290" s="383"/>
      <c r="L290" s="383"/>
      <c r="M290" s="382"/>
      <c r="N290" s="382"/>
    </row>
    <row r="291" spans="1:14" ht="14.4">
      <c r="A291" s="382"/>
      <c r="B291" s="382"/>
      <c r="C291" s="382"/>
      <c r="D291" s="383"/>
      <c r="E291" s="383"/>
      <c r="F291" s="383"/>
      <c r="G291" s="383"/>
      <c r="H291" s="383"/>
      <c r="I291" s="382"/>
      <c r="J291" s="383"/>
      <c r="K291" s="383"/>
      <c r="L291" s="383"/>
      <c r="M291" s="382"/>
      <c r="N291" s="382"/>
    </row>
    <row r="292" spans="1:14" ht="14.4">
      <c r="A292" s="382"/>
      <c r="B292" s="382"/>
      <c r="C292" s="382"/>
      <c r="D292" s="383"/>
      <c r="E292" s="383"/>
      <c r="F292" s="383"/>
      <c r="G292" s="383"/>
      <c r="H292" s="383"/>
      <c r="I292" s="382"/>
      <c r="J292" s="383"/>
      <c r="K292" s="383"/>
      <c r="L292" s="383"/>
      <c r="M292" s="382"/>
      <c r="N292" s="382"/>
    </row>
    <row r="293" spans="1:14" ht="14.4">
      <c r="A293" s="384"/>
      <c r="B293" s="384"/>
      <c r="C293" s="384"/>
      <c r="D293" s="385"/>
      <c r="E293" s="385"/>
      <c r="F293" s="385"/>
      <c r="G293" s="385"/>
      <c r="H293" s="385"/>
      <c r="I293" s="384"/>
      <c r="J293" s="385"/>
      <c r="K293" s="385"/>
      <c r="L293" s="385"/>
      <c r="M293" s="384"/>
      <c r="N293" s="384"/>
    </row>
    <row r="294" spans="1:14" ht="14.4">
      <c r="A294" s="386"/>
      <c r="B294" s="386"/>
      <c r="C294" s="386"/>
      <c r="D294" s="387"/>
      <c r="E294" s="387"/>
      <c r="F294" s="387"/>
      <c r="G294" s="387"/>
      <c r="H294" s="387"/>
      <c r="I294" s="386"/>
      <c r="J294" s="387"/>
      <c r="K294" s="387"/>
      <c r="L294" s="387"/>
      <c r="M294" s="386"/>
      <c r="N294" s="386"/>
    </row>
    <row r="295" spans="1:14" ht="14.4">
      <c r="A295" s="386"/>
      <c r="B295" s="386"/>
      <c r="C295" s="386"/>
      <c r="D295" s="387"/>
      <c r="E295" s="387"/>
      <c r="F295" s="387"/>
      <c r="G295" s="387"/>
      <c r="H295" s="387"/>
      <c r="I295" s="386"/>
      <c r="J295" s="387"/>
      <c r="K295" s="387"/>
      <c r="L295" s="387"/>
      <c r="M295" s="386"/>
      <c r="N295" s="386"/>
    </row>
    <row r="296" spans="1:14" ht="14.4">
      <c r="A296" s="386"/>
      <c r="B296" s="386"/>
      <c r="C296" s="386"/>
      <c r="D296" s="387"/>
      <c r="E296" s="387"/>
      <c r="F296" s="387"/>
      <c r="G296" s="387"/>
      <c r="H296" s="387"/>
      <c r="I296" s="386"/>
      <c r="J296" s="387"/>
      <c r="K296" s="387"/>
      <c r="L296" s="387"/>
      <c r="M296" s="386"/>
      <c r="N296" s="386"/>
    </row>
    <row r="297" spans="1:14" ht="14.4">
      <c r="A297" s="386"/>
      <c r="B297" s="386"/>
      <c r="C297" s="386"/>
      <c r="D297" s="387"/>
      <c r="E297" s="387"/>
      <c r="F297" s="387"/>
      <c r="G297" s="387"/>
      <c r="H297" s="387"/>
      <c r="I297" s="386"/>
      <c r="J297" s="387"/>
      <c r="K297" s="387"/>
      <c r="L297" s="387"/>
      <c r="M297" s="386"/>
      <c r="N297" s="386"/>
    </row>
    <row r="298" spans="1:14" ht="14.4">
      <c r="A298" s="388"/>
      <c r="B298" s="388"/>
      <c r="C298" s="388"/>
      <c r="D298" s="389"/>
      <c r="E298" s="389"/>
      <c r="F298" s="389"/>
      <c r="G298" s="389"/>
      <c r="H298" s="389"/>
      <c r="I298" s="388"/>
      <c r="J298" s="389"/>
      <c r="K298" s="389"/>
      <c r="L298" s="389"/>
      <c r="M298" s="388"/>
      <c r="N298" s="388"/>
    </row>
    <row r="299" spans="1:14" ht="14.4">
      <c r="A299" s="386"/>
      <c r="B299" s="386"/>
      <c r="C299" s="386"/>
      <c r="D299" s="387"/>
      <c r="E299" s="387"/>
      <c r="F299" s="387"/>
      <c r="G299" s="387"/>
      <c r="H299" s="387"/>
      <c r="I299" s="386"/>
      <c r="J299" s="387"/>
      <c r="K299" s="387"/>
      <c r="L299" s="387"/>
      <c r="M299" s="386"/>
      <c r="N299" s="386"/>
    </row>
    <row r="300" spans="1:14" ht="14.4">
      <c r="A300" s="386"/>
      <c r="B300" s="386"/>
      <c r="C300" s="386"/>
      <c r="D300" s="387"/>
      <c r="E300" s="387"/>
      <c r="F300" s="387"/>
      <c r="G300" s="387"/>
      <c r="H300" s="387"/>
      <c r="I300" s="386"/>
      <c r="J300" s="387"/>
      <c r="K300" s="387"/>
      <c r="L300" s="387"/>
      <c r="M300" s="386"/>
      <c r="N300" s="386"/>
    </row>
    <row r="301" spans="1:14" ht="14.4">
      <c r="A301" s="386"/>
      <c r="B301" s="386"/>
      <c r="C301" s="386"/>
      <c r="D301" s="387"/>
      <c r="E301" s="387"/>
      <c r="F301" s="387"/>
      <c r="G301" s="387"/>
      <c r="H301" s="387"/>
      <c r="I301" s="386"/>
      <c r="J301" s="387"/>
      <c r="K301" s="387"/>
      <c r="L301" s="387"/>
      <c r="M301" s="386"/>
      <c r="N301" s="386"/>
    </row>
    <row r="302" spans="1:14" ht="14.4">
      <c r="A302" s="386"/>
      <c r="B302" s="386"/>
      <c r="C302" s="386"/>
      <c r="D302" s="387"/>
      <c r="E302" s="387"/>
      <c r="F302" s="387"/>
      <c r="G302" s="387"/>
      <c r="H302" s="387"/>
      <c r="I302" s="386"/>
      <c r="J302" s="387"/>
      <c r="K302" s="387"/>
      <c r="L302" s="387"/>
      <c r="M302" s="386"/>
      <c r="N302" s="386"/>
    </row>
    <row r="303" spans="1:14" ht="14.4">
      <c r="A303" s="386"/>
      <c r="B303" s="386"/>
      <c r="C303" s="386"/>
      <c r="D303" s="387"/>
      <c r="E303" s="387"/>
      <c r="F303" s="387"/>
      <c r="G303" s="387"/>
      <c r="H303" s="387"/>
      <c r="I303" s="386"/>
      <c r="J303" s="387"/>
      <c r="K303" s="387"/>
      <c r="L303" s="387"/>
      <c r="M303" s="386"/>
      <c r="N303" s="386"/>
    </row>
    <row r="304" spans="1:14" ht="14.4">
      <c r="A304" s="386"/>
      <c r="B304" s="386"/>
      <c r="C304" s="386"/>
      <c r="D304" s="387"/>
      <c r="E304" s="387"/>
      <c r="F304" s="387"/>
      <c r="G304" s="387"/>
      <c r="H304" s="387"/>
      <c r="I304" s="386"/>
      <c r="J304" s="387"/>
      <c r="K304" s="387"/>
      <c r="L304" s="387"/>
      <c r="M304" s="386"/>
      <c r="N304" s="386"/>
    </row>
    <row r="305" spans="1:14" ht="14.4">
      <c r="A305" s="386"/>
      <c r="B305" s="386"/>
      <c r="C305" s="386"/>
      <c r="D305" s="387"/>
      <c r="E305" s="387"/>
      <c r="F305" s="387"/>
      <c r="G305" s="387"/>
      <c r="H305" s="387"/>
      <c r="I305" s="386"/>
      <c r="J305" s="387"/>
      <c r="K305" s="387"/>
      <c r="L305" s="387"/>
      <c r="M305" s="386"/>
      <c r="N305" s="386"/>
    </row>
    <row r="306" spans="1:14" ht="14.4">
      <c r="A306" s="386"/>
      <c r="B306" s="386"/>
      <c r="C306" s="386"/>
      <c r="D306" s="387"/>
      <c r="E306" s="387"/>
      <c r="F306" s="387"/>
      <c r="G306" s="387"/>
      <c r="H306" s="387"/>
      <c r="I306" s="386"/>
      <c r="J306" s="387"/>
      <c r="K306" s="387"/>
      <c r="L306" s="387"/>
      <c r="M306" s="386"/>
      <c r="N306" s="386"/>
    </row>
    <row r="307" spans="1:14" ht="14.4">
      <c r="A307" s="386"/>
      <c r="B307" s="386"/>
      <c r="C307" s="386"/>
      <c r="D307" s="387"/>
      <c r="E307" s="387"/>
      <c r="F307" s="387"/>
      <c r="G307" s="387"/>
      <c r="H307" s="387"/>
      <c r="I307" s="386"/>
      <c r="J307" s="387"/>
      <c r="K307" s="387"/>
      <c r="L307" s="387"/>
      <c r="M307" s="386"/>
      <c r="N307" s="386"/>
    </row>
    <row r="308" spans="1:14" ht="14.4">
      <c r="A308" s="386"/>
      <c r="B308" s="386"/>
      <c r="C308" s="386"/>
      <c r="D308" s="387"/>
      <c r="E308" s="387"/>
      <c r="F308" s="387"/>
      <c r="G308" s="387"/>
      <c r="H308" s="387"/>
      <c r="I308" s="386"/>
      <c r="J308" s="387"/>
      <c r="K308" s="387"/>
      <c r="L308" s="387"/>
      <c r="M308" s="386"/>
      <c r="N308" s="386"/>
    </row>
    <row r="309" spans="1:14" ht="14.4">
      <c r="A309" s="386"/>
      <c r="B309" s="386"/>
      <c r="C309" s="386"/>
      <c r="D309" s="387"/>
      <c r="E309" s="387"/>
      <c r="F309" s="387"/>
      <c r="G309" s="387"/>
      <c r="H309" s="387"/>
      <c r="I309" s="386"/>
      <c r="J309" s="387"/>
      <c r="K309" s="387"/>
      <c r="L309" s="387"/>
      <c r="M309" s="386"/>
      <c r="N309" s="386"/>
    </row>
    <row r="310" spans="1:14" ht="14.4">
      <c r="A310" s="388"/>
      <c r="B310" s="388"/>
      <c r="C310" s="388"/>
      <c r="D310" s="389"/>
      <c r="E310" s="389"/>
      <c r="F310" s="389"/>
      <c r="G310" s="389"/>
      <c r="H310" s="389"/>
      <c r="I310" s="388"/>
      <c r="J310" s="389"/>
      <c r="K310" s="389"/>
      <c r="L310" s="389"/>
      <c r="M310" s="388"/>
      <c r="N310" s="388"/>
    </row>
    <row r="311" spans="1:14" ht="14.4">
      <c r="A311" s="386"/>
      <c r="B311" s="386"/>
      <c r="C311" s="386"/>
      <c r="D311" s="387"/>
      <c r="E311" s="387"/>
      <c r="F311" s="387"/>
      <c r="G311" s="387"/>
      <c r="H311" s="387"/>
      <c r="I311" s="386"/>
      <c r="J311" s="387"/>
      <c r="K311" s="387"/>
      <c r="L311" s="387"/>
      <c r="M311" s="386"/>
      <c r="N311" s="386"/>
    </row>
    <row r="312" spans="1:14" ht="14.4">
      <c r="A312" s="386"/>
      <c r="B312" s="386"/>
      <c r="C312" s="386"/>
      <c r="D312" s="387"/>
      <c r="E312" s="387"/>
      <c r="F312" s="387"/>
      <c r="G312" s="387"/>
      <c r="H312" s="387"/>
      <c r="I312" s="386"/>
      <c r="J312" s="387"/>
      <c r="K312" s="387"/>
      <c r="L312" s="387"/>
      <c r="M312" s="386"/>
      <c r="N312" s="386"/>
    </row>
    <row r="313" spans="1:14" ht="14.4">
      <c r="A313" s="386"/>
      <c r="B313" s="386"/>
      <c r="C313" s="386"/>
      <c r="D313" s="387"/>
      <c r="E313" s="387"/>
      <c r="F313" s="387"/>
      <c r="G313" s="387"/>
      <c r="H313" s="387"/>
      <c r="I313" s="386"/>
      <c r="J313" s="387"/>
      <c r="K313" s="387"/>
      <c r="L313" s="387"/>
      <c r="M313" s="386"/>
      <c r="N313" s="386"/>
    </row>
    <row r="314" spans="1:14" ht="14.4">
      <c r="A314" s="386"/>
      <c r="B314" s="386"/>
      <c r="C314" s="386"/>
      <c r="D314" s="387"/>
      <c r="E314" s="387"/>
      <c r="F314" s="387"/>
      <c r="G314" s="387"/>
      <c r="H314" s="387"/>
      <c r="I314" s="386"/>
      <c r="J314" s="387"/>
      <c r="K314" s="387"/>
      <c r="L314" s="387"/>
      <c r="M314" s="386"/>
      <c r="N314" s="386"/>
    </row>
    <row r="315" spans="1:14" ht="14.4">
      <c r="A315" s="386"/>
      <c r="B315" s="386"/>
      <c r="C315" s="386"/>
      <c r="D315" s="387"/>
      <c r="E315" s="387"/>
      <c r="F315" s="387"/>
      <c r="G315" s="387"/>
      <c r="H315" s="387"/>
      <c r="I315" s="386"/>
      <c r="J315" s="387"/>
      <c r="K315" s="387"/>
      <c r="L315" s="387"/>
      <c r="M315" s="386"/>
      <c r="N315" s="386"/>
    </row>
    <row r="316" spans="1:14" ht="14.4">
      <c r="A316" s="388"/>
      <c r="B316" s="388"/>
      <c r="C316" s="388"/>
      <c r="D316" s="389"/>
      <c r="E316" s="389"/>
      <c r="F316" s="389"/>
      <c r="G316" s="389"/>
      <c r="H316" s="389"/>
      <c r="I316" s="388"/>
      <c r="J316" s="389"/>
      <c r="K316" s="389"/>
      <c r="L316" s="389"/>
      <c r="M316" s="388"/>
      <c r="N316" s="388"/>
    </row>
  </sheetData>
  <dataValidations count="1">
    <dataValidation type="list" allowBlank="1" showInputMessage="1" showErrorMessage="1" sqref="U3" xr:uid="{2F26F169-9F7F-462C-89B3-F191D8DC7F28}">
      <formula1>$AD$165:$AD$166</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pageSetUpPr fitToPage="1"/>
  </sheetPr>
  <dimension ref="A1:L44"/>
  <sheetViews>
    <sheetView topLeftCell="A4" zoomScale="90" zoomScaleNormal="100" workbookViewId="0">
      <selection activeCell="F10" sqref="F10:L11"/>
    </sheetView>
  </sheetViews>
  <sheetFormatPr defaultColWidth="9.21875" defaultRowHeight="13.8"/>
  <cols>
    <col min="1" max="1" width="3.5546875" style="2" customWidth="1"/>
    <col min="2" max="2" width="110.44140625" style="77" customWidth="1"/>
    <col min="3" max="3" width="3" style="77" customWidth="1"/>
    <col min="4" max="4" width="10.77734375" style="2" customWidth="1"/>
    <col min="5" max="5" width="2.77734375" style="2" customWidth="1"/>
    <col min="6" max="6" width="10.77734375" style="2" customWidth="1"/>
    <col min="7" max="16384" width="9.21875" style="2"/>
  </cols>
  <sheetData>
    <row r="1" spans="1:12" s="74" customFormat="1" ht="25.2" hidden="1" customHeight="1">
      <c r="A1" s="595" t="str">
        <f>'b) Template'!A1:N1</f>
        <v>2025/26 Budget Monitoring</v>
      </c>
      <c r="B1" s="595"/>
      <c r="C1" s="595"/>
      <c r="D1" s="595"/>
      <c r="E1" s="595"/>
      <c r="F1" s="73"/>
      <c r="G1" s="73"/>
    </row>
    <row r="2" spans="1:12" s="74" customFormat="1" hidden="1">
      <c r="B2" s="75"/>
      <c r="C2" s="75"/>
      <c r="D2" s="73"/>
      <c r="E2" s="73"/>
      <c r="F2" s="73"/>
      <c r="G2" s="73"/>
    </row>
    <row r="3" spans="1:12" s="74" customFormat="1" ht="33.6" hidden="1" customHeight="1">
      <c r="A3" s="550">
        <f>'a) School Summary'!E8</f>
        <v>45565</v>
      </c>
      <c r="B3" s="550"/>
      <c r="C3" s="550"/>
      <c r="D3" s="550"/>
      <c r="E3" s="73"/>
      <c r="F3" s="73"/>
      <c r="G3" s="73"/>
    </row>
    <row r="4" spans="1:12" s="74" customFormat="1" ht="8.25" customHeight="1">
      <c r="B4" s="183"/>
      <c r="C4" s="75"/>
      <c r="D4" s="73"/>
      <c r="E4" s="73"/>
      <c r="F4" s="73"/>
      <c r="G4" s="73"/>
    </row>
    <row r="5" spans="1:12" s="74" customFormat="1" ht="30">
      <c r="B5" s="366" t="s">
        <v>452</v>
      </c>
      <c r="C5" s="76"/>
      <c r="D5" s="73"/>
      <c r="E5" s="73"/>
      <c r="F5" s="73"/>
      <c r="G5" s="73"/>
    </row>
    <row r="6" spans="1:12" ht="6.75" customHeight="1"/>
    <row r="7" spans="1:12" s="78" customFormat="1" ht="86.25" customHeight="1">
      <c r="B7" s="598" t="s">
        <v>1480</v>
      </c>
      <c r="C7" s="598"/>
      <c r="D7" s="598"/>
      <c r="E7" s="598"/>
      <c r="F7" s="79"/>
    </row>
    <row r="8" spans="1:12" s="3" customFormat="1">
      <c r="B8" s="179" t="str">
        <f>'a) School Summary'!B6</f>
        <v>Please Click on Arrow to Choose School</v>
      </c>
      <c r="D8" s="81" t="str">
        <f>'b) Template'!E11</f>
        <v>2025/2026</v>
      </c>
      <c r="F8" s="584" t="s">
        <v>1479</v>
      </c>
      <c r="G8" s="584"/>
      <c r="H8" s="584"/>
      <c r="I8" s="584"/>
      <c r="J8" s="584"/>
      <c r="K8" s="584"/>
      <c r="L8" s="584"/>
    </row>
    <row r="9" spans="1:12" s="3" customFormat="1" ht="14.4" thickBot="1"/>
    <row r="10" spans="1:12" ht="14.55" customHeight="1">
      <c r="A10" s="2">
        <v>1</v>
      </c>
      <c r="B10" s="77" t="s">
        <v>453</v>
      </c>
      <c r="D10" s="596" t="str">
        <f>IF('b) Template'!K70='b) Template'!K126,"YES","NO")</f>
        <v>YES</v>
      </c>
      <c r="F10" s="578"/>
      <c r="G10" s="579"/>
      <c r="H10" s="579"/>
      <c r="I10" s="579"/>
      <c r="J10" s="579"/>
      <c r="K10" s="579"/>
      <c r="L10" s="580"/>
    </row>
    <row r="11" spans="1:12" ht="15" thickBot="1">
      <c r="B11" s="80" t="s">
        <v>1442</v>
      </c>
      <c r="D11" s="597"/>
      <c r="F11" s="581"/>
      <c r="G11" s="582"/>
      <c r="H11" s="582"/>
      <c r="I11" s="582"/>
      <c r="J11" s="582"/>
      <c r="K11" s="582"/>
      <c r="L11" s="583"/>
    </row>
    <row r="12" spans="1:12" ht="15" thickBot="1">
      <c r="B12" s="82"/>
      <c r="D12" s="5"/>
      <c r="F12" s="80"/>
    </row>
    <row r="13" spans="1:12" ht="14.55" customHeight="1">
      <c r="A13" s="2">
        <v>2</v>
      </c>
      <c r="B13" s="77" t="s">
        <v>454</v>
      </c>
      <c r="D13" s="591" t="str">
        <f>IF('b) Template'!K78&gt;0,"YES","NO")</f>
        <v>NO</v>
      </c>
      <c r="F13" s="578"/>
      <c r="G13" s="579"/>
      <c r="H13" s="579"/>
      <c r="I13" s="579"/>
      <c r="J13" s="579"/>
      <c r="K13" s="579"/>
      <c r="L13" s="580"/>
    </row>
    <row r="14" spans="1:12" ht="15" thickBot="1">
      <c r="B14" s="80" t="s">
        <v>455</v>
      </c>
      <c r="D14" s="592"/>
      <c r="F14" s="581"/>
      <c r="G14" s="582"/>
      <c r="H14" s="582"/>
      <c r="I14" s="582"/>
      <c r="J14" s="582"/>
      <c r="K14" s="582"/>
      <c r="L14" s="583"/>
    </row>
    <row r="15" spans="1:12" ht="15" thickBot="1">
      <c r="B15" s="82"/>
      <c r="D15" s="5"/>
      <c r="F15" s="80"/>
    </row>
    <row r="16" spans="1:12" ht="14.55" customHeight="1">
      <c r="A16" s="2">
        <v>3</v>
      </c>
      <c r="B16" s="77" t="s">
        <v>456</v>
      </c>
      <c r="D16" s="591" t="str">
        <f>IF('b) Template'!K101&gt;0,"YES","NO")</f>
        <v>NO</v>
      </c>
      <c r="F16" s="578"/>
      <c r="G16" s="579"/>
      <c r="H16" s="579"/>
      <c r="I16" s="579"/>
      <c r="J16" s="579"/>
      <c r="K16" s="579"/>
      <c r="L16" s="580"/>
    </row>
    <row r="17" spans="1:12" ht="15" thickBot="1">
      <c r="B17" s="80" t="s">
        <v>455</v>
      </c>
      <c r="D17" s="592"/>
      <c r="F17" s="581"/>
      <c r="G17" s="582"/>
      <c r="H17" s="582"/>
      <c r="I17" s="582"/>
      <c r="J17" s="582"/>
      <c r="K17" s="582"/>
      <c r="L17" s="583"/>
    </row>
    <row r="18" spans="1:12" ht="15" thickBot="1">
      <c r="B18" s="82"/>
      <c r="D18" s="5"/>
      <c r="F18" s="80"/>
    </row>
    <row r="19" spans="1:12" ht="14.4" hidden="1">
      <c r="A19" s="2" t="s">
        <v>457</v>
      </c>
      <c r="B19" s="314" t="s">
        <v>458</v>
      </c>
      <c r="D19" s="591" t="e">
        <f>IF('d) IUB reporting March 2025'!F20&gt;0,"YES","NO")</f>
        <v>#N/A</v>
      </c>
      <c r="F19" s="80" t="s">
        <v>459</v>
      </c>
    </row>
    <row r="20" spans="1:12" ht="15" hidden="1" thickBot="1">
      <c r="B20" s="80" t="s">
        <v>460</v>
      </c>
      <c r="D20" s="592"/>
      <c r="F20" s="80"/>
    </row>
    <row r="21" spans="1:12" ht="15" hidden="1" thickBot="1">
      <c r="D21" s="4"/>
      <c r="F21" s="80"/>
    </row>
    <row r="22" spans="1:12" ht="14.55" customHeight="1">
      <c r="A22" s="2">
        <v>4</v>
      </c>
      <c r="B22" s="77" t="s">
        <v>461</v>
      </c>
      <c r="D22" s="591" t="e">
        <f>IF('b) Template'!K80&lt;('b) Template'!K79/2),"YES","NO")</f>
        <v>#N/A</v>
      </c>
      <c r="F22" s="578"/>
      <c r="G22" s="579"/>
      <c r="H22" s="579"/>
      <c r="I22" s="579"/>
      <c r="J22" s="579"/>
      <c r="K22" s="579"/>
      <c r="L22" s="580"/>
    </row>
    <row r="23" spans="1:12" ht="15" thickBot="1">
      <c r="B23" s="80" t="s">
        <v>462</v>
      </c>
      <c r="D23" s="592"/>
      <c r="F23" s="581"/>
      <c r="G23" s="582"/>
      <c r="H23" s="582"/>
      <c r="I23" s="582"/>
      <c r="J23" s="582"/>
      <c r="K23" s="582"/>
      <c r="L23" s="583"/>
    </row>
    <row r="24" spans="1:12" ht="15" thickBot="1">
      <c r="D24" s="4"/>
      <c r="F24" s="80"/>
    </row>
    <row r="25" spans="1:12" ht="14.55" customHeight="1">
      <c r="A25" s="2">
        <v>5</v>
      </c>
      <c r="B25" s="77" t="s">
        <v>463</v>
      </c>
      <c r="D25" s="591" t="e">
        <f>IF('b) Template'!K80&lt;0,"YES","NO")</f>
        <v>#N/A</v>
      </c>
      <c r="F25" s="578"/>
      <c r="G25" s="579"/>
      <c r="H25" s="579"/>
      <c r="I25" s="579"/>
      <c r="J25" s="579"/>
      <c r="K25" s="579"/>
      <c r="L25" s="580"/>
    </row>
    <row r="26" spans="1:12" ht="15" thickBot="1">
      <c r="B26" s="80" t="s">
        <v>464</v>
      </c>
      <c r="D26" s="592"/>
      <c r="F26" s="581"/>
      <c r="G26" s="582"/>
      <c r="H26" s="582"/>
      <c r="I26" s="582"/>
      <c r="J26" s="582"/>
      <c r="K26" s="582"/>
      <c r="L26" s="583"/>
    </row>
    <row r="27" spans="1:12" ht="15" thickBot="1">
      <c r="D27" s="5"/>
      <c r="F27" s="80"/>
    </row>
    <row r="28" spans="1:12" ht="14.55" customHeight="1">
      <c r="A28" s="2">
        <v>6</v>
      </c>
      <c r="B28" s="77" t="s">
        <v>465</v>
      </c>
      <c r="D28" s="591" t="e">
        <f>IF('b) Template'!K103&lt;0,"YES","NO")</f>
        <v>#N/A</v>
      </c>
      <c r="F28" s="578"/>
      <c r="G28" s="579"/>
      <c r="H28" s="579"/>
      <c r="I28" s="579"/>
      <c r="J28" s="579"/>
      <c r="K28" s="579"/>
      <c r="L28" s="580"/>
    </row>
    <row r="29" spans="1:12" ht="15" thickBot="1">
      <c r="B29" s="80" t="s">
        <v>464</v>
      </c>
      <c r="D29" s="592"/>
      <c r="F29" s="581"/>
      <c r="G29" s="582"/>
      <c r="H29" s="582"/>
      <c r="I29" s="582"/>
      <c r="J29" s="582"/>
      <c r="K29" s="582"/>
      <c r="L29" s="583"/>
    </row>
    <row r="30" spans="1:12" ht="15" thickBot="1">
      <c r="B30" s="82"/>
      <c r="D30" s="4"/>
      <c r="F30" s="80"/>
    </row>
    <row r="31" spans="1:12" ht="14.55" customHeight="1">
      <c r="A31" s="2">
        <v>7</v>
      </c>
      <c r="B31" s="77" t="s">
        <v>466</v>
      </c>
      <c r="D31" s="591" t="e">
        <f>IF('b) Template'!K138&lt;0,"YES","NO")</f>
        <v>#N/A</v>
      </c>
      <c r="F31" s="578"/>
      <c r="G31" s="579"/>
      <c r="H31" s="579"/>
      <c r="I31" s="579"/>
      <c r="J31" s="579"/>
      <c r="K31" s="579"/>
      <c r="L31" s="580"/>
    </row>
    <row r="32" spans="1:12" ht="15" thickBot="1">
      <c r="B32" s="80" t="s">
        <v>464</v>
      </c>
      <c r="D32" s="592"/>
      <c r="F32" s="581"/>
      <c r="G32" s="582"/>
      <c r="H32" s="582"/>
      <c r="I32" s="582"/>
      <c r="J32" s="582"/>
      <c r="K32" s="582"/>
      <c r="L32" s="583"/>
    </row>
    <row r="33" spans="1:12" ht="15" thickBot="1">
      <c r="B33" s="82"/>
      <c r="D33" s="4"/>
      <c r="F33" s="80"/>
    </row>
    <row r="34" spans="1:12" hidden="1">
      <c r="A34" s="2" t="s">
        <v>467</v>
      </c>
      <c r="B34" s="77" t="s">
        <v>468</v>
      </c>
      <c r="D34" s="591" t="str">
        <f>IF('b) Template'!C8="","NO","YES")</f>
        <v>YES</v>
      </c>
    </row>
    <row r="35" spans="1:12" ht="15" hidden="1" thickBot="1">
      <c r="B35" s="82" t="s">
        <v>469</v>
      </c>
      <c r="D35" s="592"/>
    </row>
    <row r="36" spans="1:12" ht="14.4" hidden="1" thickBot="1">
      <c r="A36" s="255"/>
      <c r="B36" s="256"/>
      <c r="C36" s="256"/>
      <c r="D36" s="255"/>
      <c r="E36" s="255"/>
      <c r="F36" s="255"/>
    </row>
    <row r="37" spans="1:12" ht="14.4" hidden="1">
      <c r="A37" s="255" t="s">
        <v>470</v>
      </c>
      <c r="B37" s="256" t="s">
        <v>471</v>
      </c>
      <c r="C37" s="256"/>
      <c r="D37" s="593" t="e">
        <f>IF(AND('c) IUB reporting March 2024'!E17&gt;0,'c) IUB reporting March 2024'!F37=0),"NO","YES")</f>
        <v>#N/A</v>
      </c>
      <c r="E37" s="255"/>
      <c r="F37" s="257"/>
    </row>
    <row r="38" spans="1:12" ht="15" hidden="1" thickBot="1">
      <c r="A38" s="255"/>
      <c r="B38" s="258" t="s">
        <v>469</v>
      </c>
      <c r="C38" s="256"/>
      <c r="D38" s="594"/>
      <c r="E38" s="255"/>
      <c r="F38" s="255"/>
    </row>
    <row r="39" spans="1:12" ht="14.4" hidden="1" thickBot="1"/>
    <row r="40" spans="1:12">
      <c r="A40" s="2">
        <v>8</v>
      </c>
      <c r="B40" s="77" t="s">
        <v>461</v>
      </c>
      <c r="D40" s="591" t="e">
        <f>IF('b) Template'!K103&lt;('b) Template'!K102/2),"YES","NO")</f>
        <v>#N/A</v>
      </c>
      <c r="F40" s="585"/>
      <c r="G40" s="586"/>
      <c r="H40" s="586"/>
      <c r="I40" s="586"/>
      <c r="J40" s="586"/>
      <c r="K40" s="586"/>
      <c r="L40" s="587"/>
    </row>
    <row r="41" spans="1:12" ht="15" thickBot="1">
      <c r="B41" s="80" t="s">
        <v>462</v>
      </c>
      <c r="D41" s="592"/>
      <c r="F41" s="588"/>
      <c r="G41" s="589"/>
      <c r="H41" s="589"/>
      <c r="I41" s="589"/>
      <c r="J41" s="589"/>
      <c r="K41" s="589"/>
      <c r="L41" s="590"/>
    </row>
    <row r="42" spans="1:12" ht="14.4" thickBot="1"/>
    <row r="43" spans="1:12">
      <c r="A43" s="2">
        <v>9</v>
      </c>
      <c r="B43" s="77" t="s">
        <v>472</v>
      </c>
      <c r="D43" s="591" t="s">
        <v>473</v>
      </c>
      <c r="F43" s="585"/>
      <c r="G43" s="586"/>
      <c r="H43" s="586"/>
      <c r="I43" s="586"/>
      <c r="J43" s="586"/>
      <c r="K43" s="586"/>
      <c r="L43" s="587"/>
    </row>
    <row r="44" spans="1:12" ht="15" thickBot="1">
      <c r="B44" s="82"/>
      <c r="D44" s="592"/>
      <c r="F44" s="588"/>
      <c r="G44" s="589"/>
      <c r="H44" s="589"/>
      <c r="I44" s="589"/>
      <c r="J44" s="589"/>
      <c r="K44" s="589"/>
      <c r="L44" s="590"/>
    </row>
  </sheetData>
  <sheetProtection algorithmName="SHA-512" hashValue="rxHuhiJTvt9O00ckLAIbt60/nb9AU6u+4UyHaSQ15f6tKkNKXQUOrKbUiV1FshEkvBtUdzITO+SK7i3FLYGThQ==" saltValue="aUM0480jMOY+3gQvk0PaKQ==" spinCount="100000" sheet="1" objects="1" scenarios="1"/>
  <mergeCells count="25">
    <mergeCell ref="D19:D20"/>
    <mergeCell ref="D16:D17"/>
    <mergeCell ref="D13:D14"/>
    <mergeCell ref="A1:E1"/>
    <mergeCell ref="D10:D11"/>
    <mergeCell ref="B7:E7"/>
    <mergeCell ref="A3:D3"/>
    <mergeCell ref="D22:D23"/>
    <mergeCell ref="D34:D35"/>
    <mergeCell ref="D37:D38"/>
    <mergeCell ref="D40:D41"/>
    <mergeCell ref="D43:D44"/>
    <mergeCell ref="D28:D29"/>
    <mergeCell ref="D25:D26"/>
    <mergeCell ref="D31:D32"/>
    <mergeCell ref="F43:L44"/>
    <mergeCell ref="F40:L41"/>
    <mergeCell ref="F31:L32"/>
    <mergeCell ref="F28:L29"/>
    <mergeCell ref="F25:L26"/>
    <mergeCell ref="F22:L23"/>
    <mergeCell ref="F16:L17"/>
    <mergeCell ref="F13:L14"/>
    <mergeCell ref="F10:L11"/>
    <mergeCell ref="F8:L8"/>
  </mergeCells>
  <phoneticPr fontId="15" type="noConversion"/>
  <conditionalFormatting sqref="D10:D11">
    <cfRule type="cellIs" dxfId="12" priority="6" stopIfTrue="1" operator="equal">
      <formula>"No"</formula>
    </cfRule>
  </conditionalFormatting>
  <conditionalFormatting sqref="D12 D15 D18 D27">
    <cfRule type="cellIs" dxfId="11" priority="2" stopIfTrue="1" operator="equal">
      <formula>"Check"</formula>
    </cfRule>
  </conditionalFormatting>
  <conditionalFormatting sqref="D13:D14 D16:D17 D19:D20 D22:D23 D25:D26 D28:D29 D31:D32">
    <cfRule type="cellIs" dxfId="10" priority="4" stopIfTrue="1" operator="equal">
      <formula>"YES"</formula>
    </cfRule>
  </conditionalFormatting>
  <conditionalFormatting sqref="D34:D35 D37:D38">
    <cfRule type="cellIs" dxfId="9" priority="5" stopIfTrue="1" operator="equal">
      <formula>"NO"</formula>
    </cfRule>
  </conditionalFormatting>
  <conditionalFormatting sqref="D40:D41">
    <cfRule type="cellIs" dxfId="8" priority="1" stopIfTrue="1" operator="equal">
      <formula>"YES"</formula>
    </cfRule>
  </conditionalFormatting>
  <conditionalFormatting sqref="D43:D44">
    <cfRule type="cellIs" dxfId="7" priority="3" stopIfTrue="1" operator="equal">
      <formula>"Check"</formula>
    </cfRule>
  </conditionalFormatting>
  <pageMargins left="0.25" right="0.25" top="0.75" bottom="0.75" header="0.3" footer="0.3"/>
  <pageSetup paperSize="9" scale="7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W349"/>
  <sheetViews>
    <sheetView workbookViewId="0">
      <selection activeCell="H233" sqref="H233"/>
    </sheetView>
  </sheetViews>
  <sheetFormatPr defaultColWidth="9.21875" defaultRowHeight="13.2"/>
  <cols>
    <col min="1" max="1" width="13.21875" customWidth="1"/>
    <col min="2" max="2" width="44.77734375" style="270" bestFit="1" customWidth="1"/>
    <col min="3" max="3" width="12.77734375" style="270" bestFit="1" customWidth="1"/>
    <col min="4" max="4" width="21.77734375" style="270" bestFit="1" customWidth="1"/>
    <col min="5" max="5" width="12" style="437" customWidth="1"/>
    <col min="6" max="6" width="12" style="437" bestFit="1" customWidth="1"/>
    <col min="7" max="84" width="12.77734375" style="437" customWidth="1"/>
    <col min="85" max="85" width="11.21875" style="437" hidden="1" customWidth="1"/>
    <col min="86" max="88" width="0" style="437" hidden="1" customWidth="1"/>
    <col min="89" max="89" width="31" style="270" hidden="1" customWidth="1"/>
    <col min="90" max="90" width="17.21875" style="270" hidden="1" customWidth="1"/>
    <col min="91" max="93" width="17.21875" style="437" hidden="1" customWidth="1"/>
    <col min="94" max="94" width="20.44140625" style="270" hidden="1" customWidth="1"/>
    <col min="95" max="99" width="17.21875" style="437" hidden="1" customWidth="1"/>
    <col min="100" max="101" width="17.21875" style="266" hidden="1" customWidth="1"/>
    <col min="102" max="102" width="35.44140625" style="270" hidden="1" customWidth="1"/>
    <col min="103" max="104" width="18.21875" style="437" hidden="1" customWidth="1"/>
    <col min="105" max="105" width="18.21875" style="270" hidden="1" customWidth="1"/>
    <col min="106" max="107" width="0" style="437" hidden="1" customWidth="1"/>
    <col min="108" max="109" width="10.21875" style="437" hidden="1" customWidth="1"/>
    <col min="110" max="111" width="0" style="437" hidden="1" customWidth="1"/>
    <col min="112" max="113" width="10.21875" style="437" hidden="1" customWidth="1"/>
    <col min="114" max="115" width="0" style="437" hidden="1" customWidth="1"/>
    <col min="116" max="117" width="10.21875" style="437" hidden="1" customWidth="1"/>
    <col min="118" max="119" width="0" style="437" hidden="1" customWidth="1"/>
    <col min="120" max="129" width="10.21875" style="437" hidden="1" customWidth="1"/>
    <col min="130" max="141" width="0" style="437" hidden="1" customWidth="1"/>
    <col min="142" max="142" width="10.77734375" style="266" hidden="1" customWidth="1"/>
    <col min="143" max="143" width="10.5546875" style="266" hidden="1" customWidth="1"/>
    <col min="144" max="144" width="11.21875" style="266" hidden="1" customWidth="1"/>
    <col min="145" max="145" width="11" style="266" hidden="1" customWidth="1"/>
    <col min="146" max="146" width="12.5546875" style="266" hidden="1" customWidth="1"/>
    <col min="147" max="147" width="13" style="266" hidden="1" customWidth="1"/>
    <col min="148" max="183" width="0" style="266" hidden="1" customWidth="1"/>
    <col min="184" max="229" width="0" style="437" hidden="1" customWidth="1"/>
    <col min="230" max="230" width="10" style="437" hidden="1" customWidth="1"/>
    <col min="231" max="231" width="10.5546875" style="437" hidden="1" customWidth="1"/>
  </cols>
  <sheetData>
    <row r="1" spans="1:231" ht="12.75" customHeight="1">
      <c r="R1" s="438"/>
      <c r="BH1" s="439"/>
      <c r="BI1" s="439"/>
      <c r="BJ1" s="439"/>
      <c r="BK1" s="439"/>
      <c r="BL1" s="439"/>
      <c r="BM1" s="439"/>
      <c r="BN1" s="439"/>
      <c r="BO1" s="439"/>
      <c r="BP1" s="439"/>
      <c r="BQ1" s="599"/>
      <c r="BR1" s="599"/>
      <c r="BS1" s="599"/>
      <c r="BT1" s="599"/>
      <c r="BU1" s="600"/>
      <c r="BV1" s="600"/>
      <c r="BW1" s="600"/>
      <c r="BX1" s="600"/>
      <c r="BY1" s="600"/>
      <c r="BZ1" s="600"/>
      <c r="CA1" s="600"/>
      <c r="CB1" s="600"/>
      <c r="CC1" s="600"/>
      <c r="CD1" s="600"/>
      <c r="CE1" s="600"/>
      <c r="CF1" s="600"/>
    </row>
    <row r="2" spans="1:231" s="272" customFormat="1" ht="66.75" customHeight="1" thickBot="1">
      <c r="A2" s="272" t="s">
        <v>880</v>
      </c>
      <c r="B2" s="271" t="s">
        <v>881</v>
      </c>
      <c r="C2" s="440" t="s">
        <v>877</v>
      </c>
      <c r="D2" s="440" t="s">
        <v>882</v>
      </c>
      <c r="E2" s="441" t="s">
        <v>495</v>
      </c>
      <c r="F2" s="441" t="s">
        <v>498</v>
      </c>
      <c r="G2" s="441" t="s">
        <v>501</v>
      </c>
      <c r="H2" s="441" t="s">
        <v>504</v>
      </c>
      <c r="I2" s="441" t="s">
        <v>507</v>
      </c>
      <c r="J2" s="441" t="s">
        <v>510</v>
      </c>
      <c r="K2" s="441" t="s">
        <v>513</v>
      </c>
      <c r="L2" s="441" t="s">
        <v>516</v>
      </c>
      <c r="M2" s="441" t="s">
        <v>519</v>
      </c>
      <c r="N2" s="441" t="s">
        <v>522</v>
      </c>
      <c r="O2" s="441" t="s">
        <v>525</v>
      </c>
      <c r="P2" s="441" t="s">
        <v>528</v>
      </c>
      <c r="Q2" s="441" t="s">
        <v>531</v>
      </c>
      <c r="R2" s="441" t="s">
        <v>534</v>
      </c>
      <c r="S2" s="441" t="s">
        <v>537</v>
      </c>
      <c r="T2" s="441" t="s">
        <v>539</v>
      </c>
      <c r="U2" s="441" t="s">
        <v>542</v>
      </c>
      <c r="V2" s="441" t="s">
        <v>544</v>
      </c>
      <c r="W2" s="441" t="s">
        <v>546</v>
      </c>
      <c r="X2" s="441" t="s">
        <v>430</v>
      </c>
      <c r="Y2" s="441" t="s">
        <v>552</v>
      </c>
      <c r="Z2" s="441" t="s">
        <v>555</v>
      </c>
      <c r="AA2" s="441" t="s">
        <v>558</v>
      </c>
      <c r="AB2" s="441" t="s">
        <v>561</v>
      </c>
      <c r="AC2" s="441" t="s">
        <v>564</v>
      </c>
      <c r="AD2" s="441" t="s">
        <v>567</v>
      </c>
      <c r="AE2" s="441" t="s">
        <v>570</v>
      </c>
      <c r="AF2" s="441" t="s">
        <v>573</v>
      </c>
      <c r="AG2" s="441" t="s">
        <v>576</v>
      </c>
      <c r="AH2" s="441" t="s">
        <v>579</v>
      </c>
      <c r="AI2" s="441" t="s">
        <v>582</v>
      </c>
      <c r="AJ2" s="441" t="s">
        <v>585</v>
      </c>
      <c r="AK2" s="441" t="s">
        <v>588</v>
      </c>
      <c r="AL2" s="441" t="s">
        <v>591</v>
      </c>
      <c r="AM2" s="441" t="s">
        <v>594</v>
      </c>
      <c r="AN2" s="441" t="s">
        <v>597</v>
      </c>
      <c r="AO2" s="441" t="s">
        <v>600</v>
      </c>
      <c r="AP2" s="441" t="s">
        <v>603</v>
      </c>
      <c r="AQ2" s="441" t="s">
        <v>606</v>
      </c>
      <c r="AR2" s="441" t="s">
        <v>609</v>
      </c>
      <c r="AS2" s="441" t="s">
        <v>611</v>
      </c>
      <c r="AT2" s="441" t="s">
        <v>614</v>
      </c>
      <c r="AU2" s="441" t="s">
        <v>617</v>
      </c>
      <c r="AV2" s="441" t="s">
        <v>620</v>
      </c>
      <c r="AW2" s="441" t="s">
        <v>623</v>
      </c>
      <c r="AX2" s="441" t="s">
        <v>626</v>
      </c>
      <c r="AY2" s="441" t="s">
        <v>629</v>
      </c>
      <c r="AZ2" s="441" t="s">
        <v>632</v>
      </c>
      <c r="BA2" s="441" t="s">
        <v>635</v>
      </c>
      <c r="BB2" s="441" t="s">
        <v>638</v>
      </c>
      <c r="BC2" s="441" t="s">
        <v>641</v>
      </c>
      <c r="BD2" s="441" t="s">
        <v>883</v>
      </c>
      <c r="BE2" s="441" t="s">
        <v>884</v>
      </c>
      <c r="BF2" s="441" t="s">
        <v>885</v>
      </c>
      <c r="BG2" s="441" t="s">
        <v>886</v>
      </c>
      <c r="BH2" s="441" t="s">
        <v>653</v>
      </c>
      <c r="BI2" s="441" t="s">
        <v>656</v>
      </c>
      <c r="BJ2" s="441" t="s">
        <v>492</v>
      </c>
      <c r="BK2" s="441" t="s">
        <v>661</v>
      </c>
      <c r="BL2" s="441" t="s">
        <v>664</v>
      </c>
      <c r="BM2" s="441" t="s">
        <v>887</v>
      </c>
      <c r="BN2" s="441" t="s">
        <v>888</v>
      </c>
      <c r="BO2" s="441" t="s">
        <v>889</v>
      </c>
      <c r="BP2" s="441" t="s">
        <v>890</v>
      </c>
      <c r="BQ2" s="441" t="s">
        <v>891</v>
      </c>
      <c r="BR2" s="441" t="s">
        <v>892</v>
      </c>
      <c r="BS2" s="441" t="s">
        <v>893</v>
      </c>
      <c r="BT2" s="441" t="s">
        <v>894</v>
      </c>
      <c r="BU2" s="441" t="s">
        <v>682</v>
      </c>
      <c r="BV2" s="441" t="s">
        <v>685</v>
      </c>
      <c r="BW2" s="441" t="s">
        <v>688</v>
      </c>
      <c r="BX2" s="441" t="s">
        <v>895</v>
      </c>
      <c r="BY2" s="441" t="s">
        <v>692</v>
      </c>
      <c r="BZ2" s="441" t="s">
        <v>695</v>
      </c>
      <c r="CA2" s="441" t="s">
        <v>698</v>
      </c>
      <c r="CB2" s="441" t="s">
        <v>701</v>
      </c>
      <c r="CC2" s="441" t="s">
        <v>896</v>
      </c>
      <c r="CD2" s="441" t="s">
        <v>897</v>
      </c>
      <c r="CE2" s="441" t="s">
        <v>898</v>
      </c>
      <c r="CF2" s="441" t="s">
        <v>899</v>
      </c>
      <c r="CG2" s="442" t="s">
        <v>900</v>
      </c>
      <c r="CH2" s="442" t="s">
        <v>901</v>
      </c>
      <c r="CI2" s="442" t="s">
        <v>902</v>
      </c>
      <c r="CJ2" s="442" t="s">
        <v>903</v>
      </c>
      <c r="CK2" s="443" t="s">
        <v>904</v>
      </c>
      <c r="CL2" s="443" t="s">
        <v>905</v>
      </c>
      <c r="CM2" s="442" t="s">
        <v>906</v>
      </c>
      <c r="CN2" s="442" t="s">
        <v>907</v>
      </c>
      <c r="CO2" s="442" t="s">
        <v>908</v>
      </c>
      <c r="CP2" s="443" t="s">
        <v>909</v>
      </c>
      <c r="CQ2" s="442" t="s">
        <v>906</v>
      </c>
      <c r="CR2" s="442" t="s">
        <v>907</v>
      </c>
      <c r="CS2" s="442" t="s">
        <v>908</v>
      </c>
      <c r="CT2" s="442" t="s">
        <v>910</v>
      </c>
      <c r="CU2" s="442" t="s">
        <v>911</v>
      </c>
      <c r="CV2" s="444" t="s">
        <v>912</v>
      </c>
      <c r="CW2" s="444" t="s">
        <v>913</v>
      </c>
      <c r="CX2" s="443" t="s">
        <v>914</v>
      </c>
      <c r="CY2" s="442" t="s">
        <v>915</v>
      </c>
      <c r="CZ2" s="442" t="s">
        <v>916</v>
      </c>
      <c r="DA2" s="443" t="s">
        <v>917</v>
      </c>
      <c r="DB2" s="442" t="s">
        <v>918</v>
      </c>
      <c r="DC2" s="442" t="s">
        <v>919</v>
      </c>
      <c r="DD2" s="442" t="s">
        <v>920</v>
      </c>
      <c r="DE2" s="443" t="s">
        <v>921</v>
      </c>
      <c r="DF2" s="442" t="s">
        <v>922</v>
      </c>
      <c r="DG2" s="442" t="s">
        <v>923</v>
      </c>
      <c r="DH2" s="442" t="s">
        <v>924</v>
      </c>
      <c r="DI2" s="443" t="s">
        <v>925</v>
      </c>
      <c r="DJ2" s="442" t="s">
        <v>926</v>
      </c>
      <c r="DK2" s="442" t="s">
        <v>927</v>
      </c>
      <c r="DL2" s="442" t="s">
        <v>928</v>
      </c>
      <c r="DM2" s="443" t="s">
        <v>929</v>
      </c>
      <c r="DN2" s="442" t="s">
        <v>930</v>
      </c>
      <c r="DO2" s="442" t="s">
        <v>931</v>
      </c>
      <c r="DP2" s="442" t="s">
        <v>932</v>
      </c>
      <c r="DQ2" s="443" t="s">
        <v>933</v>
      </c>
      <c r="DR2" s="442" t="s">
        <v>934</v>
      </c>
      <c r="DS2" s="442" t="s">
        <v>935</v>
      </c>
      <c r="DT2" s="442" t="s">
        <v>936</v>
      </c>
      <c r="DU2" s="443" t="s">
        <v>937</v>
      </c>
      <c r="DV2" s="442" t="s">
        <v>938</v>
      </c>
      <c r="DW2" s="442" t="s">
        <v>939</v>
      </c>
      <c r="DX2" s="442" t="s">
        <v>940</v>
      </c>
      <c r="DY2" s="443" t="s">
        <v>941</v>
      </c>
      <c r="DZ2" s="442" t="s">
        <v>942</v>
      </c>
      <c r="EA2" s="442" t="s">
        <v>943</v>
      </c>
      <c r="EB2" s="442" t="s">
        <v>944</v>
      </c>
      <c r="EC2" s="442" t="s">
        <v>945</v>
      </c>
      <c r="ED2" s="442" t="s">
        <v>946</v>
      </c>
      <c r="EE2" s="442" t="s">
        <v>947</v>
      </c>
      <c r="EF2" s="442" t="s">
        <v>948</v>
      </c>
      <c r="EG2" s="442" t="s">
        <v>949</v>
      </c>
      <c r="EH2" s="442" t="s">
        <v>950</v>
      </c>
      <c r="EI2" s="442" t="s">
        <v>951</v>
      </c>
      <c r="EJ2" s="442" t="s">
        <v>952</v>
      </c>
      <c r="EK2" s="442" t="s">
        <v>953</v>
      </c>
      <c r="EL2" s="444" t="s">
        <v>954</v>
      </c>
      <c r="EM2" s="444" t="s">
        <v>955</v>
      </c>
      <c r="EN2" s="444" t="s">
        <v>956</v>
      </c>
      <c r="EO2" s="444" t="s">
        <v>957</v>
      </c>
      <c r="EP2" s="444" t="s">
        <v>958</v>
      </c>
      <c r="EQ2" s="444" t="s">
        <v>959</v>
      </c>
      <c r="ER2" s="444" t="s">
        <v>954</v>
      </c>
      <c r="ES2" s="444" t="s">
        <v>955</v>
      </c>
      <c r="ET2" s="444" t="s">
        <v>956</v>
      </c>
      <c r="EU2" s="444" t="s">
        <v>957</v>
      </c>
      <c r="EV2" s="444" t="s">
        <v>958</v>
      </c>
      <c r="EW2" s="444" t="s">
        <v>959</v>
      </c>
      <c r="EX2" s="444" t="s">
        <v>954</v>
      </c>
      <c r="EY2" s="444" t="s">
        <v>955</v>
      </c>
      <c r="EZ2" s="444" t="s">
        <v>956</v>
      </c>
      <c r="FA2" s="444" t="s">
        <v>957</v>
      </c>
      <c r="FB2" s="444" t="s">
        <v>958</v>
      </c>
      <c r="FC2" s="444" t="s">
        <v>959</v>
      </c>
      <c r="FD2" s="444" t="s">
        <v>954</v>
      </c>
      <c r="FE2" s="444" t="s">
        <v>955</v>
      </c>
      <c r="FF2" s="444" t="s">
        <v>956</v>
      </c>
      <c r="FG2" s="444" t="s">
        <v>957</v>
      </c>
      <c r="FH2" s="444" t="s">
        <v>958</v>
      </c>
      <c r="FI2" s="444" t="s">
        <v>959</v>
      </c>
      <c r="FJ2" s="444" t="s">
        <v>954</v>
      </c>
      <c r="FK2" s="444" t="s">
        <v>955</v>
      </c>
      <c r="FL2" s="444" t="s">
        <v>956</v>
      </c>
      <c r="FM2" s="444" t="s">
        <v>957</v>
      </c>
      <c r="FN2" s="444" t="s">
        <v>958</v>
      </c>
      <c r="FO2" s="444" t="s">
        <v>959</v>
      </c>
      <c r="FP2" s="444" t="s">
        <v>954</v>
      </c>
      <c r="FQ2" s="444" t="s">
        <v>955</v>
      </c>
      <c r="FR2" s="444" t="s">
        <v>956</v>
      </c>
      <c r="FS2" s="444" t="s">
        <v>957</v>
      </c>
      <c r="FT2" s="444" t="s">
        <v>958</v>
      </c>
      <c r="FU2" s="444" t="s">
        <v>959</v>
      </c>
      <c r="FV2" s="444" t="s">
        <v>954</v>
      </c>
      <c r="FW2" s="444" t="s">
        <v>955</v>
      </c>
      <c r="FX2" s="444" t="s">
        <v>956</v>
      </c>
      <c r="FY2" s="444" t="s">
        <v>957</v>
      </c>
      <c r="FZ2" s="444" t="s">
        <v>958</v>
      </c>
      <c r="GA2" s="444" t="s">
        <v>959</v>
      </c>
      <c r="GB2" s="444" t="s">
        <v>954</v>
      </c>
      <c r="GC2" s="444" t="s">
        <v>955</v>
      </c>
      <c r="GD2" s="444" t="s">
        <v>956</v>
      </c>
      <c r="GE2" s="444" t="s">
        <v>957</v>
      </c>
      <c r="GF2" s="444" t="s">
        <v>958</v>
      </c>
      <c r="GG2" s="444" t="s">
        <v>959</v>
      </c>
      <c r="GH2" s="444" t="s">
        <v>954</v>
      </c>
      <c r="GI2" s="444" t="s">
        <v>955</v>
      </c>
      <c r="GJ2" s="444" t="s">
        <v>956</v>
      </c>
      <c r="GK2" s="444" t="s">
        <v>957</v>
      </c>
      <c r="GL2" s="444" t="s">
        <v>958</v>
      </c>
      <c r="GM2" s="444" t="s">
        <v>959</v>
      </c>
      <c r="GN2" s="444" t="s">
        <v>954</v>
      </c>
      <c r="GO2" s="444" t="s">
        <v>955</v>
      </c>
      <c r="GP2" s="444" t="s">
        <v>956</v>
      </c>
      <c r="GQ2" s="444" t="s">
        <v>957</v>
      </c>
      <c r="GR2" s="444" t="s">
        <v>958</v>
      </c>
      <c r="GS2" s="444" t="s">
        <v>959</v>
      </c>
      <c r="GT2" s="444" t="s">
        <v>954</v>
      </c>
      <c r="GU2" s="444" t="s">
        <v>955</v>
      </c>
      <c r="GV2" s="444" t="s">
        <v>956</v>
      </c>
      <c r="GW2" s="444" t="s">
        <v>957</v>
      </c>
      <c r="GX2" s="444" t="s">
        <v>958</v>
      </c>
      <c r="GY2" s="444" t="s">
        <v>959</v>
      </c>
      <c r="GZ2" s="444" t="s">
        <v>954</v>
      </c>
      <c r="HA2" s="444" t="s">
        <v>955</v>
      </c>
      <c r="HB2" s="444" t="s">
        <v>956</v>
      </c>
      <c r="HC2" s="444" t="s">
        <v>957</v>
      </c>
      <c r="HD2" s="444" t="s">
        <v>958</v>
      </c>
      <c r="HE2" s="444" t="s">
        <v>959</v>
      </c>
      <c r="HF2" s="444" t="s">
        <v>954</v>
      </c>
      <c r="HG2" s="444" t="s">
        <v>955</v>
      </c>
      <c r="HH2" s="444" t="s">
        <v>956</v>
      </c>
      <c r="HI2" s="444" t="s">
        <v>957</v>
      </c>
      <c r="HJ2" s="444" t="s">
        <v>958</v>
      </c>
      <c r="HK2" s="444" t="s">
        <v>959</v>
      </c>
      <c r="HL2" s="444" t="s">
        <v>954</v>
      </c>
      <c r="HM2" s="444" t="s">
        <v>955</v>
      </c>
      <c r="HN2" s="444" t="s">
        <v>956</v>
      </c>
      <c r="HO2" s="444" t="s">
        <v>957</v>
      </c>
      <c r="HP2" s="444" t="s">
        <v>958</v>
      </c>
      <c r="HQ2" s="444" t="s">
        <v>959</v>
      </c>
      <c r="HR2" s="444" t="s">
        <v>954</v>
      </c>
      <c r="HS2" s="444" t="s">
        <v>955</v>
      </c>
      <c r="HT2" s="444" t="s">
        <v>956</v>
      </c>
      <c r="HU2" s="444" t="s">
        <v>957</v>
      </c>
      <c r="HV2" s="444" t="s">
        <v>958</v>
      </c>
      <c r="HW2" s="444" t="s">
        <v>959</v>
      </c>
    </row>
    <row r="3" spans="1:231">
      <c r="A3" s="445">
        <f>'b) Template'!I3</f>
        <v>0</v>
      </c>
      <c r="B3" s="270" t="str">
        <f>'b) Template'!B3</f>
        <v>Please Click on Arrow to Choose School</v>
      </c>
      <c r="C3" s="446">
        <f>'b) Template'!$B$4</f>
        <v>0</v>
      </c>
      <c r="D3" s="447" t="str">
        <f>CONCATENATE('b) Template'!$I$3,A220)</f>
        <v>0FORECAST</v>
      </c>
      <c r="E3" s="448">
        <f>'b) Template'!$K$16</f>
        <v>0</v>
      </c>
      <c r="F3" s="448">
        <f>'b) Template'!$K$17</f>
        <v>0</v>
      </c>
      <c r="G3" s="448">
        <f>'b) Template'!$K$18</f>
        <v>0</v>
      </c>
      <c r="H3" s="448">
        <f>'b) Template'!$K$19</f>
        <v>0</v>
      </c>
      <c r="I3" s="448">
        <f>'b) Template'!$K$20</f>
        <v>0</v>
      </c>
      <c r="J3" s="448">
        <f>'b) Template'!$K$21</f>
        <v>0</v>
      </c>
      <c r="K3" s="448">
        <f>'b) Template'!$K$22</f>
        <v>0</v>
      </c>
      <c r="L3" s="448">
        <f>'b) Template'!$K$23</f>
        <v>0</v>
      </c>
      <c r="M3" s="448">
        <f>'b) Template'!$K$24</f>
        <v>0</v>
      </c>
      <c r="N3" s="448">
        <f>'b) Template'!$K$25</f>
        <v>0</v>
      </c>
      <c r="O3" s="448">
        <f>'b) Template'!$K$26</f>
        <v>0</v>
      </c>
      <c r="P3" s="448">
        <f>'b) Template'!$K$27</f>
        <v>0</v>
      </c>
      <c r="Q3" s="448">
        <f>'b) Template'!$K$28</f>
        <v>0</v>
      </c>
      <c r="R3" s="448">
        <f>'b) Template'!$K$29</f>
        <v>0</v>
      </c>
      <c r="S3" s="448">
        <f>'b) Template'!$K$30</f>
        <v>0</v>
      </c>
      <c r="T3" s="448">
        <f>'b) Template'!$K$31</f>
        <v>0</v>
      </c>
      <c r="U3" s="448">
        <f>'b) Template'!$K$32</f>
        <v>0</v>
      </c>
      <c r="V3" s="448">
        <f>'b) Template'!$K$33</f>
        <v>0</v>
      </c>
      <c r="W3" s="448">
        <f>'b) Template'!$K$34</f>
        <v>0</v>
      </c>
      <c r="X3" s="448">
        <f>'b) Template'!$K$35</f>
        <v>0</v>
      </c>
      <c r="Y3" s="448">
        <f>'b) Template'!$K$40</f>
        <v>0</v>
      </c>
      <c r="Z3" s="448">
        <f>'b) Template'!$K$41</f>
        <v>0</v>
      </c>
      <c r="AA3" s="448">
        <f>'b) Template'!$K$42</f>
        <v>0</v>
      </c>
      <c r="AB3" s="448">
        <f>'b) Template'!$K$43</f>
        <v>0</v>
      </c>
      <c r="AC3" s="448">
        <f>'b) Template'!$K$44</f>
        <v>0</v>
      </c>
      <c r="AD3" s="448">
        <f>'b) Template'!$K$45</f>
        <v>0</v>
      </c>
      <c r="AE3" s="448">
        <f>'b) Template'!$K$46</f>
        <v>0</v>
      </c>
      <c r="AF3" s="448">
        <f>'b) Template'!$K$47</f>
        <v>0</v>
      </c>
      <c r="AG3" s="448">
        <f>'b) Template'!$K$48</f>
        <v>0</v>
      </c>
      <c r="AH3" s="448">
        <f>'b) Template'!$K$49</f>
        <v>0</v>
      </c>
      <c r="AI3" s="448">
        <f>'b) Template'!$K$50</f>
        <v>0</v>
      </c>
      <c r="AJ3" s="448">
        <f>'b) Template'!$K$51</f>
        <v>0</v>
      </c>
      <c r="AK3" s="448">
        <f>'b) Template'!$K$52</f>
        <v>0</v>
      </c>
      <c r="AL3" s="448">
        <f>'b) Template'!$K$53</f>
        <v>0</v>
      </c>
      <c r="AM3" s="448">
        <f>'b) Template'!$K$54</f>
        <v>0</v>
      </c>
      <c r="AN3" s="448">
        <f>'b) Template'!$K$55</f>
        <v>0</v>
      </c>
      <c r="AO3" s="448">
        <f>'b) Template'!$K$56</f>
        <v>0</v>
      </c>
      <c r="AP3" s="448">
        <f>'b) Template'!$K$57</f>
        <v>0</v>
      </c>
      <c r="AQ3" s="448">
        <f>'b) Template'!$K$58</f>
        <v>0</v>
      </c>
      <c r="AR3" s="448">
        <f>'b) Template'!$K$59</f>
        <v>0</v>
      </c>
      <c r="AS3" s="448">
        <f>'b) Template'!$K$60</f>
        <v>0</v>
      </c>
      <c r="AT3" s="448">
        <f>'b) Template'!$K$61</f>
        <v>0</v>
      </c>
      <c r="AU3" s="448">
        <f>'b) Template'!$K$62</f>
        <v>0</v>
      </c>
      <c r="AV3" s="448">
        <f>'b) Template'!$K$63</f>
        <v>0</v>
      </c>
      <c r="AW3" s="448">
        <f>'b) Template'!$K$64</f>
        <v>0</v>
      </c>
      <c r="AX3" s="448">
        <f>'b) Template'!$K$65</f>
        <v>0</v>
      </c>
      <c r="AY3" s="448">
        <f>'b) Template'!$K$66</f>
        <v>0</v>
      </c>
      <c r="AZ3" s="448">
        <f>'b) Template'!$K$67</f>
        <v>0</v>
      </c>
      <c r="BA3" s="448">
        <f>'b) Template'!$K$68</f>
        <v>0</v>
      </c>
      <c r="BB3" s="448">
        <f>'b) Template'!$K$69</f>
        <v>0</v>
      </c>
      <c r="BC3" s="448">
        <f>'b) Template'!$K$70</f>
        <v>0</v>
      </c>
      <c r="BD3" s="448">
        <f>'b) Template'!$K$71</f>
        <v>0</v>
      </c>
      <c r="BE3" s="448">
        <f>'b) Template'!$K$78</f>
        <v>0</v>
      </c>
      <c r="BF3" s="448" t="e">
        <f>'b) Template'!$K$79</f>
        <v>#N/A</v>
      </c>
      <c r="BG3" s="448" t="e">
        <f>'b) Template'!$K$80</f>
        <v>#N/A</v>
      </c>
      <c r="BH3" s="448">
        <f>'b) Template'!$K$88</f>
        <v>0</v>
      </c>
      <c r="BI3" s="448">
        <f>'b) Template'!$K$89</f>
        <v>0</v>
      </c>
      <c r="BJ3" s="448">
        <f>'b) Template'!$K$90</f>
        <v>0</v>
      </c>
      <c r="BK3" s="448">
        <f>'b) Template'!$K$93</f>
        <v>0</v>
      </c>
      <c r="BL3" s="448">
        <f>'b) Template'!$K$94</f>
        <v>0</v>
      </c>
      <c r="BM3" s="448">
        <f>'b) Template'!$K$95</f>
        <v>0</v>
      </c>
      <c r="BN3" s="448">
        <f>'b) Template'!$K$101</f>
        <v>0</v>
      </c>
      <c r="BO3" s="448" t="e">
        <f>'b) Template'!$K$102</f>
        <v>#N/A</v>
      </c>
      <c r="BP3" s="448" t="e">
        <f>'b) Template'!$K$103</f>
        <v>#N/A</v>
      </c>
      <c r="BQ3" s="448">
        <f>'b) Template'!$K$106</f>
        <v>0</v>
      </c>
      <c r="BR3" s="448" t="e">
        <f>'b) Template'!$K$107</f>
        <v>#N/A</v>
      </c>
      <c r="BS3" s="448" t="e">
        <f>'b) Template'!$K$108</f>
        <v>#N/A</v>
      </c>
      <c r="BT3" s="448" t="e">
        <f>'b) Template'!$K$109</f>
        <v>#N/A</v>
      </c>
      <c r="BU3" s="448">
        <f>'b) Template'!$K$124</f>
        <v>0</v>
      </c>
      <c r="BV3" s="448">
        <f>'b) Template'!$K$125</f>
        <v>0</v>
      </c>
      <c r="BW3" s="448">
        <f>'b) Template'!$K$126</f>
        <v>0</v>
      </c>
      <c r="BX3" s="448">
        <f>'b) Template'!$K$127</f>
        <v>0</v>
      </c>
      <c r="BY3" s="448">
        <f>'b) Template'!$K$130</f>
        <v>0</v>
      </c>
      <c r="BZ3" s="448">
        <f>'b) Template'!$K$131</f>
        <v>0</v>
      </c>
      <c r="CA3" s="448"/>
      <c r="CB3" s="448">
        <f>'b) Template'!$K$133</f>
        <v>0</v>
      </c>
      <c r="CC3" s="448">
        <f>'b) Template'!$K$134</f>
        <v>0</v>
      </c>
      <c r="CD3" s="448">
        <f>'b) Template'!$K$136</f>
        <v>0</v>
      </c>
      <c r="CE3" s="448" t="e">
        <f>'b) Template'!$K$137</f>
        <v>#N/A</v>
      </c>
      <c r="CF3" s="448" t="e">
        <f>'b) Template'!$K$138</f>
        <v>#N/A</v>
      </c>
      <c r="CG3" s="449" t="str">
        <f>IF(CH3&gt;0,"YES","NO")</f>
        <v>YES</v>
      </c>
      <c r="CH3" s="449">
        <f>'b) Template'!$C$8</f>
        <v>6</v>
      </c>
      <c r="CI3" s="449">
        <f>'b) Template'!$C$9</f>
        <v>0</v>
      </c>
      <c r="CJ3" s="449">
        <f>'b) Template'!$C$10</f>
        <v>0</v>
      </c>
      <c r="CK3" s="450" t="str">
        <f>'a) School Summary'!E11</f>
        <v>PLEASE CHOOSE</v>
      </c>
      <c r="CL3" s="450" t="str">
        <f>'a) School Summary'!E20</f>
        <v>PLEASE CHOOSE</v>
      </c>
      <c r="CM3" s="451">
        <f>'a) School Summary'!C28</f>
        <v>0</v>
      </c>
      <c r="CN3" s="451">
        <f>'a) School Summary'!C30</f>
        <v>0</v>
      </c>
      <c r="CO3" s="452">
        <f>'a) School Summary'!C32</f>
        <v>0</v>
      </c>
      <c r="CP3" s="453" t="str">
        <f>'a) School Summary'!E37</f>
        <v>PLEASE CHOOSE</v>
      </c>
      <c r="CQ3" s="451">
        <f>'a) School Summary'!C43</f>
        <v>0</v>
      </c>
      <c r="CR3" s="451">
        <f>'a) School Summary'!C45</f>
        <v>0</v>
      </c>
      <c r="CS3" s="452">
        <f>'a) School Summary'!C47</f>
        <v>0</v>
      </c>
      <c r="CT3" s="451" t="e">
        <f>'"Alerts"'!D40</f>
        <v>#N/A</v>
      </c>
      <c r="CU3" s="451" t="e">
        <f>'"Alerts"'!D37</f>
        <v>#N/A</v>
      </c>
      <c r="CV3" s="449" t="e">
        <f>'d) IUB reporting March 2025'!$F$17</f>
        <v>#N/A</v>
      </c>
      <c r="CW3" s="449" t="e">
        <f>'d) IUB reporting March 2025'!$F$20</f>
        <v>#N/A</v>
      </c>
      <c r="CX3" s="450" t="str">
        <f>'d) IUB reporting March 2025'!B31</f>
        <v>Balance held on behalf of other schools or other valid adjustment</v>
      </c>
      <c r="CY3" s="449">
        <f>'d) IUB reporting March 2025'!$E$31</f>
        <v>0</v>
      </c>
      <c r="CZ3" s="452">
        <f>'d) IUB reporting March 2025'!$F$31</f>
        <v>0</v>
      </c>
      <c r="DA3" s="450">
        <f>'d) IUB reporting March 2025'!G31</f>
        <v>0</v>
      </c>
      <c r="DB3" s="450" t="str">
        <f>'d) IUB reporting March 2025'!B32</f>
        <v>Revenue Contribution to an agreed Capital Scheme</v>
      </c>
      <c r="DC3" s="449">
        <f>'d) IUB reporting March 2025'!E32</f>
        <v>0</v>
      </c>
      <c r="DD3" s="452">
        <f>'d) IUB reporting March 2025'!F32</f>
        <v>0</v>
      </c>
      <c r="DE3" s="450">
        <f>'d) IUB reporting March 2025'!G32</f>
        <v>0</v>
      </c>
      <c r="DF3" s="450" t="str">
        <f>'d) IUB reporting March 2025'!B33</f>
        <v>Revenue Contribution to an agreed Capital Spend to Save Scheme</v>
      </c>
      <c r="DG3" s="449">
        <f>'d) IUB reporting March 2025'!E33</f>
        <v>0</v>
      </c>
      <c r="DH3" s="452">
        <f>'d) IUB reporting March 2025'!F33</f>
        <v>0</v>
      </c>
      <c r="DI3" s="450">
        <f>'d) IUB reporting March 2025'!G33</f>
        <v>0</v>
      </c>
      <c r="DJ3" s="450" t="str">
        <f>'d) IUB reporting March 2025'!B34</f>
        <v>To support costs from a Review of Contracts of a SIGNIFICANT Value in future year (s)</v>
      </c>
      <c r="DK3" s="449">
        <f>'d) IUB reporting March 2025'!E34</f>
        <v>0</v>
      </c>
      <c r="DL3" s="452">
        <f>'d) IUB reporting March 2025'!F34</f>
        <v>0</v>
      </c>
      <c r="DM3" s="450">
        <f>'d) IUB reporting March 2025'!G34</f>
        <v>0</v>
      </c>
      <c r="DN3" s="450" t="str">
        <f>'d) IUB reporting March 2025'!B35</f>
        <v>To manage a SIGNIFICANT Expansion of Pupil Numbers</v>
      </c>
      <c r="DO3" s="449">
        <f>'d) IUB reporting March 2025'!E35</f>
        <v>0</v>
      </c>
      <c r="DP3" s="452">
        <f>'d) IUB reporting March 2025'!F35</f>
        <v>0</v>
      </c>
      <c r="DQ3" s="450">
        <f>'d) IUB reporting March 2025'!G35</f>
        <v>0</v>
      </c>
      <c r="DR3" s="450" t="str">
        <f>'d) IUB reporting March 2025'!B36</f>
        <v>To Manage the impact of a SIGNIFICANT Budget reduction</v>
      </c>
      <c r="DS3" s="449">
        <f>'d) IUB reporting March 2025'!E36</f>
        <v>0</v>
      </c>
      <c r="DT3" s="452">
        <f>'d) IUB reporting March 2025'!F36</f>
        <v>0</v>
      </c>
      <c r="DU3" s="450">
        <f>'d) IUB reporting March 2025'!G36</f>
        <v>0</v>
      </c>
      <c r="DV3" s="450" t="str">
        <f>'d) IUB reporting March 2025'!B37</f>
        <v>To Manage Exceptional Circumstances which may cause SIGNIFICANT financial turbulence</v>
      </c>
      <c r="DW3" s="449">
        <f>'d) IUB reporting March 2025'!E37</f>
        <v>0</v>
      </c>
      <c r="DX3" s="452">
        <f>'d) IUB reporting March 2025'!F37</f>
        <v>0</v>
      </c>
      <c r="DY3" s="450">
        <f>'d) IUB reporting March 2025'!G37</f>
        <v>0</v>
      </c>
      <c r="DZ3" s="451" t="str">
        <f>'"Alerts"'!D10</f>
        <v>YES</v>
      </c>
      <c r="EA3" s="451" t="str">
        <f>'"Alerts"'!D13</f>
        <v>NO</v>
      </c>
      <c r="EB3" s="451" t="str">
        <f>'"Alerts"'!D16</f>
        <v>NO</v>
      </c>
      <c r="EC3" s="451" t="e">
        <f>'"Alerts"'!D19</f>
        <v>#N/A</v>
      </c>
      <c r="ED3" s="451" t="e">
        <f>'"Alerts"'!D22</f>
        <v>#N/A</v>
      </c>
      <c r="EE3" s="451" t="e">
        <f>'"Alerts"'!D25</f>
        <v>#N/A</v>
      </c>
      <c r="EF3" s="451" t="e">
        <f>'"Alerts"'!D28</f>
        <v>#N/A</v>
      </c>
      <c r="EG3" s="451" t="e">
        <f>'"Alerts"'!D31</f>
        <v>#N/A</v>
      </c>
      <c r="EH3" s="451" t="str">
        <f>'"Alerts"'!D34</f>
        <v>YES</v>
      </c>
      <c r="EI3" s="451" t="e">
        <f>'"Alerts"'!D37</f>
        <v>#N/A</v>
      </c>
      <c r="EJ3" s="451" t="e">
        <f>'"Alerts"'!D40</f>
        <v>#N/A</v>
      </c>
      <c r="EK3" s="451" t="str">
        <f>'"Alerts"'!D43</f>
        <v>CHECK</v>
      </c>
      <c r="EL3" s="454">
        <f>'c) IUB reporting March 2024'!$B$22</f>
        <v>0</v>
      </c>
      <c r="EM3" s="454">
        <f>'c) IUB reporting March 2024'!$A$22</f>
        <v>0</v>
      </c>
      <c r="EN3" s="454">
        <f>'c) IUB reporting March 2024'!$E$22</f>
        <v>0</v>
      </c>
      <c r="EO3" s="454">
        <f>'c) IUB reporting March 2024'!$F$22</f>
        <v>0</v>
      </c>
      <c r="EP3" s="454">
        <f>'c) IUB reporting March 2024'!$G$22</f>
        <v>0</v>
      </c>
      <c r="EQ3" s="454">
        <f>'c) IUB reporting March 2024'!$H$22</f>
        <v>0</v>
      </c>
      <c r="ER3" s="454">
        <f>'c) IUB reporting March 2024'!$B$23</f>
        <v>0</v>
      </c>
      <c r="ES3" s="454">
        <f>'c) IUB reporting March 2024'!$A$23</f>
        <v>0</v>
      </c>
      <c r="ET3" s="454">
        <f>'c) IUB reporting March 2024'!$E$23</f>
        <v>0</v>
      </c>
      <c r="EU3" s="454">
        <f>'c) IUB reporting March 2024'!$F$23</f>
        <v>0</v>
      </c>
      <c r="EV3" s="454">
        <f>'c) IUB reporting March 2024'!$G$23</f>
        <v>0</v>
      </c>
      <c r="EW3" s="454">
        <f>'c) IUB reporting March 2024'!$H$23</f>
        <v>0</v>
      </c>
      <c r="EX3" s="454">
        <f>'c) IUB reporting March 2024'!$B$24</f>
        <v>0</v>
      </c>
      <c r="EY3" s="454">
        <f>'c) IUB reporting March 2024'!$A$24</f>
        <v>0</v>
      </c>
      <c r="EZ3" s="454">
        <f>'c) IUB reporting March 2024'!$E$24</f>
        <v>0</v>
      </c>
      <c r="FA3" s="454">
        <f>'c) IUB reporting March 2024'!$F$24</f>
        <v>0</v>
      </c>
      <c r="FB3" s="454">
        <f>'c) IUB reporting March 2024'!$G$24</f>
        <v>0</v>
      </c>
      <c r="FC3" s="454">
        <f>'c) IUB reporting March 2024'!$H$24</f>
        <v>0</v>
      </c>
      <c r="FD3" s="454">
        <f>'c) IUB reporting March 2024'!$B$25</f>
        <v>0</v>
      </c>
      <c r="FE3" s="454">
        <f>'c) IUB reporting March 2024'!$A$25</f>
        <v>0</v>
      </c>
      <c r="FF3" s="454">
        <f>'c) IUB reporting March 2024'!$E$25</f>
        <v>0</v>
      </c>
      <c r="FG3" s="454">
        <f>'c) IUB reporting March 2024'!$F$25</f>
        <v>0</v>
      </c>
      <c r="FH3" s="454">
        <f>'c) IUB reporting March 2024'!$G$25</f>
        <v>0</v>
      </c>
      <c r="FI3" s="454">
        <f>'c) IUB reporting March 2024'!$H$25</f>
        <v>0</v>
      </c>
      <c r="FJ3" s="454">
        <f>'c) IUB reporting March 2024'!$B$26</f>
        <v>0</v>
      </c>
      <c r="FK3" s="454">
        <f>'c) IUB reporting March 2024'!$A$26</f>
        <v>0</v>
      </c>
      <c r="FL3" s="454">
        <f>'c) IUB reporting March 2024'!$E$26</f>
        <v>0</v>
      </c>
      <c r="FM3" s="454">
        <f>'c) IUB reporting March 2024'!$F$26</f>
        <v>0</v>
      </c>
      <c r="FN3" s="454">
        <f>'c) IUB reporting March 2024'!$G$26</f>
        <v>0</v>
      </c>
      <c r="FO3" s="454">
        <f>'c) IUB reporting March 2024'!$H$26</f>
        <v>0</v>
      </c>
      <c r="FP3" s="454">
        <f>'c) IUB reporting March 2024'!$B$27</f>
        <v>0</v>
      </c>
      <c r="FQ3" s="454">
        <f>'c) IUB reporting March 2024'!$A$27</f>
        <v>0</v>
      </c>
      <c r="FR3" s="454">
        <f>'c) IUB reporting March 2024'!$E$27</f>
        <v>0</v>
      </c>
      <c r="FS3" s="454">
        <f>'c) IUB reporting March 2024'!$F$27</f>
        <v>0</v>
      </c>
      <c r="FT3" s="454">
        <f>'c) IUB reporting March 2024'!$G$27</f>
        <v>0</v>
      </c>
      <c r="FU3" s="454">
        <f>'c) IUB reporting March 2024'!$H$27</f>
        <v>0</v>
      </c>
      <c r="FV3" s="454">
        <f>'c) IUB reporting March 2024'!$B$28</f>
        <v>0</v>
      </c>
      <c r="FW3" s="454">
        <f>'c) IUB reporting March 2024'!$A$28</f>
        <v>0</v>
      </c>
      <c r="FX3" s="454">
        <f>'c) IUB reporting March 2024'!$E$28</f>
        <v>0</v>
      </c>
      <c r="FY3" s="454">
        <f>'c) IUB reporting March 2024'!$F$28</f>
        <v>0</v>
      </c>
      <c r="FZ3" s="454">
        <f>'c) IUB reporting March 2024'!$G$28</f>
        <v>0</v>
      </c>
      <c r="GA3" s="454">
        <f>'c) IUB reporting March 2024'!$H$28</f>
        <v>0</v>
      </c>
      <c r="GB3" s="454">
        <f>'c) IUB reporting March 2024'!$B$29</f>
        <v>0</v>
      </c>
      <c r="GC3" s="454">
        <f>'c) IUB reporting March 2024'!$A$29</f>
        <v>0</v>
      </c>
      <c r="GD3" s="454">
        <f>'c) IUB reporting March 2024'!$E$29</f>
        <v>0</v>
      </c>
      <c r="GE3" s="454">
        <f>'c) IUB reporting March 2024'!$F$29</f>
        <v>0</v>
      </c>
      <c r="GF3" s="454">
        <f>'c) IUB reporting March 2024'!$G$29</f>
        <v>0</v>
      </c>
      <c r="GG3" s="454">
        <f>'c) IUB reporting March 2024'!$H$29</f>
        <v>0</v>
      </c>
      <c r="GH3" s="454">
        <f>'c) IUB reporting March 2024'!$B$30</f>
        <v>0</v>
      </c>
      <c r="GI3" s="454">
        <f>'c) IUB reporting March 2024'!$A$30</f>
        <v>0</v>
      </c>
      <c r="GJ3" s="454">
        <f>'c) IUB reporting March 2024'!$E$30</f>
        <v>0</v>
      </c>
      <c r="GK3" s="454">
        <f>'c) IUB reporting March 2024'!$F$30</f>
        <v>0</v>
      </c>
      <c r="GL3" s="454">
        <f>'c) IUB reporting March 2024'!$G$30</f>
        <v>0</v>
      </c>
      <c r="GM3" s="454">
        <f>'c) IUB reporting March 2024'!$H$30</f>
        <v>0</v>
      </c>
      <c r="GN3" s="454">
        <f>'c) IUB reporting March 2024'!$B$31</f>
        <v>0</v>
      </c>
      <c r="GO3" s="454">
        <f>'c) IUB reporting March 2024'!$A$31</f>
        <v>0</v>
      </c>
      <c r="GP3" s="454">
        <f>'c) IUB reporting March 2024'!$E$31</f>
        <v>0</v>
      </c>
      <c r="GQ3" s="454">
        <f>'c) IUB reporting March 2024'!$F$31</f>
        <v>0</v>
      </c>
      <c r="GR3" s="454">
        <f>'c) IUB reporting March 2024'!$G$31</f>
        <v>0</v>
      </c>
      <c r="GS3" s="454">
        <f>'c) IUB reporting March 2024'!$H$31</f>
        <v>0</v>
      </c>
      <c r="GT3" s="454">
        <f>'c) IUB reporting March 2024'!$B$32</f>
        <v>0</v>
      </c>
      <c r="GU3" s="454">
        <f>'c) IUB reporting March 2024'!$A$32</f>
        <v>0</v>
      </c>
      <c r="GV3" s="454">
        <f>'c) IUB reporting March 2024'!$E$32</f>
        <v>0</v>
      </c>
      <c r="GW3" s="454">
        <f>'c) IUB reporting March 2024'!$F$32</f>
        <v>0</v>
      </c>
      <c r="GX3" s="454">
        <f>'c) IUB reporting March 2024'!$G$32</f>
        <v>0</v>
      </c>
      <c r="GY3" s="454">
        <f>'c) IUB reporting March 2024'!$H$32</f>
        <v>0</v>
      </c>
      <c r="GZ3" s="454">
        <f>'c) IUB reporting March 2024'!$B$33</f>
        <v>0</v>
      </c>
      <c r="HA3" s="454">
        <f>'c) IUB reporting March 2024'!$A$33</f>
        <v>0</v>
      </c>
      <c r="HB3" s="454">
        <f>'c) IUB reporting March 2024'!$E$33</f>
        <v>0</v>
      </c>
      <c r="HC3" s="454">
        <f>'c) IUB reporting March 2024'!$F$33</f>
        <v>0</v>
      </c>
      <c r="HD3" s="454">
        <f>'c) IUB reporting March 2024'!$G$33</f>
        <v>0</v>
      </c>
      <c r="HE3" s="454">
        <f>'c) IUB reporting March 2024'!$H$33</f>
        <v>0</v>
      </c>
      <c r="HF3" s="454">
        <f>'c) IUB reporting March 2024'!$B$34</f>
        <v>0</v>
      </c>
      <c r="HG3" s="454">
        <f>'c) IUB reporting March 2024'!$A$34</f>
        <v>0</v>
      </c>
      <c r="HH3" s="454">
        <f>'c) IUB reporting March 2024'!$E$34</f>
        <v>0</v>
      </c>
      <c r="HI3" s="454">
        <f>'c) IUB reporting March 2024'!$F$34</f>
        <v>0</v>
      </c>
      <c r="HJ3" s="454">
        <f>'c) IUB reporting March 2024'!$G$34</f>
        <v>0</v>
      </c>
      <c r="HK3" s="454">
        <f>'c) IUB reporting March 2024'!$H$34</f>
        <v>0</v>
      </c>
      <c r="HL3" s="454">
        <f>'c) IUB reporting March 2024'!$B$35</f>
        <v>0</v>
      </c>
      <c r="HM3" s="454">
        <f>'c) IUB reporting March 2024'!$A$35</f>
        <v>0</v>
      </c>
      <c r="HN3" s="454">
        <f>'c) IUB reporting March 2024'!$E$35</f>
        <v>0</v>
      </c>
      <c r="HO3" s="454">
        <f>'c) IUB reporting March 2024'!$F$35</f>
        <v>0</v>
      </c>
      <c r="HP3" s="454">
        <f>'c) IUB reporting March 2024'!$G$35</f>
        <v>0</v>
      </c>
      <c r="HQ3" s="454">
        <f>'c) IUB reporting March 2024'!$H$35</f>
        <v>0</v>
      </c>
      <c r="HR3" s="454">
        <f>'c) IUB reporting March 2024'!$B$36</f>
        <v>0</v>
      </c>
      <c r="HS3" s="454">
        <f>'c) IUB reporting March 2024'!$A$36</f>
        <v>0</v>
      </c>
      <c r="HT3" s="454">
        <f>'c) IUB reporting March 2024'!$E$36</f>
        <v>0</v>
      </c>
      <c r="HU3" s="454">
        <f>'c) IUB reporting March 2024'!$F$36</f>
        <v>0</v>
      </c>
      <c r="HV3" s="454">
        <f>'c) IUB reporting March 2024'!$G$36</f>
        <v>0</v>
      </c>
      <c r="HW3" s="455">
        <f>'c) IUB reporting March 2024'!$H$36</f>
        <v>0</v>
      </c>
    </row>
    <row r="4" spans="1:231">
      <c r="A4" s="445">
        <f t="shared" ref="A4:B6" si="0">A3</f>
        <v>0</v>
      </c>
      <c r="B4" s="270" t="str">
        <f t="shared" si="0"/>
        <v>Please Click on Arrow to Choose School</v>
      </c>
      <c r="C4" s="456">
        <f>'b) Template'!$B$4</f>
        <v>0</v>
      </c>
      <c r="D4" s="457" t="str">
        <f>CONCATENATE('b) Template'!$I$3,A221)</f>
        <v>0ATD</v>
      </c>
      <c r="E4" s="458">
        <f>'b) Template'!$I$16</f>
        <v>0</v>
      </c>
      <c r="F4" s="458">
        <f>'b) Template'!$I$17</f>
        <v>0</v>
      </c>
      <c r="G4" s="458">
        <f>'b) Template'!$I$18</f>
        <v>0</v>
      </c>
      <c r="H4" s="458">
        <f>'b) Template'!$I$19</f>
        <v>0</v>
      </c>
      <c r="I4" s="458">
        <f>'b) Template'!$I$20</f>
        <v>0</v>
      </c>
      <c r="J4" s="458">
        <f>'b) Template'!$I$21</f>
        <v>0</v>
      </c>
      <c r="K4" s="458">
        <f>'b) Template'!$I$22</f>
        <v>0</v>
      </c>
      <c r="L4" s="458">
        <f>'b) Template'!$I$23</f>
        <v>0</v>
      </c>
      <c r="M4" s="458">
        <f>'b) Template'!$I$24</f>
        <v>0</v>
      </c>
      <c r="N4" s="458">
        <f>'b) Template'!$I$25</f>
        <v>0</v>
      </c>
      <c r="O4" s="458">
        <f>'b) Template'!$I$26</f>
        <v>0</v>
      </c>
      <c r="P4" s="458">
        <f>'b) Template'!$I$27</f>
        <v>0</v>
      </c>
      <c r="Q4" s="458">
        <f>'b) Template'!$I$28</f>
        <v>0</v>
      </c>
      <c r="R4" s="458">
        <f>'b) Template'!$I$29</f>
        <v>0</v>
      </c>
      <c r="S4" s="458">
        <f>'b) Template'!$I$30</f>
        <v>0</v>
      </c>
      <c r="T4" s="458">
        <f>'b) Template'!$I$31</f>
        <v>0</v>
      </c>
      <c r="U4" s="458">
        <f>'b) Template'!$I$32</f>
        <v>0</v>
      </c>
      <c r="V4" s="458">
        <f>'b) Template'!$I$33</f>
        <v>0</v>
      </c>
      <c r="W4" s="458">
        <f>'b) Template'!$I$34</f>
        <v>0</v>
      </c>
      <c r="X4" s="458">
        <f>'b) Template'!$I$35</f>
        <v>0</v>
      </c>
      <c r="Y4" s="458">
        <f>'b) Template'!$I$40</f>
        <v>0</v>
      </c>
      <c r="Z4" s="458">
        <f>'b) Template'!$I$41</f>
        <v>0</v>
      </c>
      <c r="AA4" s="458">
        <f>'b) Template'!$I$42</f>
        <v>0</v>
      </c>
      <c r="AB4" s="458">
        <f>'b) Template'!$I$43</f>
        <v>0</v>
      </c>
      <c r="AC4" s="458">
        <f>'b) Template'!$I$44</f>
        <v>0</v>
      </c>
      <c r="AD4" s="458">
        <f>'b) Template'!$I$45</f>
        <v>0</v>
      </c>
      <c r="AE4" s="458">
        <f>'b) Template'!$I$46</f>
        <v>0</v>
      </c>
      <c r="AF4" s="458">
        <f>'b) Template'!$I$47</f>
        <v>0</v>
      </c>
      <c r="AG4" s="458">
        <f>'b) Template'!$I$48</f>
        <v>0</v>
      </c>
      <c r="AH4" s="458">
        <f>'b) Template'!$I$49</f>
        <v>0</v>
      </c>
      <c r="AI4" s="458">
        <f>'b) Template'!$I$50</f>
        <v>0</v>
      </c>
      <c r="AJ4" s="458">
        <f>'b) Template'!$I$51</f>
        <v>0</v>
      </c>
      <c r="AK4" s="458">
        <f>'b) Template'!$I$52</f>
        <v>0</v>
      </c>
      <c r="AL4" s="458">
        <f>'b) Template'!$I$53</f>
        <v>0</v>
      </c>
      <c r="AM4" s="458">
        <f>'b) Template'!$I$54</f>
        <v>0</v>
      </c>
      <c r="AN4" s="458">
        <f>'b) Template'!$I$55</f>
        <v>0</v>
      </c>
      <c r="AO4" s="458">
        <f>'b) Template'!$I$56</f>
        <v>0</v>
      </c>
      <c r="AP4" s="458">
        <f>'b) Template'!$I$57</f>
        <v>0</v>
      </c>
      <c r="AQ4" s="458">
        <f>'b) Template'!$I$58</f>
        <v>0</v>
      </c>
      <c r="AR4" s="458">
        <f>'b) Template'!$I$59</f>
        <v>0</v>
      </c>
      <c r="AS4" s="458">
        <f>'b) Template'!$I$60</f>
        <v>0</v>
      </c>
      <c r="AT4" s="458">
        <f>'b) Template'!$I$61</f>
        <v>0</v>
      </c>
      <c r="AU4" s="458">
        <f>'b) Template'!$I$62</f>
        <v>0</v>
      </c>
      <c r="AV4" s="458">
        <f>'b) Template'!$I$63</f>
        <v>0</v>
      </c>
      <c r="AW4" s="458">
        <f>'b) Template'!$I$64</f>
        <v>0</v>
      </c>
      <c r="AX4" s="458">
        <f>'b) Template'!$I$65</f>
        <v>0</v>
      </c>
      <c r="AY4" s="458">
        <f>'b) Template'!$I$66</f>
        <v>0</v>
      </c>
      <c r="AZ4" s="458">
        <f>'b) Template'!$I$67</f>
        <v>0</v>
      </c>
      <c r="BA4" s="458">
        <f>'b) Template'!$I$68</f>
        <v>0</v>
      </c>
      <c r="BB4" s="458">
        <f>'b) Template'!$I$69</f>
        <v>0</v>
      </c>
      <c r="BC4" s="458">
        <f>'b) Template'!$I$70</f>
        <v>0</v>
      </c>
      <c r="BD4" s="458">
        <f>'b) Template'!$I$71</f>
        <v>0</v>
      </c>
      <c r="BE4" s="458">
        <f>'b) Template'!$I$78</f>
        <v>0</v>
      </c>
      <c r="BF4" s="458">
        <f>'b) Template'!$I$79</f>
        <v>0</v>
      </c>
      <c r="BG4" s="458">
        <f>'b) Template'!$I$80</f>
        <v>0</v>
      </c>
      <c r="BH4" s="458">
        <f>'b) Template'!$I$88</f>
        <v>0</v>
      </c>
      <c r="BI4" s="458">
        <f>'b) Template'!$I$89</f>
        <v>0</v>
      </c>
      <c r="BJ4" s="458">
        <f>'b) Template'!$I$90</f>
        <v>0</v>
      </c>
      <c r="BK4" s="458">
        <f>'b) Template'!$I$93</f>
        <v>0</v>
      </c>
      <c r="BL4" s="458">
        <f>'b) Template'!$I$94</f>
        <v>0</v>
      </c>
      <c r="BM4" s="458">
        <f>'b) Template'!$I$95</f>
        <v>0</v>
      </c>
      <c r="BN4" s="458">
        <f>'b) Template'!$I$101</f>
        <v>0</v>
      </c>
      <c r="BO4" s="458">
        <f>'b) Template'!$I$102</f>
        <v>0</v>
      </c>
      <c r="BP4" s="458">
        <f>'b) Template'!$I$103</f>
        <v>0</v>
      </c>
      <c r="BQ4" s="458">
        <f>'b) Template'!$I$106</f>
        <v>0</v>
      </c>
      <c r="BR4" s="458">
        <f>'b) Template'!$I$107</f>
        <v>0</v>
      </c>
      <c r="BS4" s="458">
        <f>'b) Template'!$I$108</f>
        <v>0</v>
      </c>
      <c r="BT4" s="458">
        <f>'b) Template'!$I$109</f>
        <v>0</v>
      </c>
      <c r="BU4" s="458">
        <f>'b) Template'!$I$124</f>
        <v>0</v>
      </c>
      <c r="BV4" s="458">
        <f>'b) Template'!$I$125</f>
        <v>0</v>
      </c>
      <c r="BW4" s="458">
        <f>'b) Template'!$I$126</f>
        <v>0</v>
      </c>
      <c r="BX4" s="458">
        <f>'b) Template'!$I$127</f>
        <v>0</v>
      </c>
      <c r="BY4" s="458">
        <f>'b) Template'!$I$130</f>
        <v>0</v>
      </c>
      <c r="BZ4" s="458">
        <f>'b) Template'!$I$131</f>
        <v>0</v>
      </c>
      <c r="CA4" s="458">
        <f>'b) Template'!$I$132</f>
        <v>0</v>
      </c>
      <c r="CB4" s="458">
        <f>'b) Template'!$I$133</f>
        <v>0</v>
      </c>
      <c r="CC4" s="458">
        <f>'b) Template'!$I$134</f>
        <v>0</v>
      </c>
      <c r="CD4" s="458">
        <f>'b) Template'!$I$136</f>
        <v>0</v>
      </c>
      <c r="CE4" s="458">
        <f>'b) Template'!$I$137</f>
        <v>0</v>
      </c>
      <c r="CF4" s="458">
        <f>'b) Template'!$I$138</f>
        <v>0</v>
      </c>
      <c r="CG4" s="459"/>
      <c r="CH4" s="459"/>
      <c r="CI4" s="459"/>
      <c r="CJ4" s="459"/>
      <c r="CK4" s="460"/>
      <c r="CL4" s="460"/>
      <c r="CM4" s="459"/>
      <c r="CN4" s="459"/>
      <c r="CO4" s="459"/>
      <c r="CP4" s="460"/>
      <c r="CQ4" s="459"/>
      <c r="CR4" s="459"/>
      <c r="CS4" s="459"/>
      <c r="CT4" s="459"/>
      <c r="CU4" s="459"/>
      <c r="CV4" s="459"/>
      <c r="CW4" s="459"/>
      <c r="CX4" s="460"/>
      <c r="CY4" s="459"/>
      <c r="CZ4" s="459"/>
      <c r="DA4" s="460"/>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c r="FD4" s="459"/>
      <c r="FE4" s="459"/>
      <c r="FF4" s="459"/>
      <c r="FG4" s="459"/>
      <c r="FH4" s="459"/>
      <c r="FI4" s="459"/>
      <c r="FJ4" s="459"/>
      <c r="FK4" s="459"/>
      <c r="FL4" s="459"/>
      <c r="FM4" s="459"/>
      <c r="FN4" s="459"/>
      <c r="FO4" s="459"/>
      <c r="FP4" s="459"/>
      <c r="FQ4" s="459"/>
      <c r="FR4" s="459"/>
      <c r="FS4" s="459"/>
      <c r="FT4" s="459"/>
      <c r="FU4" s="459"/>
      <c r="FV4" s="459"/>
      <c r="FW4" s="459"/>
      <c r="FX4" s="459"/>
      <c r="FY4" s="459"/>
      <c r="FZ4" s="459"/>
      <c r="GA4" s="459"/>
      <c r="GB4" s="459"/>
      <c r="GC4" s="459"/>
      <c r="GD4" s="459"/>
      <c r="GE4" s="459"/>
      <c r="GF4" s="459"/>
      <c r="GG4" s="459"/>
      <c r="GH4" s="459"/>
      <c r="GI4" s="459"/>
      <c r="GJ4" s="459"/>
      <c r="GK4" s="459"/>
      <c r="GL4" s="459"/>
      <c r="GM4" s="459"/>
      <c r="GN4" s="459"/>
      <c r="GO4" s="459"/>
      <c r="GP4" s="459"/>
      <c r="GQ4" s="459"/>
      <c r="GR4" s="459"/>
      <c r="GS4" s="459"/>
      <c r="GT4" s="459"/>
      <c r="GU4" s="459"/>
      <c r="GV4" s="459"/>
      <c r="GW4" s="459"/>
      <c r="GX4" s="459"/>
      <c r="GY4" s="459"/>
      <c r="GZ4" s="459"/>
      <c r="HA4" s="459"/>
      <c r="HB4" s="459"/>
      <c r="HC4" s="459"/>
      <c r="HD4" s="459"/>
      <c r="HE4" s="459"/>
      <c r="HF4" s="459"/>
      <c r="HG4" s="459"/>
      <c r="HH4" s="459"/>
      <c r="HI4" s="459"/>
      <c r="HJ4" s="459"/>
      <c r="HK4" s="459"/>
      <c r="HL4" s="459"/>
      <c r="HM4" s="459"/>
      <c r="HN4" s="459"/>
      <c r="HO4" s="459"/>
      <c r="HP4" s="459"/>
      <c r="HQ4" s="459"/>
      <c r="HR4" s="459"/>
      <c r="HS4" s="459"/>
      <c r="HT4" s="459"/>
      <c r="HU4" s="459"/>
      <c r="HV4" s="459"/>
      <c r="HW4" s="461"/>
    </row>
    <row r="5" spans="1:231">
      <c r="A5" s="462">
        <f t="shared" si="0"/>
        <v>0</v>
      </c>
      <c r="B5" s="270" t="str">
        <f t="shared" si="0"/>
        <v>Please Click on Arrow to Choose School</v>
      </c>
      <c r="C5" s="456">
        <f>'b) Template'!$B$4</f>
        <v>0</v>
      </c>
      <c r="D5" s="457" t="str">
        <f>CONCATENATE('b) Template'!$I$3,A222)</f>
        <v>0GAB</v>
      </c>
      <c r="E5" s="458" t="e">
        <f>'b) Template'!$E$16</f>
        <v>#N/A</v>
      </c>
      <c r="F5" s="458" t="e">
        <f>'b) Template'!$E$17</f>
        <v>#N/A</v>
      </c>
      <c r="G5" s="458" t="e">
        <f>'b) Template'!$E$18</f>
        <v>#N/A</v>
      </c>
      <c r="H5" s="458" t="e">
        <f>'b) Template'!$E$19</f>
        <v>#N/A</v>
      </c>
      <c r="I5" s="458" t="e">
        <f>'b) Template'!$E$20</f>
        <v>#N/A</v>
      </c>
      <c r="J5" s="458" t="e">
        <f>'b) Template'!$E$21</f>
        <v>#N/A</v>
      </c>
      <c r="K5" s="458" t="e">
        <f>'b) Template'!$E$22</f>
        <v>#N/A</v>
      </c>
      <c r="L5" s="458" t="e">
        <f>'b) Template'!$E$23</f>
        <v>#N/A</v>
      </c>
      <c r="M5" s="458" t="e">
        <f>'b) Template'!$E$24</f>
        <v>#N/A</v>
      </c>
      <c r="N5" s="458" t="e">
        <f>'b) Template'!$E$25</f>
        <v>#N/A</v>
      </c>
      <c r="O5" s="458" t="e">
        <f>'b) Template'!$E$26</f>
        <v>#N/A</v>
      </c>
      <c r="P5" s="458" t="e">
        <f>'b) Template'!$E$27</f>
        <v>#N/A</v>
      </c>
      <c r="Q5" s="458" t="e">
        <f>'b) Template'!$E$28</f>
        <v>#N/A</v>
      </c>
      <c r="R5" s="458" t="e">
        <f>'b) Template'!$E$29</f>
        <v>#N/A</v>
      </c>
      <c r="S5" s="458" t="e">
        <f>'b) Template'!$E$30</f>
        <v>#N/A</v>
      </c>
      <c r="T5" s="458" t="e">
        <f>'b) Template'!$E$31</f>
        <v>#N/A</v>
      </c>
      <c r="U5" s="458" t="e">
        <f>'b) Template'!$E$32</f>
        <v>#N/A</v>
      </c>
      <c r="V5" s="458" t="e">
        <f>'b) Template'!$E$33</f>
        <v>#N/A</v>
      </c>
      <c r="W5" s="458" t="e">
        <f>'b) Template'!$E$34</f>
        <v>#N/A</v>
      </c>
      <c r="X5" s="458" t="e">
        <f>'b) Template'!$E$35</f>
        <v>#N/A</v>
      </c>
      <c r="Y5" s="458" t="e">
        <f>'b) Template'!$E$40</f>
        <v>#N/A</v>
      </c>
      <c r="Z5" s="458" t="e">
        <f>'b) Template'!$E$41</f>
        <v>#N/A</v>
      </c>
      <c r="AA5" s="458" t="e">
        <f>'b) Template'!$E$42</f>
        <v>#N/A</v>
      </c>
      <c r="AB5" s="458" t="e">
        <f>'b) Template'!$E$43</f>
        <v>#N/A</v>
      </c>
      <c r="AC5" s="458" t="e">
        <f>'b) Template'!$E$44</f>
        <v>#N/A</v>
      </c>
      <c r="AD5" s="458" t="e">
        <f>'b) Template'!$E$45</f>
        <v>#N/A</v>
      </c>
      <c r="AE5" s="458" t="e">
        <f>'b) Template'!$E$46</f>
        <v>#N/A</v>
      </c>
      <c r="AF5" s="458" t="e">
        <f>'b) Template'!$E$47</f>
        <v>#N/A</v>
      </c>
      <c r="AG5" s="458" t="e">
        <f>'b) Template'!$E$48</f>
        <v>#N/A</v>
      </c>
      <c r="AH5" s="458" t="e">
        <f>'b) Template'!$E$49</f>
        <v>#N/A</v>
      </c>
      <c r="AI5" s="458" t="e">
        <f>'b) Template'!$E$50</f>
        <v>#N/A</v>
      </c>
      <c r="AJ5" s="458" t="e">
        <f>'b) Template'!$E$51</f>
        <v>#N/A</v>
      </c>
      <c r="AK5" s="458" t="e">
        <f>'b) Template'!$E$52</f>
        <v>#N/A</v>
      </c>
      <c r="AL5" s="458" t="e">
        <f>'b) Template'!$E$53</f>
        <v>#N/A</v>
      </c>
      <c r="AM5" s="458" t="e">
        <f>'b) Template'!$E$54</f>
        <v>#N/A</v>
      </c>
      <c r="AN5" s="458" t="e">
        <f>'b) Template'!$E$55</f>
        <v>#N/A</v>
      </c>
      <c r="AO5" s="458" t="e">
        <f>'b) Template'!$E$56</f>
        <v>#N/A</v>
      </c>
      <c r="AP5" s="458" t="e">
        <f>'b) Template'!$E$57</f>
        <v>#N/A</v>
      </c>
      <c r="AQ5" s="458" t="e">
        <f>'b) Template'!$E$58</f>
        <v>#N/A</v>
      </c>
      <c r="AR5" s="458" t="e">
        <f>'b) Template'!$E$59</f>
        <v>#N/A</v>
      </c>
      <c r="AS5" s="458" t="e">
        <f>'b) Template'!$E$60</f>
        <v>#N/A</v>
      </c>
      <c r="AT5" s="458" t="e">
        <f>'b) Template'!$E$61</f>
        <v>#N/A</v>
      </c>
      <c r="AU5" s="458" t="e">
        <f>'b) Template'!$E$62</f>
        <v>#N/A</v>
      </c>
      <c r="AV5" s="458" t="e">
        <f>'b) Template'!$E$63</f>
        <v>#N/A</v>
      </c>
      <c r="AW5" s="458" t="e">
        <f>'b) Template'!$E$64</f>
        <v>#N/A</v>
      </c>
      <c r="AX5" s="458" t="e">
        <f>'b) Template'!$E$65</f>
        <v>#N/A</v>
      </c>
      <c r="AY5" s="458" t="e">
        <f>'b) Template'!$E$66</f>
        <v>#N/A</v>
      </c>
      <c r="AZ5" s="458" t="e">
        <f>'b) Template'!$E$67</f>
        <v>#N/A</v>
      </c>
      <c r="BA5" s="458" t="e">
        <f>'b) Template'!$E$68</f>
        <v>#N/A</v>
      </c>
      <c r="BB5" s="458" t="e">
        <f>'b) Template'!$E$69</f>
        <v>#N/A</v>
      </c>
      <c r="BC5" s="458" t="e">
        <f>'b) Template'!$E$70</f>
        <v>#N/A</v>
      </c>
      <c r="BD5" s="458" t="e">
        <f>'b) Template'!$E$71</f>
        <v>#N/A</v>
      </c>
      <c r="BE5" s="458" t="e">
        <f>'b) Template'!$E$78</f>
        <v>#N/A</v>
      </c>
      <c r="BF5" s="458" t="e">
        <f>'b) Template'!$E$79</f>
        <v>#N/A</v>
      </c>
      <c r="BG5" s="458" t="e">
        <f>'b) Template'!$E$80</f>
        <v>#N/A</v>
      </c>
      <c r="BH5" s="458" t="e">
        <f>'b) Template'!$E$88</f>
        <v>#N/A</v>
      </c>
      <c r="BI5" s="458" t="e">
        <f>'b) Template'!$E$89</f>
        <v>#N/A</v>
      </c>
      <c r="BJ5" s="458" t="e">
        <f>'b) Template'!$E$90</f>
        <v>#N/A</v>
      </c>
      <c r="BK5" s="458" t="e">
        <f>'b) Template'!$E$93</f>
        <v>#N/A</v>
      </c>
      <c r="BL5" s="458" t="e">
        <f>'b) Template'!$E$94</f>
        <v>#N/A</v>
      </c>
      <c r="BM5" s="458" t="e">
        <f>'b) Template'!$E$95</f>
        <v>#N/A</v>
      </c>
      <c r="BN5" s="458" t="e">
        <f>'b) Template'!$E$101</f>
        <v>#N/A</v>
      </c>
      <c r="BO5" s="458" t="e">
        <f>'b) Template'!$E$102</f>
        <v>#N/A</v>
      </c>
      <c r="BP5" s="458" t="e">
        <f>'b) Template'!$E$103</f>
        <v>#N/A</v>
      </c>
      <c r="BQ5" s="458" t="e">
        <f>'b) Template'!$E$106</f>
        <v>#N/A</v>
      </c>
      <c r="BR5" s="458" t="e">
        <f>'b) Template'!$E$107</f>
        <v>#N/A</v>
      </c>
      <c r="BS5" s="458" t="e">
        <f>'b) Template'!$E$108</f>
        <v>#N/A</v>
      </c>
      <c r="BT5" s="458" t="e">
        <f>'b) Template'!$E$109</f>
        <v>#N/A</v>
      </c>
      <c r="BU5" s="458" t="e">
        <f>'b) Template'!$E$124</f>
        <v>#N/A</v>
      </c>
      <c r="BV5" s="458" t="e">
        <f>'b) Template'!$E$125</f>
        <v>#N/A</v>
      </c>
      <c r="BW5" s="458" t="e">
        <f>'b) Template'!$E$126</f>
        <v>#N/A</v>
      </c>
      <c r="BX5" s="458" t="e">
        <f>'b) Template'!$E$127</f>
        <v>#N/A</v>
      </c>
      <c r="BY5" s="458" t="e">
        <f>'b) Template'!$E$130</f>
        <v>#N/A</v>
      </c>
      <c r="BZ5" s="458" t="e">
        <f>'b) Template'!$E$131</f>
        <v>#N/A</v>
      </c>
      <c r="CA5" s="458"/>
      <c r="CB5" s="458" t="e">
        <f>'b) Template'!$E$133</f>
        <v>#N/A</v>
      </c>
      <c r="CC5" s="458" t="e">
        <f>'b) Template'!$E$134</f>
        <v>#N/A</v>
      </c>
      <c r="CD5" s="458" t="e">
        <f>'b) Template'!$E$136</f>
        <v>#N/A</v>
      </c>
      <c r="CE5" s="458" t="e">
        <f>'b) Template'!$E$137</f>
        <v>#N/A</v>
      </c>
      <c r="CF5" s="458" t="e">
        <f>'b) Template'!$E$138</f>
        <v>#N/A</v>
      </c>
      <c r="CG5" s="459"/>
      <c r="CH5" s="459"/>
      <c r="CI5" s="459"/>
      <c r="CJ5" s="459"/>
      <c r="CK5" s="460"/>
      <c r="CL5" s="460"/>
      <c r="CM5" s="459"/>
      <c r="CN5" s="459"/>
      <c r="CO5" s="459"/>
      <c r="CP5" s="460"/>
      <c r="CQ5" s="459"/>
      <c r="CR5" s="459"/>
      <c r="CS5" s="459"/>
      <c r="CT5" s="459"/>
      <c r="CU5" s="459"/>
      <c r="CV5" s="459"/>
      <c r="CW5" s="459"/>
      <c r="CX5" s="460"/>
      <c r="CY5" s="459"/>
      <c r="CZ5" s="459"/>
      <c r="DA5" s="460"/>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61"/>
    </row>
    <row r="6" spans="1:231" ht="13.8" thickBot="1">
      <c r="A6" s="462">
        <f t="shared" si="0"/>
        <v>0</v>
      </c>
      <c r="B6" s="270" t="str">
        <f t="shared" si="0"/>
        <v>Please Click on Arrow to Choose School</v>
      </c>
      <c r="C6" s="463">
        <f>'b) Template'!$B$4</f>
        <v>0</v>
      </c>
      <c r="D6" s="464" t="str">
        <f>CONCATENATE('b) Template'!$I$3,A223)</f>
        <v>0REVISED</v>
      </c>
      <c r="E6" s="465">
        <f>'b) Template'!$G$16</f>
        <v>0</v>
      </c>
      <c r="F6" s="465">
        <f>'b) Template'!$G$17</f>
        <v>0</v>
      </c>
      <c r="G6" s="465">
        <f>'b) Template'!$G$18</f>
        <v>0</v>
      </c>
      <c r="H6" s="465">
        <f>'b) Template'!$G$19</f>
        <v>0</v>
      </c>
      <c r="I6" s="465">
        <f>'b) Template'!$G$20</f>
        <v>0</v>
      </c>
      <c r="J6" s="465">
        <f>'b) Template'!$G$21</f>
        <v>0</v>
      </c>
      <c r="K6" s="465">
        <f>'b) Template'!$G$22</f>
        <v>0</v>
      </c>
      <c r="L6" s="465">
        <f>'b) Template'!$G$23</f>
        <v>0</v>
      </c>
      <c r="M6" s="465">
        <f>'b) Template'!$G$24</f>
        <v>0</v>
      </c>
      <c r="N6" s="465">
        <f>'b) Template'!$G$25</f>
        <v>0</v>
      </c>
      <c r="O6" s="465">
        <f>'b) Template'!$G$26</f>
        <v>0</v>
      </c>
      <c r="P6" s="465">
        <f>'b) Template'!$G$27</f>
        <v>0</v>
      </c>
      <c r="Q6" s="465">
        <f>'b) Template'!$G$28</f>
        <v>0</v>
      </c>
      <c r="R6" s="465">
        <f>'b) Template'!$G$29</f>
        <v>0</v>
      </c>
      <c r="S6" s="465">
        <f>'b) Template'!$G$30</f>
        <v>0</v>
      </c>
      <c r="T6" s="465">
        <f>'b) Template'!$G$31</f>
        <v>0</v>
      </c>
      <c r="U6" s="465">
        <f>'b) Template'!$G$32</f>
        <v>0</v>
      </c>
      <c r="V6" s="465">
        <f>'b) Template'!$G$33</f>
        <v>0</v>
      </c>
      <c r="W6" s="465">
        <f>'b) Template'!$G$34</f>
        <v>0</v>
      </c>
      <c r="X6" s="465">
        <f>'b) Template'!$G$35</f>
        <v>0</v>
      </c>
      <c r="Y6" s="465">
        <f>'b) Template'!$G$40</f>
        <v>0</v>
      </c>
      <c r="Z6" s="465">
        <f>'b) Template'!$G$41</f>
        <v>0</v>
      </c>
      <c r="AA6" s="465">
        <f>'b) Template'!$G$42</f>
        <v>0</v>
      </c>
      <c r="AB6" s="465">
        <f>'b) Template'!$G$43</f>
        <v>0</v>
      </c>
      <c r="AC6" s="465">
        <f>'b) Template'!$G$44</f>
        <v>0</v>
      </c>
      <c r="AD6" s="465">
        <f>'b) Template'!$G$45</f>
        <v>0</v>
      </c>
      <c r="AE6" s="465">
        <f>'b) Template'!$G$46</f>
        <v>0</v>
      </c>
      <c r="AF6" s="465">
        <f>'b) Template'!$G$47</f>
        <v>0</v>
      </c>
      <c r="AG6" s="465">
        <f>'b) Template'!$G$48</f>
        <v>0</v>
      </c>
      <c r="AH6" s="465">
        <f>'b) Template'!$G$49</f>
        <v>0</v>
      </c>
      <c r="AI6" s="465">
        <f>'b) Template'!$G$50</f>
        <v>0</v>
      </c>
      <c r="AJ6" s="465">
        <f>'b) Template'!$G$51</f>
        <v>0</v>
      </c>
      <c r="AK6" s="465">
        <f>'b) Template'!$G$52</f>
        <v>0</v>
      </c>
      <c r="AL6" s="465">
        <f>'b) Template'!$G$53</f>
        <v>0</v>
      </c>
      <c r="AM6" s="465">
        <f>'b) Template'!$G$54</f>
        <v>0</v>
      </c>
      <c r="AN6" s="465">
        <f>'b) Template'!$G$55</f>
        <v>0</v>
      </c>
      <c r="AO6" s="465">
        <f>'b) Template'!$G$56</f>
        <v>0</v>
      </c>
      <c r="AP6" s="465">
        <f>'b) Template'!$G$57</f>
        <v>0</v>
      </c>
      <c r="AQ6" s="465">
        <f>'b) Template'!$G$58</f>
        <v>0</v>
      </c>
      <c r="AR6" s="465">
        <f>'b) Template'!$G$59</f>
        <v>0</v>
      </c>
      <c r="AS6" s="465">
        <f>'b) Template'!$G$60</f>
        <v>0</v>
      </c>
      <c r="AT6" s="465">
        <f>'b) Template'!$G$61</f>
        <v>0</v>
      </c>
      <c r="AU6" s="465">
        <f>'b) Template'!$G$62</f>
        <v>0</v>
      </c>
      <c r="AV6" s="465">
        <f>'b) Template'!$G$63</f>
        <v>0</v>
      </c>
      <c r="AW6" s="465">
        <f>'b) Template'!$G$64</f>
        <v>0</v>
      </c>
      <c r="AX6" s="465">
        <f>'b) Template'!$G$65</f>
        <v>0</v>
      </c>
      <c r="AY6" s="465">
        <f>'b) Template'!$G$66</f>
        <v>0</v>
      </c>
      <c r="AZ6" s="465">
        <f>'b) Template'!$G$67</f>
        <v>0</v>
      </c>
      <c r="BA6" s="465">
        <f>'b) Template'!$G$68</f>
        <v>0</v>
      </c>
      <c r="BB6" s="465">
        <f>'b) Template'!$G$69</f>
        <v>0</v>
      </c>
      <c r="BC6" s="465">
        <f>'b) Template'!$G$70</f>
        <v>0</v>
      </c>
      <c r="BD6" s="465">
        <f>'b) Template'!$G$71</f>
        <v>0</v>
      </c>
      <c r="BE6" s="465">
        <f>'b) Template'!$G$78</f>
        <v>0</v>
      </c>
      <c r="BF6" s="465" t="e">
        <f>'b) Template'!$G$79</f>
        <v>#N/A</v>
      </c>
      <c r="BG6" s="465" t="e">
        <f>'b) Template'!$G$80</f>
        <v>#N/A</v>
      </c>
      <c r="BH6" s="465">
        <f>'b) Template'!$G$88</f>
        <v>0</v>
      </c>
      <c r="BI6" s="465">
        <f>'b) Template'!$G$89</f>
        <v>0</v>
      </c>
      <c r="BJ6" s="465">
        <f>'b) Template'!$G$90</f>
        <v>0</v>
      </c>
      <c r="BK6" s="465">
        <f>'b) Template'!$G$93</f>
        <v>0</v>
      </c>
      <c r="BL6" s="465">
        <f>'b) Template'!$G$94</f>
        <v>0</v>
      </c>
      <c r="BM6" s="465">
        <f>'b) Template'!$G$95</f>
        <v>0</v>
      </c>
      <c r="BN6" s="465">
        <f>'b) Template'!$G$101</f>
        <v>0</v>
      </c>
      <c r="BO6" s="465" t="e">
        <f>'b) Template'!$G$102</f>
        <v>#N/A</v>
      </c>
      <c r="BP6" s="465" t="e">
        <f>'b) Template'!$G$103</f>
        <v>#N/A</v>
      </c>
      <c r="BQ6" s="465">
        <f>'b) Template'!$G$106</f>
        <v>0</v>
      </c>
      <c r="BR6" s="465" t="e">
        <f>'b) Template'!$G$107</f>
        <v>#N/A</v>
      </c>
      <c r="BS6" s="465" t="e">
        <f>'b) Template'!$G$108</f>
        <v>#N/A</v>
      </c>
      <c r="BT6" s="465" t="e">
        <f>'b) Template'!$G$109</f>
        <v>#N/A</v>
      </c>
      <c r="BU6" s="465">
        <f>'b) Template'!$G$124</f>
        <v>0</v>
      </c>
      <c r="BV6" s="465">
        <f>'b) Template'!$G$125</f>
        <v>0</v>
      </c>
      <c r="BW6" s="465">
        <f>'b) Template'!$G$126</f>
        <v>0</v>
      </c>
      <c r="BX6" s="465">
        <f>'b) Template'!$G$127</f>
        <v>0</v>
      </c>
      <c r="BY6" s="465">
        <f>'b) Template'!$G$130</f>
        <v>0</v>
      </c>
      <c r="BZ6" s="465">
        <f>'b) Template'!$G$131</f>
        <v>0</v>
      </c>
      <c r="CA6" s="465">
        <f>'b) Template'!$G$132</f>
        <v>0</v>
      </c>
      <c r="CB6" s="465">
        <f>'b) Template'!$G$133</f>
        <v>0</v>
      </c>
      <c r="CC6" s="465">
        <f>'b) Template'!$G$134</f>
        <v>0</v>
      </c>
      <c r="CD6" s="465">
        <f>'b) Template'!$G$136</f>
        <v>0</v>
      </c>
      <c r="CE6" s="465" t="e">
        <f>'b) Template'!$G$137</f>
        <v>#N/A</v>
      </c>
      <c r="CF6" s="465" t="e">
        <f>'b) Template'!$G$138</f>
        <v>#N/A</v>
      </c>
      <c r="CG6" s="466"/>
      <c r="CH6" s="466"/>
      <c r="CI6" s="466"/>
      <c r="CJ6" s="466"/>
      <c r="CK6" s="467"/>
      <c r="CL6" s="467"/>
      <c r="CM6" s="466"/>
      <c r="CN6" s="466"/>
      <c r="CO6" s="466"/>
      <c r="CP6" s="467"/>
      <c r="CQ6" s="466"/>
      <c r="CR6" s="466"/>
      <c r="CS6" s="466"/>
      <c r="CT6" s="466"/>
      <c r="CU6" s="466"/>
      <c r="CV6" s="466"/>
      <c r="CW6" s="466"/>
      <c r="CX6" s="467"/>
      <c r="CY6" s="466"/>
      <c r="CZ6" s="466"/>
      <c r="DA6" s="467"/>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8"/>
    </row>
    <row r="7" spans="1:231">
      <c r="EL7" s="406"/>
      <c r="EM7" s="406"/>
      <c r="EN7" s="406"/>
      <c r="EO7" s="406"/>
      <c r="EP7" s="406"/>
      <c r="EQ7" s="406"/>
      <c r="ER7" s="406"/>
    </row>
    <row r="8" spans="1:231">
      <c r="EL8" s="406"/>
      <c r="EM8" s="406"/>
      <c r="EN8" s="406"/>
      <c r="EO8" s="406"/>
      <c r="EP8" s="406"/>
      <c r="EQ8" s="406"/>
      <c r="ER8" s="406"/>
    </row>
    <row r="9" spans="1:231" hidden="1">
      <c r="A9" s="469" t="s">
        <v>960</v>
      </c>
      <c r="B9" s="470"/>
      <c r="C9" s="470"/>
      <c r="D9" s="470"/>
      <c r="E9" s="471"/>
      <c r="F9" s="471"/>
      <c r="G9" s="472"/>
    </row>
    <row r="10" spans="1:231" hidden="1">
      <c r="A10" s="473"/>
      <c r="B10" s="474"/>
      <c r="C10" s="475"/>
      <c r="D10" s="476">
        <f>'b) Template'!G11</f>
        <v>0</v>
      </c>
      <c r="E10" s="477"/>
      <c r="F10" s="478">
        <f>'b) Template'!I11</f>
        <v>0</v>
      </c>
      <c r="G10" s="479"/>
    </row>
    <row r="11" spans="1:231" hidden="1">
      <c r="A11" s="473"/>
      <c r="B11" s="475" t="s">
        <v>961</v>
      </c>
      <c r="C11" s="474"/>
      <c r="D11" s="474" t="e">
        <f>'"Alerts"'!#REF!</f>
        <v>#REF!</v>
      </c>
      <c r="E11" s="480"/>
      <c r="F11" s="480" t="e">
        <f>'"Alerts"'!#REF!</f>
        <v>#REF!</v>
      </c>
      <c r="G11" s="479"/>
    </row>
    <row r="12" spans="1:231" hidden="1">
      <c r="A12" s="473"/>
      <c r="B12" s="475" t="s">
        <v>962</v>
      </c>
      <c r="C12" s="474"/>
      <c r="D12" s="474" t="str">
        <f>IF('b) Template'!G78&gt;0,"CHECK","OK")</f>
        <v>OK</v>
      </c>
      <c r="E12" s="480"/>
      <c r="F12" s="480" t="str">
        <f>IF('b) Template'!I78&gt;0,"CHECK","OK")</f>
        <v>OK</v>
      </c>
      <c r="G12" s="479"/>
    </row>
    <row r="13" spans="1:231" hidden="1">
      <c r="A13" s="473"/>
      <c r="B13" s="475" t="s">
        <v>963</v>
      </c>
      <c r="C13" s="474"/>
      <c r="D13" s="474" t="str">
        <f>IF('b) Template'!G101&gt;0,"CHECK","OK")</f>
        <v>OK</v>
      </c>
      <c r="E13" s="480"/>
      <c r="F13" s="480" t="str">
        <f>IF('b) Template'!I101&gt;0,"CHECK","OK")</f>
        <v>OK</v>
      </c>
      <c r="G13" s="479"/>
    </row>
    <row r="14" spans="1:231" hidden="1">
      <c r="A14" s="473"/>
      <c r="B14" s="475" t="s">
        <v>964</v>
      </c>
      <c r="C14" s="474"/>
      <c r="D14" s="474" t="e">
        <f>IF('b) Template'!G109&gt;0,"CHECK","OK")</f>
        <v>#N/A</v>
      </c>
      <c r="E14" s="480"/>
      <c r="F14" s="480" t="str">
        <f>IF('b) Template'!I109&gt;0,"CHECK","OK")</f>
        <v>OK</v>
      </c>
      <c r="G14" s="479"/>
    </row>
    <row r="15" spans="1:231" hidden="1">
      <c r="A15" s="473"/>
      <c r="B15" s="475" t="s">
        <v>965</v>
      </c>
      <c r="C15" s="474"/>
      <c r="D15" s="474" t="e">
        <f>IF('b) Template'!G109&gt;SSCT!D21,"CHECK","OK")</f>
        <v>#N/A</v>
      </c>
      <c r="E15" s="480"/>
      <c r="F15" s="480" t="str">
        <f>IF('b) Template'!I109&gt;SSCT!F21,"CHECK","OK")</f>
        <v>OK</v>
      </c>
      <c r="G15" s="479"/>
    </row>
    <row r="16" spans="1:231" hidden="1">
      <c r="A16" s="473"/>
      <c r="B16" s="475" t="s">
        <v>966</v>
      </c>
      <c r="C16" s="474"/>
      <c r="D16" s="474" t="e">
        <f>IF('b) Template'!G109&lt;0,"CHECK","OK")</f>
        <v>#N/A</v>
      </c>
      <c r="E16" s="480"/>
      <c r="F16" s="480" t="str">
        <f>IF('b) Template'!I109&lt;0,"CHECK","OK")</f>
        <v>OK</v>
      </c>
      <c r="G16" s="479"/>
    </row>
    <row r="17" spans="1:7" hidden="1">
      <c r="A17" s="473"/>
      <c r="B17" s="475" t="s">
        <v>967</v>
      </c>
      <c r="C17" s="474"/>
      <c r="D17" s="474" t="e">
        <f>IF('b) Template'!G109&lt;(('b) Template'!G102+'b) Template'!G79)*0.5),"CHECK","OK")</f>
        <v>#N/A</v>
      </c>
      <c r="E17" s="480"/>
      <c r="F17" s="480" t="str">
        <f>IF('b) Template'!I109&lt;(('b) Template'!I102+'b) Template'!I79)*0.5),"CHECK","OK")</f>
        <v>OK</v>
      </c>
      <c r="G17" s="479"/>
    </row>
    <row r="18" spans="1:7" hidden="1">
      <c r="A18" s="473"/>
      <c r="B18" s="475"/>
      <c r="C18" s="474"/>
      <c r="D18" s="474"/>
      <c r="E18" s="480"/>
      <c r="F18" s="480"/>
      <c r="G18" s="479"/>
    </row>
    <row r="19" spans="1:7" hidden="1">
      <c r="A19" s="473"/>
      <c r="B19" s="475"/>
      <c r="C19" s="474"/>
      <c r="D19" s="474"/>
      <c r="E19" s="480"/>
      <c r="F19" s="480"/>
      <c r="G19" s="479"/>
    </row>
    <row r="20" spans="1:7" hidden="1">
      <c r="A20" s="473"/>
      <c r="B20" s="475" t="s">
        <v>968</v>
      </c>
      <c r="C20" s="481"/>
      <c r="D20" s="481">
        <f>'b) Template'!G16+'b) Template'!G17+'b) Template'!G18+'b) Template'!G19+'b) Template'!G20</f>
        <v>0</v>
      </c>
      <c r="E20" s="482"/>
      <c r="F20" s="482">
        <f>'b) Template'!I16+'b) Template'!I17+'b) Template'!I18+'b) Template'!I19+'b) Template'!I20</f>
        <v>0</v>
      </c>
      <c r="G20" s="479"/>
    </row>
    <row r="21" spans="1:7" hidden="1">
      <c r="A21" s="473"/>
      <c r="B21" s="475" t="s">
        <v>969</v>
      </c>
      <c r="C21" s="481"/>
      <c r="D21" s="481">
        <f>IF($C$3="SECONDARY",D20*0.05,D20*0.08)</f>
        <v>0</v>
      </c>
      <c r="E21" s="482"/>
      <c r="F21" s="482">
        <f>IF($C$3="SECONDARY",F20*0.05,F20*0.08)</f>
        <v>0</v>
      </c>
      <c r="G21" s="479"/>
    </row>
    <row r="22" spans="1:7" ht="13.8" hidden="1" thickBot="1">
      <c r="A22" s="483"/>
      <c r="B22" s="484"/>
      <c r="C22" s="484"/>
      <c r="D22" s="484"/>
      <c r="E22" s="485"/>
      <c r="F22" s="485"/>
      <c r="G22" s="486"/>
    </row>
    <row r="23" spans="1:7">
      <c r="A23" s="487" t="s">
        <v>970</v>
      </c>
    </row>
    <row r="25" spans="1:7">
      <c r="A25" s="488"/>
      <c r="B25" s="489"/>
    </row>
    <row r="26" spans="1:7" hidden="1">
      <c r="A26" s="489" t="s">
        <v>971</v>
      </c>
      <c r="B26" s="489" t="s">
        <v>881</v>
      </c>
      <c r="C26" s="489" t="s">
        <v>877</v>
      </c>
      <c r="D26" s="489" t="s">
        <v>880</v>
      </c>
    </row>
    <row r="27" spans="1:7" hidden="1">
      <c r="A27" s="490" t="s">
        <v>972</v>
      </c>
      <c r="B27" s="490" t="s">
        <v>973</v>
      </c>
      <c r="C27" s="490" t="s">
        <v>974</v>
      </c>
      <c r="D27" s="490">
        <v>1008</v>
      </c>
    </row>
    <row r="28" spans="1:7" hidden="1">
      <c r="A28" s="490" t="s">
        <v>975</v>
      </c>
      <c r="B28" s="490" t="s">
        <v>976</v>
      </c>
      <c r="C28" s="490" t="s">
        <v>974</v>
      </c>
      <c r="D28" s="490">
        <v>1012</v>
      </c>
    </row>
    <row r="29" spans="1:7" hidden="1">
      <c r="A29" s="490" t="s">
        <v>977</v>
      </c>
      <c r="B29" s="490" t="s">
        <v>978</v>
      </c>
      <c r="C29" s="490" t="s">
        <v>974</v>
      </c>
      <c r="D29" s="490">
        <v>1001</v>
      </c>
    </row>
    <row r="30" spans="1:7" hidden="1">
      <c r="A30" s="490" t="s">
        <v>979</v>
      </c>
      <c r="B30" s="490" t="s">
        <v>980</v>
      </c>
      <c r="C30" s="490" t="s">
        <v>974</v>
      </c>
      <c r="D30" s="490">
        <v>1002</v>
      </c>
    </row>
    <row r="31" spans="1:7" hidden="1">
      <c r="A31" s="490" t="s">
        <v>981</v>
      </c>
      <c r="B31" s="490" t="s">
        <v>982</v>
      </c>
      <c r="C31" s="490" t="s">
        <v>974</v>
      </c>
      <c r="D31" s="490">
        <v>1009</v>
      </c>
    </row>
    <row r="32" spans="1:7" hidden="1">
      <c r="A32" s="490" t="s">
        <v>983</v>
      </c>
      <c r="B32" s="490" t="s">
        <v>984</v>
      </c>
      <c r="C32" s="490" t="s">
        <v>974</v>
      </c>
      <c r="D32" s="490">
        <v>1010</v>
      </c>
    </row>
    <row r="33" spans="1:4" hidden="1">
      <c r="A33" s="490" t="s">
        <v>985</v>
      </c>
      <c r="B33" s="490" t="s">
        <v>986</v>
      </c>
      <c r="C33" s="490" t="s">
        <v>974</v>
      </c>
      <c r="D33" s="490">
        <v>1000</v>
      </c>
    </row>
    <row r="34" spans="1:4" hidden="1">
      <c r="A34" s="490" t="s">
        <v>987</v>
      </c>
      <c r="B34" s="490" t="s">
        <v>988</v>
      </c>
      <c r="C34" s="490" t="s">
        <v>989</v>
      </c>
      <c r="D34" s="490">
        <v>2173</v>
      </c>
    </row>
    <row r="35" spans="1:4" hidden="1">
      <c r="A35" s="490" t="s">
        <v>990</v>
      </c>
      <c r="B35" s="490" t="s">
        <v>991</v>
      </c>
      <c r="C35" s="490" t="s">
        <v>989</v>
      </c>
      <c r="D35" s="490">
        <v>2146</v>
      </c>
    </row>
    <row r="36" spans="1:4" hidden="1">
      <c r="A36" s="490" t="s">
        <v>992</v>
      </c>
      <c r="B36" s="490" t="s">
        <v>993</v>
      </c>
      <c r="C36" s="490" t="s">
        <v>989</v>
      </c>
      <c r="D36" s="490">
        <v>3000</v>
      </c>
    </row>
    <row r="37" spans="1:4" hidden="1">
      <c r="A37" s="490" t="s">
        <v>994</v>
      </c>
      <c r="B37" s="490" t="s">
        <v>995</v>
      </c>
      <c r="C37" s="490" t="s">
        <v>989</v>
      </c>
      <c r="D37" s="490">
        <v>3026</v>
      </c>
    </row>
    <row r="38" spans="1:4" hidden="1">
      <c r="A38" s="490" t="s">
        <v>996</v>
      </c>
      <c r="B38" s="490" t="s">
        <v>997</v>
      </c>
      <c r="C38" s="490" t="s">
        <v>989</v>
      </c>
      <c r="D38" s="490">
        <v>2001</v>
      </c>
    </row>
    <row r="39" spans="1:4" hidden="1">
      <c r="A39" s="490" t="s">
        <v>998</v>
      </c>
      <c r="B39" s="490" t="s">
        <v>999</v>
      </c>
      <c r="C39" s="490" t="s">
        <v>989</v>
      </c>
      <c r="D39" s="490">
        <v>2150</v>
      </c>
    </row>
    <row r="40" spans="1:4" hidden="1">
      <c r="A40" s="490" t="s">
        <v>1000</v>
      </c>
      <c r="B40" s="490" t="s">
        <v>1001</v>
      </c>
      <c r="C40" s="490" t="s">
        <v>989</v>
      </c>
      <c r="D40" s="490">
        <v>2184</v>
      </c>
    </row>
    <row r="41" spans="1:4" hidden="1">
      <c r="A41" s="490" t="s">
        <v>1002</v>
      </c>
      <c r="B41" s="490" t="s">
        <v>1003</v>
      </c>
      <c r="C41" s="490" t="s">
        <v>989</v>
      </c>
      <c r="D41" s="490">
        <v>3360</v>
      </c>
    </row>
    <row r="42" spans="1:4" hidden="1">
      <c r="A42" s="490" t="s">
        <v>1004</v>
      </c>
      <c r="B42" s="490" t="s">
        <v>1005</v>
      </c>
      <c r="C42" s="490" t="s">
        <v>989</v>
      </c>
      <c r="D42" s="490">
        <v>2102</v>
      </c>
    </row>
    <row r="43" spans="1:4" hidden="1">
      <c r="A43" s="490" t="s">
        <v>1006</v>
      </c>
      <c r="B43" s="490" t="s">
        <v>1007</v>
      </c>
      <c r="C43" s="490" t="s">
        <v>989</v>
      </c>
      <c r="D43" s="490">
        <v>2020</v>
      </c>
    </row>
    <row r="44" spans="1:4" hidden="1">
      <c r="A44" s="490" t="s">
        <v>1008</v>
      </c>
      <c r="B44" s="490" t="s">
        <v>1009</v>
      </c>
      <c r="C44" s="490" t="s">
        <v>989</v>
      </c>
      <c r="D44" s="490">
        <v>2166</v>
      </c>
    </row>
    <row r="45" spans="1:4" hidden="1">
      <c r="A45" s="490" t="s">
        <v>1010</v>
      </c>
      <c r="B45" s="490" t="s">
        <v>1011</v>
      </c>
      <c r="C45" s="490" t="s">
        <v>989</v>
      </c>
      <c r="D45" s="490">
        <v>2062</v>
      </c>
    </row>
    <row r="46" spans="1:4" hidden="1">
      <c r="A46" s="490" t="s">
        <v>1012</v>
      </c>
      <c r="B46" s="490" t="s">
        <v>1013</v>
      </c>
      <c r="C46" s="490" t="s">
        <v>989</v>
      </c>
      <c r="D46" s="490">
        <v>2075</v>
      </c>
    </row>
    <row r="47" spans="1:4" hidden="1">
      <c r="A47" s="490" t="s">
        <v>1014</v>
      </c>
      <c r="B47" s="490" t="s">
        <v>1015</v>
      </c>
      <c r="C47" s="490" t="s">
        <v>989</v>
      </c>
      <c r="D47" s="490">
        <v>2107</v>
      </c>
    </row>
    <row r="48" spans="1:4" hidden="1">
      <c r="A48" s="490" t="s">
        <v>1016</v>
      </c>
      <c r="B48" s="490" t="s">
        <v>1017</v>
      </c>
      <c r="C48" s="490" t="s">
        <v>989</v>
      </c>
      <c r="D48" s="490">
        <v>2009</v>
      </c>
    </row>
    <row r="49" spans="1:4" hidden="1">
      <c r="A49" s="490" t="s">
        <v>1018</v>
      </c>
      <c r="B49" s="490" t="s">
        <v>1019</v>
      </c>
      <c r="C49" s="490" t="s">
        <v>989</v>
      </c>
      <c r="D49" s="490">
        <v>3031</v>
      </c>
    </row>
    <row r="50" spans="1:4" hidden="1">
      <c r="A50" s="490" t="s">
        <v>1020</v>
      </c>
      <c r="B50" s="490" t="s">
        <v>1021</v>
      </c>
      <c r="C50" s="490" t="s">
        <v>989</v>
      </c>
      <c r="D50" s="490">
        <v>2203</v>
      </c>
    </row>
    <row r="51" spans="1:4" hidden="1">
      <c r="A51" s="490" t="s">
        <v>1022</v>
      </c>
      <c r="B51" s="490" t="s">
        <v>1023</v>
      </c>
      <c r="C51" s="490" t="s">
        <v>989</v>
      </c>
      <c r="D51" s="490">
        <v>2036</v>
      </c>
    </row>
    <row r="52" spans="1:4" hidden="1">
      <c r="A52" s="490" t="s">
        <v>1024</v>
      </c>
      <c r="B52" s="490" t="s">
        <v>1025</v>
      </c>
      <c r="C52" s="490" t="s">
        <v>989</v>
      </c>
      <c r="D52" s="490">
        <v>2087</v>
      </c>
    </row>
    <row r="53" spans="1:4" hidden="1">
      <c r="A53" s="490" t="s">
        <v>1026</v>
      </c>
      <c r="B53" s="490" t="s">
        <v>1027</v>
      </c>
      <c r="C53" s="490" t="s">
        <v>989</v>
      </c>
      <c r="D53" s="490">
        <v>2094</v>
      </c>
    </row>
    <row r="54" spans="1:4" hidden="1">
      <c r="A54" s="490" t="s">
        <v>1028</v>
      </c>
      <c r="B54" s="490" t="s">
        <v>1029</v>
      </c>
      <c r="C54" s="490" t="s">
        <v>989</v>
      </c>
      <c r="D54" s="490">
        <v>3024</v>
      </c>
    </row>
    <row r="55" spans="1:4" hidden="1">
      <c r="A55" s="490" t="s">
        <v>1030</v>
      </c>
      <c r="B55" s="490" t="s">
        <v>1031</v>
      </c>
      <c r="C55" s="490" t="s">
        <v>989</v>
      </c>
      <c r="D55" s="490">
        <v>2015</v>
      </c>
    </row>
    <row r="56" spans="1:4" hidden="1">
      <c r="A56" s="490" t="s">
        <v>1032</v>
      </c>
      <c r="B56" s="490" t="s">
        <v>1033</v>
      </c>
      <c r="C56" s="490" t="s">
        <v>989</v>
      </c>
      <c r="D56" s="490">
        <v>2186</v>
      </c>
    </row>
    <row r="57" spans="1:4" hidden="1">
      <c r="A57" s="490" t="s">
        <v>1034</v>
      </c>
      <c r="B57" s="490" t="s">
        <v>1035</v>
      </c>
      <c r="C57" s="490" t="s">
        <v>989</v>
      </c>
      <c r="D57" s="490">
        <v>2110</v>
      </c>
    </row>
    <row r="58" spans="1:4" hidden="1">
      <c r="A58" s="490" t="s">
        <v>1036</v>
      </c>
      <c r="B58" s="490" t="s">
        <v>1037</v>
      </c>
      <c r="C58" s="490" t="s">
        <v>989</v>
      </c>
      <c r="D58" s="490">
        <v>2111</v>
      </c>
    </row>
    <row r="59" spans="1:4" hidden="1">
      <c r="A59" s="490" t="s">
        <v>1038</v>
      </c>
      <c r="B59" s="490" t="s">
        <v>1039</v>
      </c>
      <c r="C59" s="490" t="s">
        <v>989</v>
      </c>
      <c r="D59" s="490">
        <v>2024</v>
      </c>
    </row>
    <row r="60" spans="1:4" hidden="1">
      <c r="A60" s="490" t="s">
        <v>1040</v>
      </c>
      <c r="B60" s="490" t="s">
        <v>1041</v>
      </c>
      <c r="C60" s="490" t="s">
        <v>989</v>
      </c>
      <c r="D60" s="490">
        <v>2112</v>
      </c>
    </row>
    <row r="61" spans="1:4" hidden="1">
      <c r="A61" s="490" t="s">
        <v>1042</v>
      </c>
      <c r="B61" s="490" t="s">
        <v>1043</v>
      </c>
      <c r="C61" s="490" t="s">
        <v>989</v>
      </c>
      <c r="D61" s="490">
        <v>2167</v>
      </c>
    </row>
    <row r="62" spans="1:4" hidden="1">
      <c r="A62" s="490" t="s">
        <v>1044</v>
      </c>
      <c r="B62" s="490" t="s">
        <v>1045</v>
      </c>
      <c r="C62" s="490" t="s">
        <v>989</v>
      </c>
      <c r="D62" s="490">
        <v>3028</v>
      </c>
    </row>
    <row r="63" spans="1:4" hidden="1">
      <c r="A63" s="490" t="s">
        <v>1046</v>
      </c>
      <c r="B63" s="490" t="s">
        <v>1047</v>
      </c>
      <c r="C63" s="490" t="s">
        <v>989</v>
      </c>
      <c r="D63" s="490">
        <v>2147</v>
      </c>
    </row>
    <row r="64" spans="1:4" hidden="1">
      <c r="A64" s="490" t="s">
        <v>1048</v>
      </c>
      <c r="B64" s="490" t="s">
        <v>1049</v>
      </c>
      <c r="C64" s="490" t="s">
        <v>989</v>
      </c>
      <c r="D64" s="490">
        <v>2120</v>
      </c>
    </row>
    <row r="65" spans="1:4" hidden="1">
      <c r="A65" s="490" t="s">
        <v>1050</v>
      </c>
      <c r="B65" s="490" t="s">
        <v>1051</v>
      </c>
      <c r="C65" s="490" t="s">
        <v>989</v>
      </c>
      <c r="D65" s="490">
        <v>2113</v>
      </c>
    </row>
    <row r="66" spans="1:4" hidden="1">
      <c r="A66" s="490" t="s">
        <v>1052</v>
      </c>
      <c r="B66" s="490" t="s">
        <v>1053</v>
      </c>
      <c r="C66" s="490" t="s">
        <v>989</v>
      </c>
      <c r="D66" s="490">
        <v>2103</v>
      </c>
    </row>
    <row r="67" spans="1:4" hidden="1">
      <c r="A67" s="490" t="s">
        <v>1054</v>
      </c>
      <c r="B67" s="490" t="s">
        <v>1055</v>
      </c>
      <c r="C67" s="490" t="s">
        <v>989</v>
      </c>
      <c r="D67" s="490">
        <v>2084</v>
      </c>
    </row>
    <row r="68" spans="1:4" hidden="1">
      <c r="A68" s="490" t="s">
        <v>1056</v>
      </c>
      <c r="B68" s="490" t="s">
        <v>1057</v>
      </c>
      <c r="C68" s="490" t="s">
        <v>989</v>
      </c>
      <c r="D68" s="490">
        <v>2183</v>
      </c>
    </row>
    <row r="69" spans="1:4" hidden="1">
      <c r="A69" s="490" t="s">
        <v>1058</v>
      </c>
      <c r="B69" s="490" t="s">
        <v>1059</v>
      </c>
      <c r="C69" s="490" t="s">
        <v>989</v>
      </c>
      <c r="D69" s="490">
        <v>2065</v>
      </c>
    </row>
    <row r="70" spans="1:4" hidden="1">
      <c r="A70" s="490" t="s">
        <v>1060</v>
      </c>
      <c r="B70" s="490" t="s">
        <v>1061</v>
      </c>
      <c r="C70" s="490" t="s">
        <v>989</v>
      </c>
      <c r="D70" s="490">
        <v>5201</v>
      </c>
    </row>
    <row r="71" spans="1:4" hidden="1">
      <c r="A71" s="490" t="s">
        <v>1062</v>
      </c>
      <c r="B71" s="490" t="s">
        <v>1063</v>
      </c>
      <c r="C71" s="490" t="s">
        <v>989</v>
      </c>
      <c r="D71" s="490">
        <v>2027</v>
      </c>
    </row>
    <row r="72" spans="1:4" hidden="1">
      <c r="A72" s="490" t="s">
        <v>1064</v>
      </c>
      <c r="B72" s="490" t="s">
        <v>1065</v>
      </c>
      <c r="C72" s="490" t="s">
        <v>989</v>
      </c>
      <c r="D72" s="490">
        <v>2182</v>
      </c>
    </row>
    <row r="73" spans="1:4" hidden="1">
      <c r="A73" s="490" t="s">
        <v>1066</v>
      </c>
      <c r="B73" s="490" t="s">
        <v>1067</v>
      </c>
      <c r="C73" s="490" t="s">
        <v>989</v>
      </c>
      <c r="D73" s="490">
        <v>2157</v>
      </c>
    </row>
    <row r="74" spans="1:4" hidden="1">
      <c r="A74" s="490" t="s">
        <v>1068</v>
      </c>
      <c r="B74" s="490" t="s">
        <v>1069</v>
      </c>
      <c r="C74" s="490" t="s">
        <v>989</v>
      </c>
      <c r="D74" s="490">
        <v>2034</v>
      </c>
    </row>
    <row r="75" spans="1:4" hidden="1">
      <c r="A75" s="490" t="s">
        <v>1070</v>
      </c>
      <c r="B75" s="490" t="s">
        <v>1071</v>
      </c>
      <c r="C75" s="490" t="s">
        <v>989</v>
      </c>
      <c r="D75" s="490">
        <v>2033</v>
      </c>
    </row>
    <row r="76" spans="1:4" hidden="1">
      <c r="A76" s="490" t="s">
        <v>1072</v>
      </c>
      <c r="B76" s="490" t="s">
        <v>1073</v>
      </c>
      <c r="C76" s="490" t="s">
        <v>989</v>
      </c>
      <c r="D76" s="490">
        <v>2093</v>
      </c>
    </row>
    <row r="77" spans="1:4" hidden="1">
      <c r="A77" s="490" t="s">
        <v>1074</v>
      </c>
      <c r="B77" s="490" t="s">
        <v>1075</v>
      </c>
      <c r="C77" s="490" t="s">
        <v>989</v>
      </c>
      <c r="D77" s="490">
        <v>2114</v>
      </c>
    </row>
    <row r="78" spans="1:4" hidden="1">
      <c r="A78" s="490" t="s">
        <v>1076</v>
      </c>
      <c r="B78" s="490" t="s">
        <v>1077</v>
      </c>
      <c r="C78" s="490" t="s">
        <v>989</v>
      </c>
      <c r="D78" s="490">
        <v>2121</v>
      </c>
    </row>
    <row r="79" spans="1:4" hidden="1">
      <c r="A79" s="490" t="s">
        <v>1078</v>
      </c>
      <c r="B79" s="490" t="s">
        <v>1079</v>
      </c>
      <c r="C79" s="490" t="s">
        <v>989</v>
      </c>
      <c r="D79" s="490">
        <v>2038</v>
      </c>
    </row>
    <row r="80" spans="1:4" hidden="1">
      <c r="A80" s="490" t="s">
        <v>1080</v>
      </c>
      <c r="B80" s="490" t="s">
        <v>1081</v>
      </c>
      <c r="C80" s="490" t="s">
        <v>989</v>
      </c>
      <c r="D80" s="490">
        <v>3308</v>
      </c>
    </row>
    <row r="81" spans="1:4" hidden="1">
      <c r="A81" s="490" t="s">
        <v>1082</v>
      </c>
      <c r="B81" s="490" t="s">
        <v>1083</v>
      </c>
      <c r="C81" s="490" t="s">
        <v>989</v>
      </c>
      <c r="D81" s="490">
        <v>2142</v>
      </c>
    </row>
    <row r="82" spans="1:4" hidden="1">
      <c r="A82" s="490" t="s">
        <v>1084</v>
      </c>
      <c r="B82" s="490" t="s">
        <v>1085</v>
      </c>
      <c r="C82" s="490" t="s">
        <v>989</v>
      </c>
      <c r="D82" s="490">
        <v>5203</v>
      </c>
    </row>
    <row r="83" spans="1:4" hidden="1">
      <c r="A83" s="490" t="s">
        <v>1086</v>
      </c>
      <c r="B83" s="490" t="s">
        <v>1087</v>
      </c>
      <c r="C83" s="490" t="s">
        <v>989</v>
      </c>
      <c r="D83" s="490">
        <v>5204</v>
      </c>
    </row>
    <row r="84" spans="1:4" hidden="1">
      <c r="A84" s="490" t="s">
        <v>1088</v>
      </c>
      <c r="B84" s="490" t="s">
        <v>1089</v>
      </c>
      <c r="C84" s="490" t="s">
        <v>989</v>
      </c>
      <c r="D84" s="490">
        <v>2196</v>
      </c>
    </row>
    <row r="85" spans="1:4" hidden="1">
      <c r="A85" s="490" t="s">
        <v>1090</v>
      </c>
      <c r="B85" s="490" t="s">
        <v>1091</v>
      </c>
      <c r="C85" s="490" t="s">
        <v>989</v>
      </c>
      <c r="D85" s="490">
        <v>2123</v>
      </c>
    </row>
    <row r="86" spans="1:4" hidden="1">
      <c r="A86" s="490" t="s">
        <v>1092</v>
      </c>
      <c r="B86" s="490" t="s">
        <v>1093</v>
      </c>
      <c r="C86" s="490" t="s">
        <v>989</v>
      </c>
      <c r="D86" s="490">
        <v>3379</v>
      </c>
    </row>
    <row r="87" spans="1:4" hidden="1">
      <c r="A87" s="490" t="s">
        <v>1094</v>
      </c>
      <c r="B87" s="490" t="s">
        <v>1095</v>
      </c>
      <c r="C87" s="490" t="s">
        <v>989</v>
      </c>
      <c r="D87" s="490">
        <v>2029</v>
      </c>
    </row>
    <row r="88" spans="1:4" hidden="1">
      <c r="A88" s="490" t="s">
        <v>1096</v>
      </c>
      <c r="B88" s="490" t="s">
        <v>1097</v>
      </c>
      <c r="C88" s="490" t="s">
        <v>989</v>
      </c>
      <c r="D88" s="490">
        <v>2180</v>
      </c>
    </row>
    <row r="89" spans="1:4" hidden="1">
      <c r="A89" s="490" t="s">
        <v>1098</v>
      </c>
      <c r="B89" s="490" t="s">
        <v>1099</v>
      </c>
      <c r="C89" s="490" t="s">
        <v>989</v>
      </c>
      <c r="D89" s="490">
        <v>2169</v>
      </c>
    </row>
    <row r="90" spans="1:4" hidden="1">
      <c r="A90" s="490" t="s">
        <v>1100</v>
      </c>
      <c r="B90" s="490" t="s">
        <v>1101</v>
      </c>
      <c r="C90" s="490" t="s">
        <v>989</v>
      </c>
      <c r="D90" s="490">
        <v>2168</v>
      </c>
    </row>
    <row r="91" spans="1:4" hidden="1">
      <c r="A91" s="490" t="s">
        <v>1102</v>
      </c>
      <c r="B91" s="490" t="s">
        <v>1103</v>
      </c>
      <c r="C91" s="490" t="s">
        <v>989</v>
      </c>
      <c r="D91" s="490">
        <v>3304</v>
      </c>
    </row>
    <row r="92" spans="1:4" hidden="1">
      <c r="A92" s="490" t="s">
        <v>1104</v>
      </c>
      <c r="B92" s="490" t="s">
        <v>1105</v>
      </c>
      <c r="C92" s="490" t="s">
        <v>989</v>
      </c>
      <c r="D92" s="490">
        <v>2124</v>
      </c>
    </row>
    <row r="93" spans="1:4" hidden="1">
      <c r="A93" s="490" t="s">
        <v>1106</v>
      </c>
      <c r="B93" s="490" t="s">
        <v>1107</v>
      </c>
      <c r="C93" s="490" t="s">
        <v>989</v>
      </c>
      <c r="D93" s="490">
        <v>2195</v>
      </c>
    </row>
    <row r="94" spans="1:4" hidden="1">
      <c r="A94" s="490" t="s">
        <v>1108</v>
      </c>
      <c r="B94" s="490" t="s">
        <v>1109</v>
      </c>
      <c r="C94" s="490" t="s">
        <v>989</v>
      </c>
      <c r="D94" s="490">
        <v>5207</v>
      </c>
    </row>
    <row r="95" spans="1:4" hidden="1">
      <c r="A95" s="490" t="s">
        <v>1110</v>
      </c>
      <c r="B95" s="490" t="s">
        <v>1111</v>
      </c>
      <c r="C95" s="490" t="s">
        <v>989</v>
      </c>
      <c r="D95" s="490">
        <v>3363</v>
      </c>
    </row>
    <row r="96" spans="1:4" hidden="1">
      <c r="A96" s="490" t="s">
        <v>1112</v>
      </c>
      <c r="B96" s="490" t="s">
        <v>1113</v>
      </c>
      <c r="C96" s="490" t="s">
        <v>989</v>
      </c>
      <c r="D96" s="490">
        <v>5200</v>
      </c>
    </row>
    <row r="97" spans="1:4" hidden="1">
      <c r="A97" s="490" t="s">
        <v>1114</v>
      </c>
      <c r="B97" s="490" t="s">
        <v>1115</v>
      </c>
      <c r="C97" s="490" t="s">
        <v>989</v>
      </c>
      <c r="D97" s="490">
        <v>2198</v>
      </c>
    </row>
    <row r="98" spans="1:4" hidden="1">
      <c r="A98" s="490" t="s">
        <v>1116</v>
      </c>
      <c r="B98" s="490" t="s">
        <v>1117</v>
      </c>
      <c r="C98" s="490" t="s">
        <v>989</v>
      </c>
      <c r="D98" s="490">
        <v>2041</v>
      </c>
    </row>
    <row r="99" spans="1:4" hidden="1">
      <c r="A99" s="490" t="s">
        <v>1118</v>
      </c>
      <c r="B99" s="490" t="s">
        <v>1119</v>
      </c>
      <c r="C99" s="490" t="s">
        <v>989</v>
      </c>
      <c r="D99" s="490">
        <v>2126</v>
      </c>
    </row>
    <row r="100" spans="1:4" hidden="1">
      <c r="A100" s="490" t="s">
        <v>1120</v>
      </c>
      <c r="B100" s="490" t="s">
        <v>1121</v>
      </c>
      <c r="C100" s="490" t="s">
        <v>989</v>
      </c>
      <c r="D100" s="490">
        <v>2127</v>
      </c>
    </row>
    <row r="101" spans="1:4" hidden="1">
      <c r="A101" s="490" t="s">
        <v>1122</v>
      </c>
      <c r="B101" s="490" t="s">
        <v>1123</v>
      </c>
      <c r="C101" s="490" t="s">
        <v>989</v>
      </c>
      <c r="D101" s="490">
        <v>2090</v>
      </c>
    </row>
    <row r="102" spans="1:4" hidden="1">
      <c r="A102" s="490" t="s">
        <v>1124</v>
      </c>
      <c r="B102" s="490" t="s">
        <v>1125</v>
      </c>
      <c r="C102" s="490" t="s">
        <v>989</v>
      </c>
      <c r="D102" s="490">
        <v>2043</v>
      </c>
    </row>
    <row r="103" spans="1:4" hidden="1">
      <c r="A103" s="490" t="s">
        <v>1126</v>
      </c>
      <c r="B103" s="490" t="s">
        <v>1127</v>
      </c>
      <c r="C103" s="490" t="s">
        <v>989</v>
      </c>
      <c r="D103" s="490">
        <v>2044</v>
      </c>
    </row>
    <row r="104" spans="1:4" hidden="1">
      <c r="A104" s="490" t="s">
        <v>1128</v>
      </c>
      <c r="B104" s="490" t="s">
        <v>1129</v>
      </c>
      <c r="C104" s="490" t="s">
        <v>989</v>
      </c>
      <c r="D104" s="490">
        <v>2002</v>
      </c>
    </row>
    <row r="105" spans="1:4" hidden="1">
      <c r="A105" s="490" t="s">
        <v>1130</v>
      </c>
      <c r="B105" s="490" t="s">
        <v>1131</v>
      </c>
      <c r="C105" s="490" t="s">
        <v>989</v>
      </c>
      <c r="D105" s="490">
        <v>2128</v>
      </c>
    </row>
    <row r="106" spans="1:4" hidden="1">
      <c r="A106" s="490" t="s">
        <v>1132</v>
      </c>
      <c r="B106" s="490" t="s">
        <v>1133</v>
      </c>
      <c r="C106" s="490" t="s">
        <v>989</v>
      </c>
      <c r="D106" s="490">
        <v>2145</v>
      </c>
    </row>
    <row r="107" spans="1:4" hidden="1">
      <c r="A107" s="490" t="s">
        <v>1134</v>
      </c>
      <c r="B107" s="490" t="s">
        <v>1135</v>
      </c>
      <c r="C107" s="490" t="s">
        <v>989</v>
      </c>
      <c r="D107" s="490">
        <v>3023</v>
      </c>
    </row>
    <row r="108" spans="1:4" hidden="1">
      <c r="A108" s="490" t="s">
        <v>1136</v>
      </c>
      <c r="B108" s="490" t="s">
        <v>1137</v>
      </c>
      <c r="C108" s="490" t="s">
        <v>989</v>
      </c>
      <c r="D108" s="490">
        <v>2199</v>
      </c>
    </row>
    <row r="109" spans="1:4" hidden="1">
      <c r="A109" s="490" t="s">
        <v>1138</v>
      </c>
      <c r="B109" s="490" t="s">
        <v>1139</v>
      </c>
      <c r="C109" s="490" t="s">
        <v>989</v>
      </c>
      <c r="D109" s="490">
        <v>2179</v>
      </c>
    </row>
    <row r="110" spans="1:4" hidden="1">
      <c r="A110" s="490" t="s">
        <v>1140</v>
      </c>
      <c r="B110" s="490" t="s">
        <v>1141</v>
      </c>
      <c r="C110" s="490" t="s">
        <v>989</v>
      </c>
      <c r="D110" s="490">
        <v>2048</v>
      </c>
    </row>
    <row r="111" spans="1:4" hidden="1">
      <c r="A111" s="490" t="s">
        <v>1142</v>
      </c>
      <c r="B111" s="490" t="s">
        <v>1143</v>
      </c>
      <c r="C111" s="490" t="s">
        <v>989</v>
      </c>
      <c r="D111" s="490">
        <v>2192</v>
      </c>
    </row>
    <row r="112" spans="1:4" hidden="1">
      <c r="A112" s="490" t="s">
        <v>1144</v>
      </c>
      <c r="B112" s="490" t="s">
        <v>1145</v>
      </c>
      <c r="C112" s="490" t="s">
        <v>989</v>
      </c>
      <c r="D112" s="490">
        <v>2154</v>
      </c>
    </row>
    <row r="113" spans="1:4" hidden="1">
      <c r="A113" s="490" t="s">
        <v>1146</v>
      </c>
      <c r="B113" s="490" t="s">
        <v>1147</v>
      </c>
      <c r="C113" s="490" t="s">
        <v>989</v>
      </c>
      <c r="D113" s="490">
        <v>2185</v>
      </c>
    </row>
    <row r="114" spans="1:4" hidden="1">
      <c r="A114" s="490" t="s">
        <v>1148</v>
      </c>
      <c r="B114" s="490" t="s">
        <v>1149</v>
      </c>
      <c r="C114" s="490" t="s">
        <v>989</v>
      </c>
      <c r="D114" s="490">
        <v>5206</v>
      </c>
    </row>
    <row r="115" spans="1:4" hidden="1">
      <c r="A115" s="490" t="s">
        <v>1150</v>
      </c>
      <c r="B115" s="490" t="s">
        <v>1151</v>
      </c>
      <c r="C115" s="490" t="s">
        <v>989</v>
      </c>
      <c r="D115" s="490">
        <v>2170</v>
      </c>
    </row>
    <row r="116" spans="1:4" hidden="1">
      <c r="A116" s="490" t="s">
        <v>1152</v>
      </c>
      <c r="B116" s="490" t="s">
        <v>1153</v>
      </c>
      <c r="C116" s="490" t="s">
        <v>989</v>
      </c>
      <c r="D116" s="490">
        <v>2054</v>
      </c>
    </row>
    <row r="117" spans="1:4" hidden="1">
      <c r="A117" s="490" t="s">
        <v>1154</v>
      </c>
      <c r="B117" s="490" t="s">
        <v>1155</v>
      </c>
      <c r="C117" s="490" t="s">
        <v>989</v>
      </c>
      <c r="D117" s="490">
        <v>2197</v>
      </c>
    </row>
    <row r="118" spans="1:4" hidden="1">
      <c r="A118" s="490" t="s">
        <v>1156</v>
      </c>
      <c r="B118" s="490" t="s">
        <v>1157</v>
      </c>
      <c r="C118" s="490" t="s">
        <v>989</v>
      </c>
      <c r="D118" s="490">
        <v>5205</v>
      </c>
    </row>
    <row r="119" spans="1:4" hidden="1">
      <c r="A119" s="490" t="s">
        <v>1158</v>
      </c>
      <c r="B119" s="490" t="s">
        <v>1159</v>
      </c>
      <c r="C119" s="490" t="s">
        <v>989</v>
      </c>
      <c r="D119" s="490">
        <v>2130</v>
      </c>
    </row>
    <row r="120" spans="1:4" hidden="1">
      <c r="A120" s="490" t="s">
        <v>1160</v>
      </c>
      <c r="B120" s="490" t="s">
        <v>1161</v>
      </c>
      <c r="C120" s="490" t="s">
        <v>989</v>
      </c>
      <c r="D120" s="490">
        <v>3353</v>
      </c>
    </row>
    <row r="121" spans="1:4" hidden="1">
      <c r="A121" s="490" t="s">
        <v>1162</v>
      </c>
      <c r="B121" s="490" t="s">
        <v>1163</v>
      </c>
      <c r="C121" s="490" t="s">
        <v>989</v>
      </c>
      <c r="D121" s="490">
        <v>3372</v>
      </c>
    </row>
    <row r="122" spans="1:4" hidden="1">
      <c r="A122" s="490" t="s">
        <v>1164</v>
      </c>
      <c r="B122" s="490" t="s">
        <v>1165</v>
      </c>
      <c r="C122" s="490" t="s">
        <v>989</v>
      </c>
      <c r="D122" s="490">
        <v>3375</v>
      </c>
    </row>
    <row r="123" spans="1:4" hidden="1">
      <c r="A123" s="490" t="s">
        <v>1166</v>
      </c>
      <c r="B123" s="490" t="s">
        <v>1167</v>
      </c>
      <c r="C123" s="490" t="s">
        <v>989</v>
      </c>
      <c r="D123" s="490">
        <v>2064</v>
      </c>
    </row>
    <row r="124" spans="1:4" hidden="1">
      <c r="A124" s="490" t="s">
        <v>1168</v>
      </c>
      <c r="B124" s="490" t="s">
        <v>1169</v>
      </c>
      <c r="C124" s="490" t="s">
        <v>989</v>
      </c>
      <c r="D124" s="490">
        <v>2132</v>
      </c>
    </row>
    <row r="125" spans="1:4" hidden="1">
      <c r="A125" s="490" t="s">
        <v>1170</v>
      </c>
      <c r="B125" s="490" t="s">
        <v>1171</v>
      </c>
      <c r="C125" s="490" t="s">
        <v>989</v>
      </c>
      <c r="D125" s="490">
        <v>3377</v>
      </c>
    </row>
    <row r="126" spans="1:4" hidden="1">
      <c r="A126" s="490" t="s">
        <v>1172</v>
      </c>
      <c r="B126" s="490" t="s">
        <v>1173</v>
      </c>
      <c r="C126" s="490" t="s">
        <v>989</v>
      </c>
      <c r="D126" s="490">
        <v>2101</v>
      </c>
    </row>
    <row r="127" spans="1:4" hidden="1">
      <c r="A127" s="490" t="s">
        <v>1174</v>
      </c>
      <c r="B127" s="490" t="s">
        <v>1175</v>
      </c>
      <c r="C127" s="490" t="s">
        <v>989</v>
      </c>
      <c r="D127" s="490">
        <v>2115</v>
      </c>
    </row>
    <row r="128" spans="1:4" hidden="1">
      <c r="A128" s="490" t="s">
        <v>1176</v>
      </c>
      <c r="B128" s="490" t="s">
        <v>1177</v>
      </c>
      <c r="C128" s="490" t="s">
        <v>989</v>
      </c>
      <c r="D128" s="490">
        <v>2086</v>
      </c>
    </row>
    <row r="129" spans="1:4" hidden="1">
      <c r="A129" s="490" t="s">
        <v>1178</v>
      </c>
      <c r="B129" s="490" t="s">
        <v>1179</v>
      </c>
      <c r="C129" s="490" t="s">
        <v>989</v>
      </c>
      <c r="D129" s="490">
        <v>2052</v>
      </c>
    </row>
    <row r="130" spans="1:4" hidden="1">
      <c r="A130" s="490" t="s">
        <v>1180</v>
      </c>
      <c r="B130" s="490" t="s">
        <v>1181</v>
      </c>
      <c r="C130" s="490" t="s">
        <v>989</v>
      </c>
      <c r="D130" s="490">
        <v>3365</v>
      </c>
    </row>
    <row r="131" spans="1:4" hidden="1">
      <c r="A131" s="490" t="s">
        <v>1182</v>
      </c>
      <c r="B131" s="490" t="s">
        <v>1183</v>
      </c>
      <c r="C131" s="490" t="s">
        <v>989</v>
      </c>
      <c r="D131" s="490">
        <v>5202</v>
      </c>
    </row>
    <row r="132" spans="1:4" hidden="1">
      <c r="A132" s="490" t="s">
        <v>1184</v>
      </c>
      <c r="B132" s="490" t="s">
        <v>1185</v>
      </c>
      <c r="C132" s="490" t="s">
        <v>989</v>
      </c>
      <c r="D132" s="490">
        <v>2140</v>
      </c>
    </row>
    <row r="133" spans="1:4" hidden="1">
      <c r="A133" s="490" t="s">
        <v>1186</v>
      </c>
      <c r="B133" s="490" t="s">
        <v>1187</v>
      </c>
      <c r="C133" s="490" t="s">
        <v>989</v>
      </c>
      <c r="D133" s="490">
        <v>2174</v>
      </c>
    </row>
    <row r="134" spans="1:4" hidden="1">
      <c r="A134" s="490" t="s">
        <v>1188</v>
      </c>
      <c r="B134" s="490" t="s">
        <v>1189</v>
      </c>
      <c r="C134" s="490" t="s">
        <v>989</v>
      </c>
      <c r="D134" s="490">
        <v>2055</v>
      </c>
    </row>
    <row r="135" spans="1:4" hidden="1">
      <c r="A135" s="490" t="s">
        <v>1190</v>
      </c>
      <c r="B135" s="490" t="s">
        <v>1191</v>
      </c>
      <c r="C135" s="490" t="s">
        <v>989</v>
      </c>
      <c r="D135" s="490">
        <v>2178</v>
      </c>
    </row>
    <row r="136" spans="1:4" hidden="1">
      <c r="A136" s="490" t="s">
        <v>1192</v>
      </c>
      <c r="B136" s="490" t="s">
        <v>1193</v>
      </c>
      <c r="C136" s="490" t="s">
        <v>989</v>
      </c>
      <c r="D136" s="490">
        <v>3366</v>
      </c>
    </row>
    <row r="137" spans="1:4" hidden="1">
      <c r="A137" s="490" t="s">
        <v>1194</v>
      </c>
      <c r="B137" s="490" t="s">
        <v>1195</v>
      </c>
      <c r="C137" s="490" t="s">
        <v>989</v>
      </c>
      <c r="D137" s="490">
        <v>2077</v>
      </c>
    </row>
    <row r="138" spans="1:4" hidden="1">
      <c r="A138" s="490" t="s">
        <v>1196</v>
      </c>
      <c r="B138" s="490" t="s">
        <v>1197</v>
      </c>
      <c r="C138" s="490" t="s">
        <v>989</v>
      </c>
      <c r="D138" s="490">
        <v>2095</v>
      </c>
    </row>
    <row r="139" spans="1:4" hidden="1">
      <c r="A139" s="490" t="s">
        <v>1198</v>
      </c>
      <c r="B139" s="490" t="s">
        <v>1199</v>
      </c>
      <c r="C139" s="490" t="s">
        <v>989</v>
      </c>
      <c r="D139" s="490">
        <v>2194</v>
      </c>
    </row>
    <row r="140" spans="1:4" hidden="1">
      <c r="A140" s="490" t="s">
        <v>1200</v>
      </c>
      <c r="B140" s="490" t="s">
        <v>1201</v>
      </c>
      <c r="C140" s="490" t="s">
        <v>989</v>
      </c>
      <c r="D140" s="490">
        <v>3369</v>
      </c>
    </row>
    <row r="141" spans="1:4" hidden="1">
      <c r="A141" s="490" t="s">
        <v>1202</v>
      </c>
      <c r="B141" s="490" t="s">
        <v>1203</v>
      </c>
      <c r="C141" s="490" t="s">
        <v>989</v>
      </c>
      <c r="D141" s="490">
        <v>3333</v>
      </c>
    </row>
    <row r="142" spans="1:4" hidden="1">
      <c r="A142" s="490" t="s">
        <v>1204</v>
      </c>
      <c r="B142" s="490" t="s">
        <v>1205</v>
      </c>
      <c r="C142" s="490" t="s">
        <v>989</v>
      </c>
      <c r="D142" s="490">
        <v>3373</v>
      </c>
    </row>
    <row r="143" spans="1:4" hidden="1">
      <c r="A143" s="490" t="s">
        <v>1206</v>
      </c>
      <c r="B143" s="490" t="s">
        <v>1207</v>
      </c>
      <c r="C143" s="490" t="s">
        <v>989</v>
      </c>
      <c r="D143" s="490">
        <v>3334</v>
      </c>
    </row>
    <row r="144" spans="1:4" hidden="1">
      <c r="A144" s="490" t="s">
        <v>1208</v>
      </c>
      <c r="B144" s="490" t="s">
        <v>1209</v>
      </c>
      <c r="C144" s="490" t="s">
        <v>989</v>
      </c>
      <c r="D144" s="490">
        <v>3335</v>
      </c>
    </row>
    <row r="145" spans="1:4" hidden="1">
      <c r="A145" s="490" t="s">
        <v>1210</v>
      </c>
      <c r="B145" s="490" t="s">
        <v>1211</v>
      </c>
      <c r="C145" s="490" t="s">
        <v>989</v>
      </c>
      <c r="D145" s="490">
        <v>3354</v>
      </c>
    </row>
    <row r="146" spans="1:4" hidden="1">
      <c r="A146" s="490" t="s">
        <v>1212</v>
      </c>
      <c r="B146" s="490" t="s">
        <v>1213</v>
      </c>
      <c r="C146" s="490" t="s">
        <v>989</v>
      </c>
      <c r="D146" s="490">
        <v>3351</v>
      </c>
    </row>
    <row r="147" spans="1:4" hidden="1">
      <c r="A147" s="490" t="s">
        <v>1214</v>
      </c>
      <c r="B147" s="490" t="s">
        <v>1215</v>
      </c>
      <c r="C147" s="490" t="s">
        <v>989</v>
      </c>
      <c r="D147" s="490">
        <v>3016</v>
      </c>
    </row>
    <row r="148" spans="1:4" hidden="1">
      <c r="A148" s="490" t="s">
        <v>1216</v>
      </c>
      <c r="B148" s="490" t="s">
        <v>1217</v>
      </c>
      <c r="C148" s="490" t="s">
        <v>989</v>
      </c>
      <c r="D148" s="490">
        <v>3352</v>
      </c>
    </row>
    <row r="149" spans="1:4" hidden="1">
      <c r="A149" s="490" t="s">
        <v>1218</v>
      </c>
      <c r="B149" s="490" t="s">
        <v>1219</v>
      </c>
      <c r="C149" s="490" t="s">
        <v>989</v>
      </c>
      <c r="D149" s="490">
        <v>5208</v>
      </c>
    </row>
    <row r="150" spans="1:4" hidden="1">
      <c r="A150" s="490" t="s">
        <v>1220</v>
      </c>
      <c r="B150" s="490" t="s">
        <v>1221</v>
      </c>
      <c r="C150" s="490" t="s">
        <v>989</v>
      </c>
      <c r="D150" s="490">
        <v>3367</v>
      </c>
    </row>
    <row r="151" spans="1:4" hidden="1">
      <c r="A151" s="490" t="s">
        <v>1222</v>
      </c>
      <c r="B151" s="490" t="s">
        <v>1223</v>
      </c>
      <c r="C151" s="490" t="s">
        <v>989</v>
      </c>
      <c r="D151" s="490">
        <v>3338</v>
      </c>
    </row>
    <row r="152" spans="1:4" hidden="1">
      <c r="A152" s="490" t="s">
        <v>1224</v>
      </c>
      <c r="B152" s="490" t="s">
        <v>1225</v>
      </c>
      <c r="C152" s="490" t="s">
        <v>989</v>
      </c>
      <c r="D152" s="490">
        <v>3370</v>
      </c>
    </row>
    <row r="153" spans="1:4" hidden="1">
      <c r="A153" s="490" t="s">
        <v>1226</v>
      </c>
      <c r="B153" s="490" t="s">
        <v>1227</v>
      </c>
      <c r="C153" s="490" t="s">
        <v>989</v>
      </c>
      <c r="D153" s="490">
        <v>3021</v>
      </c>
    </row>
    <row r="154" spans="1:4" hidden="1">
      <c r="A154" s="490" t="s">
        <v>1228</v>
      </c>
      <c r="B154" s="490" t="s">
        <v>1229</v>
      </c>
      <c r="C154" s="490" t="s">
        <v>989</v>
      </c>
      <c r="D154" s="490">
        <v>3347</v>
      </c>
    </row>
    <row r="155" spans="1:4" hidden="1">
      <c r="A155" s="490" t="s">
        <v>1230</v>
      </c>
      <c r="B155" s="490" t="s">
        <v>1231</v>
      </c>
      <c r="C155" s="490" t="s">
        <v>989</v>
      </c>
      <c r="D155" s="490">
        <v>3355</v>
      </c>
    </row>
    <row r="156" spans="1:4" hidden="1">
      <c r="A156" s="490" t="s">
        <v>1232</v>
      </c>
      <c r="B156" s="490" t="s">
        <v>1233</v>
      </c>
      <c r="C156" s="490" t="s">
        <v>989</v>
      </c>
      <c r="D156" s="490">
        <v>3013</v>
      </c>
    </row>
    <row r="157" spans="1:4" hidden="1">
      <c r="A157" s="490" t="s">
        <v>1234</v>
      </c>
      <c r="B157" s="490" t="s">
        <v>1235</v>
      </c>
      <c r="C157" s="490" t="s">
        <v>989</v>
      </c>
      <c r="D157" s="490">
        <v>3301</v>
      </c>
    </row>
    <row r="158" spans="1:4" hidden="1">
      <c r="A158" s="490" t="s">
        <v>1236</v>
      </c>
      <c r="B158" s="490" t="s">
        <v>1237</v>
      </c>
      <c r="C158" s="490" t="s">
        <v>989</v>
      </c>
      <c r="D158" s="490">
        <v>3034</v>
      </c>
    </row>
    <row r="159" spans="1:4" hidden="1">
      <c r="A159" s="490" t="s">
        <v>1238</v>
      </c>
      <c r="B159" s="490" t="s">
        <v>1239</v>
      </c>
      <c r="C159" s="490" t="s">
        <v>989</v>
      </c>
      <c r="D159" s="490">
        <v>3313</v>
      </c>
    </row>
    <row r="160" spans="1:4" hidden="1">
      <c r="A160" s="490" t="s">
        <v>1240</v>
      </c>
      <c r="B160" s="490" t="s">
        <v>1241</v>
      </c>
      <c r="C160" s="490" t="s">
        <v>989</v>
      </c>
      <c r="D160" s="490">
        <v>3371</v>
      </c>
    </row>
    <row r="161" spans="1:4" hidden="1">
      <c r="A161" s="490" t="s">
        <v>1242</v>
      </c>
      <c r="B161" s="490" t="s">
        <v>1243</v>
      </c>
      <c r="C161" s="490" t="s">
        <v>989</v>
      </c>
      <c r="D161" s="490">
        <v>3349</v>
      </c>
    </row>
    <row r="162" spans="1:4" hidden="1">
      <c r="A162" s="490" t="s">
        <v>1244</v>
      </c>
      <c r="B162" s="490" t="s">
        <v>1245</v>
      </c>
      <c r="C162" s="490" t="s">
        <v>989</v>
      </c>
      <c r="D162" s="490">
        <v>3350</v>
      </c>
    </row>
    <row r="163" spans="1:4" hidden="1">
      <c r="A163" s="490" t="s">
        <v>1246</v>
      </c>
      <c r="B163" s="490" t="s">
        <v>1247</v>
      </c>
      <c r="C163" s="490" t="s">
        <v>989</v>
      </c>
      <c r="D163" s="490">
        <v>2134</v>
      </c>
    </row>
    <row r="164" spans="1:4" hidden="1">
      <c r="A164" s="490" t="s">
        <v>1248</v>
      </c>
      <c r="B164" s="490" t="s">
        <v>1249</v>
      </c>
      <c r="C164" s="490" t="s">
        <v>989</v>
      </c>
      <c r="D164" s="490">
        <v>2148</v>
      </c>
    </row>
    <row r="165" spans="1:4" hidden="1">
      <c r="A165" s="490" t="s">
        <v>1250</v>
      </c>
      <c r="B165" s="490" t="s">
        <v>1251</v>
      </c>
      <c r="C165" s="490" t="s">
        <v>989</v>
      </c>
      <c r="D165" s="490">
        <v>2081</v>
      </c>
    </row>
    <row r="166" spans="1:4" hidden="1">
      <c r="A166" s="490" t="s">
        <v>1252</v>
      </c>
      <c r="B166" s="490" t="s">
        <v>1253</v>
      </c>
      <c r="C166" s="490" t="s">
        <v>989</v>
      </c>
      <c r="D166" s="490">
        <v>2057</v>
      </c>
    </row>
    <row r="167" spans="1:4" hidden="1">
      <c r="A167" s="490" t="s">
        <v>1254</v>
      </c>
      <c r="B167" s="490" t="s">
        <v>1255</v>
      </c>
      <c r="C167" s="490" t="s">
        <v>989</v>
      </c>
      <c r="D167" s="490">
        <v>2058</v>
      </c>
    </row>
    <row r="168" spans="1:4" hidden="1">
      <c r="A168" s="490" t="s">
        <v>1256</v>
      </c>
      <c r="B168" s="490" t="s">
        <v>1257</v>
      </c>
      <c r="C168" s="490" t="s">
        <v>989</v>
      </c>
      <c r="D168" s="490">
        <v>3368</v>
      </c>
    </row>
    <row r="169" spans="1:4" hidden="1">
      <c r="A169" s="490" t="s">
        <v>1258</v>
      </c>
      <c r="B169" s="490" t="s">
        <v>1259</v>
      </c>
      <c r="C169" s="490" t="s">
        <v>989</v>
      </c>
      <c r="D169" s="490">
        <v>2060</v>
      </c>
    </row>
    <row r="170" spans="1:4" hidden="1">
      <c r="A170" s="490" t="s">
        <v>1260</v>
      </c>
      <c r="B170" s="490" t="s">
        <v>1261</v>
      </c>
      <c r="C170" s="490" t="s">
        <v>989</v>
      </c>
      <c r="D170" s="490">
        <v>2061</v>
      </c>
    </row>
    <row r="171" spans="1:4" hidden="1">
      <c r="A171" s="490" t="s">
        <v>1262</v>
      </c>
      <c r="B171" s="490" t="s">
        <v>1263</v>
      </c>
      <c r="C171" s="490" t="s">
        <v>989</v>
      </c>
      <c r="D171" s="490">
        <v>2200</v>
      </c>
    </row>
    <row r="172" spans="1:4" hidden="1">
      <c r="A172" s="490" t="s">
        <v>1264</v>
      </c>
      <c r="B172" s="490" t="s">
        <v>1265</v>
      </c>
      <c r="C172" s="490" t="s">
        <v>989</v>
      </c>
      <c r="D172" s="490">
        <v>3362</v>
      </c>
    </row>
    <row r="173" spans="1:4" hidden="1">
      <c r="A173" s="490" t="s">
        <v>1266</v>
      </c>
      <c r="B173" s="490" t="s">
        <v>1267</v>
      </c>
      <c r="C173" s="490" t="s">
        <v>989</v>
      </c>
      <c r="D173" s="490">
        <v>2135</v>
      </c>
    </row>
    <row r="174" spans="1:4" hidden="1">
      <c r="A174" s="490" t="s">
        <v>1268</v>
      </c>
      <c r="B174" s="490" t="s">
        <v>1269</v>
      </c>
      <c r="C174" s="490" t="s">
        <v>989</v>
      </c>
      <c r="D174" s="490">
        <v>2071</v>
      </c>
    </row>
    <row r="175" spans="1:4" hidden="1">
      <c r="A175" s="490" t="s">
        <v>1270</v>
      </c>
      <c r="B175" s="490" t="s">
        <v>1271</v>
      </c>
      <c r="C175" s="490" t="s">
        <v>989</v>
      </c>
      <c r="D175" s="490">
        <v>2193</v>
      </c>
    </row>
    <row r="176" spans="1:4" hidden="1">
      <c r="A176" s="490" t="s">
        <v>1272</v>
      </c>
      <c r="B176" s="490" t="s">
        <v>1273</v>
      </c>
      <c r="C176" s="490" t="s">
        <v>989</v>
      </c>
      <c r="D176" s="490">
        <v>3378</v>
      </c>
    </row>
    <row r="177" spans="1:4" hidden="1">
      <c r="A177" s="490" t="s">
        <v>1274</v>
      </c>
      <c r="B177" s="490" t="s">
        <v>1275</v>
      </c>
      <c r="C177" s="490" t="s">
        <v>989</v>
      </c>
      <c r="D177" s="490">
        <v>2073</v>
      </c>
    </row>
    <row r="178" spans="1:4" hidden="1">
      <c r="A178" s="490" t="s">
        <v>1276</v>
      </c>
      <c r="B178" s="490" t="s">
        <v>1277</v>
      </c>
      <c r="C178" s="490" t="s">
        <v>989</v>
      </c>
      <c r="D178" s="490">
        <v>2074</v>
      </c>
    </row>
    <row r="179" spans="1:4" hidden="1">
      <c r="A179" s="490" t="s">
        <v>1278</v>
      </c>
      <c r="B179" s="490" t="s">
        <v>1279</v>
      </c>
      <c r="C179" s="490" t="s">
        <v>989</v>
      </c>
      <c r="D179" s="490">
        <v>2117</v>
      </c>
    </row>
    <row r="180" spans="1:4" hidden="1">
      <c r="A180" s="490" t="s">
        <v>1280</v>
      </c>
      <c r="B180" s="490" t="s">
        <v>1281</v>
      </c>
      <c r="C180" s="490" t="s">
        <v>989</v>
      </c>
      <c r="D180" s="490">
        <v>3030</v>
      </c>
    </row>
    <row r="181" spans="1:4" hidden="1">
      <c r="A181" s="490" t="s">
        <v>1282</v>
      </c>
      <c r="B181" s="490" t="s">
        <v>1283</v>
      </c>
      <c r="C181" s="490" t="s">
        <v>989</v>
      </c>
      <c r="D181" s="490">
        <v>3035</v>
      </c>
    </row>
    <row r="182" spans="1:4" hidden="1">
      <c r="A182" s="490" t="s">
        <v>1284</v>
      </c>
      <c r="B182" s="490" t="s">
        <v>1285</v>
      </c>
      <c r="C182" s="490" t="s">
        <v>989</v>
      </c>
      <c r="D182" s="490">
        <v>2078</v>
      </c>
    </row>
    <row r="183" spans="1:4" hidden="1">
      <c r="A183" s="490" t="s">
        <v>1286</v>
      </c>
      <c r="B183" s="490" t="s">
        <v>1287</v>
      </c>
      <c r="C183" s="490" t="s">
        <v>989</v>
      </c>
      <c r="D183" s="490">
        <v>2202</v>
      </c>
    </row>
    <row r="184" spans="1:4" hidden="1">
      <c r="A184" s="490" t="s">
        <v>1288</v>
      </c>
      <c r="B184" s="490" t="s">
        <v>1289</v>
      </c>
      <c r="C184" s="490" t="s">
        <v>989</v>
      </c>
      <c r="D184" s="490">
        <v>2100</v>
      </c>
    </row>
    <row r="185" spans="1:4" hidden="1">
      <c r="A185" s="490" t="s">
        <v>1290</v>
      </c>
      <c r="B185" s="490" t="s">
        <v>1291</v>
      </c>
      <c r="C185" s="490" t="s">
        <v>989</v>
      </c>
      <c r="D185" s="490">
        <v>3036</v>
      </c>
    </row>
    <row r="186" spans="1:4" hidden="1">
      <c r="A186" s="490" t="s">
        <v>1292</v>
      </c>
      <c r="B186" s="490" t="s">
        <v>1293</v>
      </c>
      <c r="C186" s="490" t="s">
        <v>1294</v>
      </c>
      <c r="D186" s="490">
        <v>4064</v>
      </c>
    </row>
    <row r="187" spans="1:4" hidden="1">
      <c r="A187" s="490" t="s">
        <v>1295</v>
      </c>
      <c r="B187" s="490" t="s">
        <v>1296</v>
      </c>
      <c r="C187" s="490" t="s">
        <v>1294</v>
      </c>
      <c r="D187" s="490">
        <v>4022</v>
      </c>
    </row>
    <row r="188" spans="1:4" hidden="1">
      <c r="A188" s="490" t="s">
        <v>1297</v>
      </c>
      <c r="B188" s="490" t="s">
        <v>1298</v>
      </c>
      <c r="C188" s="490" t="s">
        <v>1294</v>
      </c>
      <c r="D188" s="490">
        <v>5400</v>
      </c>
    </row>
    <row r="189" spans="1:4" hidden="1">
      <c r="A189" s="490" t="s">
        <v>1299</v>
      </c>
      <c r="B189" s="490" t="s">
        <v>1300</v>
      </c>
      <c r="C189" s="490" t="s">
        <v>1294</v>
      </c>
      <c r="D189" s="490">
        <v>4001</v>
      </c>
    </row>
    <row r="190" spans="1:4" hidden="1">
      <c r="A190" s="490" t="s">
        <v>1301</v>
      </c>
      <c r="B190" s="490" t="s">
        <v>1302</v>
      </c>
      <c r="C190" s="490" t="s">
        <v>1294</v>
      </c>
      <c r="D190" s="490">
        <v>4100</v>
      </c>
    </row>
    <row r="191" spans="1:4" hidden="1">
      <c r="A191" s="490" t="s">
        <v>1303</v>
      </c>
      <c r="B191" s="490" t="s">
        <v>1304</v>
      </c>
      <c r="C191" s="490" t="s">
        <v>1294</v>
      </c>
      <c r="D191" s="490">
        <v>4111</v>
      </c>
    </row>
    <row r="192" spans="1:4" hidden="1">
      <c r="A192" s="490" t="s">
        <v>1305</v>
      </c>
      <c r="B192" s="490" t="s">
        <v>1306</v>
      </c>
      <c r="C192" s="490" t="s">
        <v>1294</v>
      </c>
      <c r="D192" s="490">
        <v>4101</v>
      </c>
    </row>
    <row r="193" spans="1:4" hidden="1">
      <c r="A193" s="490" t="s">
        <v>1307</v>
      </c>
      <c r="B193" s="490" t="s">
        <v>1308</v>
      </c>
      <c r="C193" s="490" t="s">
        <v>1294</v>
      </c>
      <c r="D193" s="490">
        <v>5401</v>
      </c>
    </row>
    <row r="194" spans="1:4" hidden="1">
      <c r="A194" s="490" t="s">
        <v>1309</v>
      </c>
      <c r="B194" s="490" t="s">
        <v>1310</v>
      </c>
      <c r="C194" s="490" t="s">
        <v>1294</v>
      </c>
      <c r="D194" s="490">
        <v>4616</v>
      </c>
    </row>
    <row r="195" spans="1:4" hidden="1">
      <c r="A195" s="490" t="s">
        <v>1311</v>
      </c>
      <c r="B195" s="490" t="s">
        <v>1312</v>
      </c>
      <c r="C195" s="490" t="s">
        <v>1294</v>
      </c>
      <c r="D195" s="490">
        <v>5404</v>
      </c>
    </row>
    <row r="196" spans="1:4" hidden="1">
      <c r="A196" s="490" t="s">
        <v>1313</v>
      </c>
      <c r="B196" s="490" t="s">
        <v>1314</v>
      </c>
      <c r="C196" s="490" t="s">
        <v>1294</v>
      </c>
      <c r="D196" s="490">
        <v>5402</v>
      </c>
    </row>
    <row r="197" spans="1:4" hidden="1">
      <c r="A197" s="490" t="s">
        <v>1315</v>
      </c>
      <c r="B197" s="490" t="s">
        <v>1316</v>
      </c>
      <c r="C197" s="490" t="s">
        <v>1294</v>
      </c>
      <c r="D197" s="490">
        <v>4112</v>
      </c>
    </row>
    <row r="198" spans="1:4" hidden="1">
      <c r="A198" s="490" t="s">
        <v>1317</v>
      </c>
      <c r="B198" s="490" t="s">
        <v>1318</v>
      </c>
      <c r="C198" s="490" t="s">
        <v>1294</v>
      </c>
      <c r="D198" s="490">
        <v>4069</v>
      </c>
    </row>
    <row r="199" spans="1:4" hidden="1">
      <c r="A199" s="490" t="s">
        <v>1319</v>
      </c>
      <c r="B199" s="490" t="s">
        <v>1320</v>
      </c>
      <c r="C199" s="490" t="s">
        <v>1294</v>
      </c>
      <c r="D199" s="490">
        <v>4600</v>
      </c>
    </row>
    <row r="200" spans="1:4" hidden="1">
      <c r="A200" s="490" t="s">
        <v>1321</v>
      </c>
      <c r="B200" s="490" t="s">
        <v>1322</v>
      </c>
      <c r="C200" s="490" t="s">
        <v>1294</v>
      </c>
      <c r="D200" s="490">
        <v>4611</v>
      </c>
    </row>
    <row r="201" spans="1:4" hidden="1">
      <c r="A201" s="490" t="s">
        <v>1323</v>
      </c>
      <c r="B201" s="490" t="s">
        <v>1324</v>
      </c>
      <c r="C201" s="490" t="s">
        <v>1294</v>
      </c>
      <c r="D201" s="490">
        <v>4610</v>
      </c>
    </row>
    <row r="202" spans="1:4" hidden="1">
      <c r="A202" s="490" t="s">
        <v>1325</v>
      </c>
      <c r="B202" s="490" t="s">
        <v>1326</v>
      </c>
      <c r="C202" s="490" t="s">
        <v>1294</v>
      </c>
      <c r="D202" s="490">
        <v>5403</v>
      </c>
    </row>
    <row r="203" spans="1:4" hidden="1">
      <c r="A203" s="490" t="s">
        <v>1327</v>
      </c>
      <c r="B203" s="490" t="s">
        <v>1328</v>
      </c>
      <c r="C203" s="490" t="s">
        <v>1294</v>
      </c>
      <c r="D203" s="490">
        <v>4074</v>
      </c>
    </row>
    <row r="204" spans="1:4" hidden="1">
      <c r="A204" s="490" t="s">
        <v>1329</v>
      </c>
      <c r="B204" s="490" t="s">
        <v>1330</v>
      </c>
      <c r="C204" s="490" t="s">
        <v>1294</v>
      </c>
      <c r="D204" s="490">
        <v>4036</v>
      </c>
    </row>
    <row r="205" spans="1:4" hidden="1">
      <c r="A205" s="490" t="s">
        <v>1331</v>
      </c>
      <c r="B205" s="490" t="s">
        <v>1332</v>
      </c>
      <c r="C205" s="490" t="s">
        <v>1333</v>
      </c>
      <c r="D205" s="490">
        <v>7032</v>
      </c>
    </row>
    <row r="206" spans="1:4" hidden="1">
      <c r="A206" s="490" t="s">
        <v>1334</v>
      </c>
      <c r="B206" s="490" t="s">
        <v>1335</v>
      </c>
      <c r="C206" s="490" t="s">
        <v>1333</v>
      </c>
      <c r="D206" s="490">
        <v>7031</v>
      </c>
    </row>
    <row r="207" spans="1:4" hidden="1">
      <c r="A207" s="490" t="s">
        <v>1336</v>
      </c>
      <c r="B207" s="490" t="s">
        <v>1337</v>
      </c>
      <c r="C207" s="490" t="s">
        <v>1333</v>
      </c>
      <c r="D207" s="490">
        <v>7035</v>
      </c>
    </row>
    <row r="208" spans="1:4" hidden="1">
      <c r="A208" s="490" t="s">
        <v>1338</v>
      </c>
      <c r="B208" s="490" t="s">
        <v>1339</v>
      </c>
      <c r="C208" s="490" t="s">
        <v>1333</v>
      </c>
      <c r="D208" s="490">
        <v>7034</v>
      </c>
    </row>
    <row r="209" spans="1:4" hidden="1">
      <c r="A209" s="490" t="s">
        <v>1340</v>
      </c>
      <c r="B209" s="490" t="s">
        <v>1341</v>
      </c>
      <c r="C209" s="490" t="s">
        <v>1333</v>
      </c>
      <c r="D209" s="490">
        <v>7036</v>
      </c>
    </row>
    <row r="210" spans="1:4" hidden="1">
      <c r="A210" s="490" t="s">
        <v>1342</v>
      </c>
      <c r="B210" s="490" t="s">
        <v>1343</v>
      </c>
      <c r="C210" s="490" t="s">
        <v>1333</v>
      </c>
      <c r="D210" s="490">
        <v>7030</v>
      </c>
    </row>
    <row r="211" spans="1:4" hidden="1">
      <c r="A211" s="490" t="s">
        <v>1344</v>
      </c>
      <c r="B211" s="490" t="s">
        <v>1345</v>
      </c>
      <c r="C211" s="490" t="s">
        <v>1333</v>
      </c>
      <c r="D211" s="490">
        <v>7033</v>
      </c>
    </row>
    <row r="212" spans="1:4" hidden="1">
      <c r="A212" s="490" t="s">
        <v>1346</v>
      </c>
      <c r="B212" s="490" t="s">
        <v>1347</v>
      </c>
      <c r="C212" s="490" t="s">
        <v>1333</v>
      </c>
      <c r="D212" s="490" t="s">
        <v>1348</v>
      </c>
    </row>
    <row r="213" spans="1:4" hidden="1">
      <c r="A213" s="490" t="s">
        <v>1349</v>
      </c>
      <c r="B213" s="490" t="s">
        <v>1350</v>
      </c>
      <c r="C213" s="490" t="s">
        <v>1351</v>
      </c>
      <c r="D213" s="490">
        <v>1104</v>
      </c>
    </row>
    <row r="214" spans="1:4" hidden="1">
      <c r="A214" s="490" t="s">
        <v>1352</v>
      </c>
      <c r="B214" s="490" t="s">
        <v>1353</v>
      </c>
      <c r="C214" s="490" t="s">
        <v>1351</v>
      </c>
      <c r="D214" s="490">
        <v>1110</v>
      </c>
    </row>
    <row r="215" spans="1:4" hidden="1">
      <c r="A215" s="490" t="s">
        <v>1354</v>
      </c>
      <c r="B215" s="490" t="s">
        <v>1355</v>
      </c>
      <c r="C215" s="490" t="s">
        <v>1351</v>
      </c>
      <c r="D215" s="490">
        <v>1106</v>
      </c>
    </row>
    <row r="216" spans="1:4" hidden="1">
      <c r="A216" s="490" t="s">
        <v>1356</v>
      </c>
      <c r="B216" s="490" t="s">
        <v>1357</v>
      </c>
      <c r="C216" s="490" t="s">
        <v>1351</v>
      </c>
      <c r="D216" s="490">
        <v>1105</v>
      </c>
    </row>
    <row r="217" spans="1:4" hidden="1">
      <c r="A217" s="490" t="s">
        <v>1358</v>
      </c>
      <c r="B217" s="490" t="s">
        <v>1359</v>
      </c>
      <c r="C217" s="490" t="s">
        <v>1351</v>
      </c>
      <c r="D217" s="490">
        <v>1108</v>
      </c>
    </row>
    <row r="218" spans="1:4" hidden="1">
      <c r="A218" s="490" t="s">
        <v>1349</v>
      </c>
      <c r="B218" s="490" t="s">
        <v>1360</v>
      </c>
      <c r="C218" s="490" t="s">
        <v>1351</v>
      </c>
      <c r="D218" s="490">
        <v>1103</v>
      </c>
    </row>
    <row r="219" spans="1:4" hidden="1">
      <c r="A219" s="490" t="s">
        <v>1361</v>
      </c>
      <c r="B219" s="490" t="s">
        <v>1362</v>
      </c>
      <c r="C219" s="490" t="s">
        <v>1351</v>
      </c>
      <c r="D219" s="490">
        <v>1107</v>
      </c>
    </row>
    <row r="220" spans="1:4" hidden="1">
      <c r="A220" s="490" t="s">
        <v>1363</v>
      </c>
      <c r="B220" s="490"/>
      <c r="C220" s="490"/>
      <c r="D220" s="490"/>
    </row>
    <row r="221" spans="1:4" hidden="1">
      <c r="A221" s="490" t="s">
        <v>1364</v>
      </c>
      <c r="B221" s="490"/>
      <c r="C221" s="490"/>
      <c r="D221" s="490"/>
    </row>
    <row r="222" spans="1:4" hidden="1">
      <c r="A222" s="490" t="s">
        <v>1365</v>
      </c>
      <c r="B222" s="490"/>
      <c r="C222" s="490"/>
      <c r="D222" s="490"/>
    </row>
    <row r="223" spans="1:4" hidden="1">
      <c r="A223" s="490" t="s">
        <v>1366</v>
      </c>
      <c r="B223" s="490"/>
      <c r="C223" s="490"/>
      <c r="D223" s="490"/>
    </row>
    <row r="224" spans="1:4" hidden="1">
      <c r="A224" s="270"/>
    </row>
    <row r="225" spans="1:1">
      <c r="A225" s="270"/>
    </row>
    <row r="226" spans="1:1">
      <c r="A226" s="270"/>
    </row>
    <row r="227" spans="1:1">
      <c r="A227" s="270"/>
    </row>
    <row r="228" spans="1:1">
      <c r="A228" s="270"/>
    </row>
    <row r="229" spans="1:1">
      <c r="A229" s="270"/>
    </row>
    <row r="230" spans="1:1">
      <c r="A230" s="270"/>
    </row>
    <row r="231" spans="1:1">
      <c r="A231" s="270"/>
    </row>
    <row r="232" spans="1:1">
      <c r="A232" s="270"/>
    </row>
    <row r="233" spans="1:1">
      <c r="A233" s="270"/>
    </row>
    <row r="234" spans="1:1">
      <c r="A234" s="270"/>
    </row>
    <row r="235" spans="1:1">
      <c r="A235" s="270"/>
    </row>
    <row r="236" spans="1:1">
      <c r="A236" s="270"/>
    </row>
    <row r="237" spans="1:1">
      <c r="A237" s="270"/>
    </row>
    <row r="238" spans="1:1">
      <c r="A238" s="270"/>
    </row>
    <row r="239" spans="1:1">
      <c r="A239" s="270"/>
    </row>
    <row r="240" spans="1:1">
      <c r="A240" s="270"/>
    </row>
    <row r="241" spans="1:1">
      <c r="A241" s="270"/>
    </row>
    <row r="242" spans="1:1">
      <c r="A242" s="270"/>
    </row>
    <row r="243" spans="1:1">
      <c r="A243" s="270"/>
    </row>
    <row r="244" spans="1:1">
      <c r="A244" s="270"/>
    </row>
    <row r="245" spans="1:1">
      <c r="A245" s="270"/>
    </row>
    <row r="246" spans="1:1">
      <c r="A246" s="270"/>
    </row>
    <row r="247" spans="1:1">
      <c r="A247" s="270"/>
    </row>
    <row r="248" spans="1:1">
      <c r="A248" s="270"/>
    </row>
    <row r="249" spans="1:1">
      <c r="A249" s="270"/>
    </row>
    <row r="250" spans="1:1">
      <c r="A250" s="270"/>
    </row>
    <row r="251" spans="1:1">
      <c r="A251" s="270"/>
    </row>
    <row r="252" spans="1:1">
      <c r="A252" s="270"/>
    </row>
    <row r="253" spans="1:1">
      <c r="A253" s="270"/>
    </row>
    <row r="254" spans="1:1">
      <c r="A254" s="270"/>
    </row>
    <row r="255" spans="1:1">
      <c r="A255" s="270"/>
    </row>
    <row r="256" spans="1:1">
      <c r="A256" s="270"/>
    </row>
    <row r="257" spans="1:1">
      <c r="A257" s="270"/>
    </row>
    <row r="258" spans="1:1">
      <c r="A258" s="270"/>
    </row>
    <row r="259" spans="1:1">
      <c r="A259" s="270"/>
    </row>
    <row r="260" spans="1:1">
      <c r="A260" s="270"/>
    </row>
    <row r="261" spans="1:1">
      <c r="A261" s="270"/>
    </row>
    <row r="262" spans="1:1">
      <c r="A262" s="270"/>
    </row>
    <row r="263" spans="1:1">
      <c r="A263" s="270"/>
    </row>
    <row r="264" spans="1:1">
      <c r="A264" s="270"/>
    </row>
    <row r="265" spans="1:1">
      <c r="A265" s="270"/>
    </row>
    <row r="266" spans="1:1">
      <c r="A266" s="270"/>
    </row>
    <row r="267" spans="1:1">
      <c r="A267" s="270"/>
    </row>
    <row r="268" spans="1:1">
      <c r="A268" s="270"/>
    </row>
    <row r="269" spans="1:1">
      <c r="A269" s="270"/>
    </row>
    <row r="270" spans="1:1">
      <c r="A270" s="270"/>
    </row>
    <row r="271" spans="1:1">
      <c r="A271" s="270"/>
    </row>
    <row r="272" spans="1:1">
      <c r="A272" s="270"/>
    </row>
    <row r="273" spans="1:1">
      <c r="A273" s="270"/>
    </row>
    <row r="274" spans="1:1">
      <c r="A274" s="270"/>
    </row>
    <row r="275" spans="1:1">
      <c r="A275" s="270"/>
    </row>
    <row r="276" spans="1:1">
      <c r="A276" s="270"/>
    </row>
    <row r="277" spans="1:1">
      <c r="A277" s="270"/>
    </row>
    <row r="278" spans="1:1">
      <c r="A278" s="270"/>
    </row>
    <row r="279" spans="1:1">
      <c r="A279" s="270"/>
    </row>
    <row r="280" spans="1:1">
      <c r="A280" s="270"/>
    </row>
    <row r="281" spans="1:1">
      <c r="A281" s="270"/>
    </row>
    <row r="282" spans="1:1">
      <c r="A282" s="270"/>
    </row>
    <row r="283" spans="1:1">
      <c r="A283" s="270"/>
    </row>
    <row r="284" spans="1:1">
      <c r="A284" s="270"/>
    </row>
    <row r="285" spans="1:1">
      <c r="A285" s="270"/>
    </row>
    <row r="286" spans="1:1">
      <c r="A286" s="270"/>
    </row>
    <row r="287" spans="1:1">
      <c r="A287" s="270"/>
    </row>
    <row r="288" spans="1:1">
      <c r="A288" s="270"/>
    </row>
    <row r="289" spans="1:1">
      <c r="A289" s="270"/>
    </row>
    <row r="290" spans="1:1">
      <c r="A290" s="270"/>
    </row>
    <row r="291" spans="1:1">
      <c r="A291" s="270"/>
    </row>
    <row r="292" spans="1:1">
      <c r="A292" s="270"/>
    </row>
    <row r="293" spans="1:1">
      <c r="A293" s="270"/>
    </row>
    <row r="294" spans="1:1">
      <c r="A294" s="270"/>
    </row>
    <row r="295" spans="1:1">
      <c r="A295" s="270"/>
    </row>
    <row r="296" spans="1:1">
      <c r="A296" s="270"/>
    </row>
    <row r="297" spans="1:1">
      <c r="A297" s="270"/>
    </row>
    <row r="298" spans="1:1">
      <c r="A298" s="270"/>
    </row>
    <row r="299" spans="1:1">
      <c r="A299" s="270"/>
    </row>
    <row r="300" spans="1:1">
      <c r="A300" s="270"/>
    </row>
    <row r="301" spans="1:1">
      <c r="A301" s="270"/>
    </row>
    <row r="302" spans="1:1">
      <c r="A302" s="270"/>
    </row>
    <row r="303" spans="1:1">
      <c r="A303" s="270"/>
    </row>
    <row r="304" spans="1:1">
      <c r="A304" s="270"/>
    </row>
    <row r="305" spans="1:1">
      <c r="A305" s="270"/>
    </row>
    <row r="306" spans="1:1">
      <c r="A306" s="270"/>
    </row>
    <row r="307" spans="1:1">
      <c r="A307" s="270"/>
    </row>
    <row r="308" spans="1:1">
      <c r="A308" s="270"/>
    </row>
    <row r="309" spans="1:1">
      <c r="A309" s="270"/>
    </row>
    <row r="310" spans="1:1">
      <c r="A310" s="270"/>
    </row>
    <row r="311" spans="1:1">
      <c r="A311" s="270"/>
    </row>
    <row r="312" spans="1:1">
      <c r="A312" s="270"/>
    </row>
    <row r="313" spans="1:1">
      <c r="A313" s="270"/>
    </row>
    <row r="314" spans="1:1">
      <c r="A314" s="270"/>
    </row>
    <row r="315" spans="1:1">
      <c r="A315" s="270"/>
    </row>
    <row r="316" spans="1:1">
      <c r="A316" s="270"/>
    </row>
    <row r="317" spans="1:1">
      <c r="A317" s="270"/>
    </row>
    <row r="318" spans="1:1">
      <c r="A318" s="270"/>
    </row>
    <row r="319" spans="1:1">
      <c r="A319" s="270"/>
    </row>
    <row r="320" spans="1:1">
      <c r="A320" s="270"/>
    </row>
    <row r="321" spans="1:1">
      <c r="A321" s="270"/>
    </row>
    <row r="322" spans="1:1">
      <c r="A322" s="270"/>
    </row>
    <row r="323" spans="1:1">
      <c r="A323" s="270"/>
    </row>
    <row r="324" spans="1:1">
      <c r="A324" s="270"/>
    </row>
    <row r="325" spans="1:1">
      <c r="A325" s="270"/>
    </row>
    <row r="326" spans="1:1">
      <c r="A326" s="270"/>
    </row>
    <row r="327" spans="1:1">
      <c r="A327" s="270"/>
    </row>
    <row r="328" spans="1:1">
      <c r="A328" s="270"/>
    </row>
    <row r="329" spans="1:1">
      <c r="A329" s="270"/>
    </row>
    <row r="330" spans="1:1">
      <c r="A330" s="270"/>
    </row>
    <row r="331" spans="1:1">
      <c r="A331" s="270"/>
    </row>
    <row r="332" spans="1:1">
      <c r="A332" s="270"/>
    </row>
    <row r="333" spans="1:1">
      <c r="A333" s="270"/>
    </row>
    <row r="334" spans="1:1">
      <c r="A334" s="270"/>
    </row>
    <row r="335" spans="1:1">
      <c r="A335" s="270"/>
    </row>
    <row r="336" spans="1:1">
      <c r="A336" s="270"/>
    </row>
    <row r="337" spans="1:1">
      <c r="A337" s="270"/>
    </row>
    <row r="338" spans="1:1">
      <c r="A338" s="270"/>
    </row>
    <row r="339" spans="1:1">
      <c r="A339" s="270"/>
    </row>
    <row r="340" spans="1:1">
      <c r="A340" s="270"/>
    </row>
    <row r="341" spans="1:1">
      <c r="A341" s="270"/>
    </row>
    <row r="342" spans="1:1">
      <c r="A342" s="270"/>
    </row>
    <row r="343" spans="1:1">
      <c r="A343" s="270"/>
    </row>
    <row r="344" spans="1:1">
      <c r="A344" s="270"/>
    </row>
    <row r="345" spans="1:1">
      <c r="A345" s="270"/>
    </row>
    <row r="346" spans="1:1">
      <c r="A346" s="270"/>
    </row>
    <row r="347" spans="1:1">
      <c r="A347" s="270"/>
    </row>
    <row r="348" spans="1:1">
      <c r="A348" s="270"/>
    </row>
    <row r="349" spans="1:1">
      <c r="A349" s="270"/>
    </row>
  </sheetData>
  <sheetProtection algorithmName="SHA-512" hashValue="uM1Ku0Rb8lcQBW6a260kUfH/mm2nAwUmK4eRZHSoyVgw4jILDHJaeb67Xam42RqGzl+8KTZbClthCQ9NQ76THQ==" saltValue="NZRDxhbBAMCiGSMbG+0QPg==" spinCount="100000" sheet="1" objects="1" scenarios="1"/>
  <mergeCells count="2">
    <mergeCell ref="BQ1:BT1"/>
    <mergeCell ref="BU1:CF1"/>
  </mergeCells>
  <phoneticPr fontId="15"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2D050"/>
  </sheetPr>
  <dimension ref="A1:CO127"/>
  <sheetViews>
    <sheetView workbookViewId="0">
      <pane xSplit="4" ySplit="4" topLeftCell="E47" activePane="bottomRight" state="frozen"/>
      <selection pane="topRight" activeCell="E1" sqref="E1"/>
      <selection pane="bottomLeft" activeCell="A3" sqref="A3"/>
      <selection pane="bottomRight" activeCell="B71" sqref="B71"/>
    </sheetView>
  </sheetViews>
  <sheetFormatPr defaultRowHeight="13.2"/>
  <cols>
    <col min="3" max="3" width="68" bestFit="1" customWidth="1"/>
    <col min="4" max="4" width="13.5546875" customWidth="1"/>
    <col min="5" max="5" width="13.21875" bestFit="1" customWidth="1"/>
    <col min="6" max="6" width="9.21875" bestFit="1" customWidth="1"/>
  </cols>
  <sheetData>
    <row r="1" spans="1:9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row>
    <row r="2" spans="1:93">
      <c r="A2" s="214" t="s">
        <v>1369</v>
      </c>
      <c r="B2" s="298">
        <v>1</v>
      </c>
      <c r="C2" s="237"/>
      <c r="D2" s="298">
        <v>3</v>
      </c>
      <c r="E2" s="298">
        <v>1</v>
      </c>
      <c r="F2" s="298">
        <v>26</v>
      </c>
      <c r="G2" s="298">
        <v>27</v>
      </c>
      <c r="H2" s="298">
        <v>28</v>
      </c>
      <c r="I2" s="298">
        <v>29</v>
      </c>
      <c r="J2" s="298">
        <v>30</v>
      </c>
      <c r="K2" s="298">
        <v>31</v>
      </c>
      <c r="L2" s="298">
        <v>32</v>
      </c>
      <c r="M2" s="298">
        <v>33</v>
      </c>
      <c r="N2" s="298">
        <v>34</v>
      </c>
      <c r="O2" s="298">
        <v>35</v>
      </c>
      <c r="P2" s="298">
        <v>36</v>
      </c>
      <c r="Q2" s="298">
        <v>37</v>
      </c>
      <c r="R2" s="298">
        <v>38</v>
      </c>
      <c r="S2" s="298">
        <v>39</v>
      </c>
      <c r="T2" s="298">
        <v>40</v>
      </c>
      <c r="U2" s="298">
        <v>43</v>
      </c>
      <c r="V2" s="298">
        <v>44</v>
      </c>
      <c r="W2" s="298">
        <v>45</v>
      </c>
      <c r="X2" s="298">
        <v>46</v>
      </c>
      <c r="Y2" s="298" t="e">
        <v>#N/A</v>
      </c>
      <c r="Z2" s="298">
        <v>47</v>
      </c>
      <c r="AA2" s="298">
        <v>48</v>
      </c>
      <c r="AB2" s="298">
        <v>49</v>
      </c>
      <c r="AC2" s="298">
        <v>50</v>
      </c>
      <c r="AD2" s="298">
        <v>51</v>
      </c>
      <c r="AE2" s="298">
        <v>52</v>
      </c>
      <c r="AF2" s="298">
        <v>53</v>
      </c>
      <c r="AG2" s="298">
        <v>54</v>
      </c>
      <c r="AH2" s="298">
        <v>55</v>
      </c>
      <c r="AI2" s="298">
        <v>56</v>
      </c>
      <c r="AJ2" s="298">
        <v>57</v>
      </c>
      <c r="AK2" s="298">
        <v>58</v>
      </c>
      <c r="AL2" s="298">
        <v>59</v>
      </c>
      <c r="AM2" s="298">
        <v>60</v>
      </c>
      <c r="AN2" s="298">
        <v>61</v>
      </c>
      <c r="AO2" s="298">
        <v>62</v>
      </c>
      <c r="AP2" s="298">
        <v>63</v>
      </c>
      <c r="AQ2" s="298">
        <v>64</v>
      </c>
      <c r="AR2" s="298">
        <v>65</v>
      </c>
      <c r="AS2" s="298">
        <v>66</v>
      </c>
      <c r="AT2" s="298">
        <v>67</v>
      </c>
      <c r="AU2" s="298">
        <v>68</v>
      </c>
      <c r="AV2" s="298">
        <v>69</v>
      </c>
      <c r="AW2" s="298">
        <v>70</v>
      </c>
      <c r="AX2" s="298">
        <v>71</v>
      </c>
      <c r="AY2" s="298">
        <v>72</v>
      </c>
      <c r="AZ2" s="298">
        <v>73</v>
      </c>
      <c r="BA2" s="298">
        <v>74</v>
      </c>
      <c r="BB2" s="298">
        <v>75</v>
      </c>
      <c r="BC2" s="298">
        <v>76</v>
      </c>
      <c r="BD2" s="298">
        <v>77</v>
      </c>
      <c r="BE2" s="298" t="e">
        <v>#N/A</v>
      </c>
      <c r="BF2" s="298" t="e">
        <v>#N/A</v>
      </c>
      <c r="BG2" s="298">
        <v>23</v>
      </c>
      <c r="BH2" s="298" t="e">
        <v>#N/A</v>
      </c>
      <c r="BI2" s="298">
        <v>41</v>
      </c>
      <c r="BJ2" s="298">
        <v>42</v>
      </c>
      <c r="BK2" s="298" t="e">
        <v>#N/A</v>
      </c>
      <c r="BL2" s="298">
        <v>78</v>
      </c>
      <c r="BM2" s="298">
        <v>79</v>
      </c>
      <c r="BN2" s="298" t="e">
        <v>#N/A</v>
      </c>
      <c r="BO2" s="298" t="e">
        <v>#N/A</v>
      </c>
      <c r="BP2" s="298">
        <v>24</v>
      </c>
      <c r="BQ2" s="298" t="e">
        <v>#N/A</v>
      </c>
      <c r="BR2" s="298">
        <v>88</v>
      </c>
      <c r="BS2" s="298">
        <v>89</v>
      </c>
      <c r="BT2" s="298">
        <v>92</v>
      </c>
      <c r="BU2" s="298" t="e">
        <v>#N/A</v>
      </c>
      <c r="BV2" s="298">
        <v>80</v>
      </c>
      <c r="BW2" s="298">
        <v>81</v>
      </c>
      <c r="BX2" s="298">
        <v>82</v>
      </c>
      <c r="BY2" s="298" t="e">
        <v>#N/A</v>
      </c>
      <c r="BZ2" s="298">
        <v>84</v>
      </c>
      <c r="CA2" s="298">
        <v>85</v>
      </c>
      <c r="CB2" s="298">
        <v>86</v>
      </c>
      <c r="CC2" s="298">
        <v>87</v>
      </c>
      <c r="CD2" s="298" t="e">
        <v>#N/A</v>
      </c>
      <c r="CE2" s="298" t="e">
        <v>#N/A</v>
      </c>
      <c r="CF2" s="298">
        <v>25</v>
      </c>
      <c r="CG2" s="298" t="e">
        <v>#N/A</v>
      </c>
      <c r="CH2" s="298">
        <v>90</v>
      </c>
      <c r="CI2" s="298">
        <v>91</v>
      </c>
      <c r="CJ2" s="298" t="e">
        <v>#N/A</v>
      </c>
      <c r="CK2">
        <v>89</v>
      </c>
      <c r="CL2">
        <v>90</v>
      </c>
      <c r="CM2">
        <v>91</v>
      </c>
      <c r="CN2">
        <v>92</v>
      </c>
      <c r="CO2">
        <v>93</v>
      </c>
    </row>
    <row r="3" spans="1:93" ht="39.6">
      <c r="A3" s="216" t="s">
        <v>1370</v>
      </c>
      <c r="B3" s="217" t="s">
        <v>882</v>
      </c>
      <c r="C3" s="264" t="s">
        <v>881</v>
      </c>
      <c r="D3" s="218" t="s">
        <v>877</v>
      </c>
      <c r="E3" s="217" t="s">
        <v>1371</v>
      </c>
      <c r="F3" s="219" t="s">
        <v>495</v>
      </c>
      <c r="G3" s="219" t="s">
        <v>498</v>
      </c>
      <c r="H3" s="219" t="s">
        <v>501</v>
      </c>
      <c r="I3" s="219" t="s">
        <v>504</v>
      </c>
      <c r="J3" s="219" t="s">
        <v>507</v>
      </c>
      <c r="K3" s="219" t="s">
        <v>510</v>
      </c>
      <c r="L3" s="219" t="s">
        <v>513</v>
      </c>
      <c r="M3" s="219" t="s">
        <v>516</v>
      </c>
      <c r="N3" s="219" t="s">
        <v>519</v>
      </c>
      <c r="O3" s="219" t="s">
        <v>522</v>
      </c>
      <c r="P3" s="219" t="s">
        <v>525</v>
      </c>
      <c r="Q3" s="219" t="s">
        <v>528</v>
      </c>
      <c r="R3" s="219" t="s">
        <v>531</v>
      </c>
      <c r="S3" s="219" t="s">
        <v>534</v>
      </c>
      <c r="T3" s="219" t="s">
        <v>537</v>
      </c>
      <c r="U3" s="219" t="s">
        <v>539</v>
      </c>
      <c r="V3" s="219" t="s">
        <v>542</v>
      </c>
      <c r="W3" s="219" t="s">
        <v>544</v>
      </c>
      <c r="X3" s="219" t="s">
        <v>546</v>
      </c>
      <c r="Y3" s="219" t="s">
        <v>430</v>
      </c>
      <c r="Z3" s="219" t="s">
        <v>552</v>
      </c>
      <c r="AA3" s="219" t="s">
        <v>555</v>
      </c>
      <c r="AB3" s="219" t="s">
        <v>558</v>
      </c>
      <c r="AC3" s="219" t="s">
        <v>561</v>
      </c>
      <c r="AD3" s="219" t="s">
        <v>564</v>
      </c>
      <c r="AE3" s="219" t="s">
        <v>567</v>
      </c>
      <c r="AF3" s="219" t="s">
        <v>570</v>
      </c>
      <c r="AG3" s="219" t="s">
        <v>573</v>
      </c>
      <c r="AH3" s="219" t="s">
        <v>576</v>
      </c>
      <c r="AI3" s="219" t="s">
        <v>579</v>
      </c>
      <c r="AJ3" s="219" t="s">
        <v>582</v>
      </c>
      <c r="AK3" s="219" t="s">
        <v>585</v>
      </c>
      <c r="AL3" s="219" t="s">
        <v>588</v>
      </c>
      <c r="AM3" s="219" t="s">
        <v>591</v>
      </c>
      <c r="AN3" s="219" t="s">
        <v>594</v>
      </c>
      <c r="AO3" s="219" t="s">
        <v>597</v>
      </c>
      <c r="AP3" s="219" t="s">
        <v>600</v>
      </c>
      <c r="AQ3" s="219" t="s">
        <v>603</v>
      </c>
      <c r="AR3" s="219" t="s">
        <v>606</v>
      </c>
      <c r="AS3" s="219" t="s">
        <v>609</v>
      </c>
      <c r="AT3" s="219" t="s">
        <v>611</v>
      </c>
      <c r="AU3" s="219" t="s">
        <v>614</v>
      </c>
      <c r="AV3" s="219" t="s">
        <v>617</v>
      </c>
      <c r="AW3" s="219" t="s">
        <v>620</v>
      </c>
      <c r="AX3" s="219" t="s">
        <v>623</v>
      </c>
      <c r="AY3" s="219" t="s">
        <v>626</v>
      </c>
      <c r="AZ3" s="219" t="s">
        <v>629</v>
      </c>
      <c r="BA3" s="219" t="s">
        <v>632</v>
      </c>
      <c r="BB3" s="219" t="s">
        <v>635</v>
      </c>
      <c r="BC3" s="219" t="s">
        <v>638</v>
      </c>
      <c r="BD3" s="219" t="s">
        <v>641</v>
      </c>
      <c r="BE3" s="219" t="s">
        <v>883</v>
      </c>
      <c r="BF3" s="219" t="s">
        <v>884</v>
      </c>
      <c r="BG3" s="219" t="s">
        <v>1372</v>
      </c>
      <c r="BH3" s="219" t="s">
        <v>886</v>
      </c>
      <c r="BI3" s="219" t="s">
        <v>653</v>
      </c>
      <c r="BJ3" s="219" t="s">
        <v>656</v>
      </c>
      <c r="BK3" s="219" t="s">
        <v>492</v>
      </c>
      <c r="BL3" s="219" t="s">
        <v>661</v>
      </c>
      <c r="BM3" s="219" t="s">
        <v>664</v>
      </c>
      <c r="BN3" s="219" t="s">
        <v>887</v>
      </c>
      <c r="BO3" s="219" t="s">
        <v>888</v>
      </c>
      <c r="BP3" s="219" t="s">
        <v>1373</v>
      </c>
      <c r="BQ3" s="219" t="s">
        <v>890</v>
      </c>
      <c r="BR3" s="219" t="s">
        <v>672</v>
      </c>
      <c r="BS3" s="219" t="s">
        <v>674</v>
      </c>
      <c r="BT3" s="219" t="s">
        <v>676</v>
      </c>
      <c r="BU3" s="219" t="s">
        <v>894</v>
      </c>
      <c r="BV3" s="219" t="s">
        <v>682</v>
      </c>
      <c r="BW3" s="219" t="s">
        <v>685</v>
      </c>
      <c r="BX3" s="219" t="s">
        <v>688</v>
      </c>
      <c r="BY3" s="219" t="s">
        <v>895</v>
      </c>
      <c r="BZ3" s="219" t="s">
        <v>692</v>
      </c>
      <c r="CA3" s="219" t="s">
        <v>695</v>
      </c>
      <c r="CB3" s="219" t="s">
        <v>698</v>
      </c>
      <c r="CC3" s="219" t="s">
        <v>701</v>
      </c>
      <c r="CD3" s="219" t="s">
        <v>896</v>
      </c>
      <c r="CE3" s="219" t="s">
        <v>897</v>
      </c>
      <c r="CF3" s="219" t="s">
        <v>1374</v>
      </c>
      <c r="CG3" s="219" t="s">
        <v>899</v>
      </c>
      <c r="CH3" s="219" t="s">
        <v>1375</v>
      </c>
      <c r="CI3" s="219" t="s">
        <v>1376</v>
      </c>
      <c r="CJ3" s="219" t="s">
        <v>890</v>
      </c>
    </row>
    <row r="4" spans="1:93" ht="13.8">
      <c r="A4" s="252" t="s">
        <v>1377</v>
      </c>
      <c r="B4" s="288">
        <v>3373</v>
      </c>
      <c r="C4" s="288" t="s">
        <v>707</v>
      </c>
      <c r="D4" s="248" t="s">
        <v>708</v>
      </c>
      <c r="E4" s="399" t="str">
        <f t="shared" ref="E4:E35" si="0">_xlfn.CONCAT("30",IF(D4="Primary","EP",IF(D4="Nursery","EN","ES")),B4)</f>
        <v>30EP3373</v>
      </c>
      <c r="F4" s="299">
        <v>603852.09</v>
      </c>
      <c r="G4" s="299">
        <v>0</v>
      </c>
      <c r="H4" s="299">
        <v>2596.6999999999998</v>
      </c>
      <c r="I4" s="299">
        <v>0</v>
      </c>
      <c r="J4" s="299">
        <v>18850</v>
      </c>
      <c r="K4" s="299">
        <v>441</v>
      </c>
      <c r="L4" s="299">
        <v>0</v>
      </c>
      <c r="M4" s="299">
        <v>0</v>
      </c>
      <c r="N4" s="299">
        <v>15986.94</v>
      </c>
      <c r="O4" s="299">
        <v>16444.419999999998</v>
      </c>
      <c r="P4" s="299">
        <v>0</v>
      </c>
      <c r="Q4" s="299">
        <v>0</v>
      </c>
      <c r="R4" s="299">
        <v>13464</v>
      </c>
      <c r="S4" s="299">
        <v>11300.7</v>
      </c>
      <c r="T4" s="299">
        <v>0</v>
      </c>
      <c r="U4" s="299">
        <v>0</v>
      </c>
      <c r="V4" s="299">
        <v>0</v>
      </c>
      <c r="W4" s="299">
        <v>865.63</v>
      </c>
      <c r="X4" s="299">
        <v>36115</v>
      </c>
      <c r="Y4" s="299">
        <v>719916.47999999986</v>
      </c>
      <c r="Z4" s="299">
        <v>402969.59999999998</v>
      </c>
      <c r="AA4" s="299">
        <v>0</v>
      </c>
      <c r="AB4" s="299">
        <v>119830.2</v>
      </c>
      <c r="AC4" s="299">
        <v>13692.76</v>
      </c>
      <c r="AD4" s="299">
        <v>47538.98</v>
      </c>
      <c r="AE4" s="299">
        <v>25254.2</v>
      </c>
      <c r="AF4" s="299">
        <v>2976.8</v>
      </c>
      <c r="AG4" s="299">
        <v>189</v>
      </c>
      <c r="AH4" s="299">
        <v>1082.4000000000001</v>
      </c>
      <c r="AI4" s="299">
        <v>1201</v>
      </c>
      <c r="AJ4" s="299">
        <v>155</v>
      </c>
      <c r="AK4" s="299">
        <v>6624.97</v>
      </c>
      <c r="AL4" s="299">
        <v>2985</v>
      </c>
      <c r="AM4" s="299">
        <v>1241.55</v>
      </c>
      <c r="AN4" s="299">
        <v>1029.82</v>
      </c>
      <c r="AO4" s="299">
        <v>16346.77</v>
      </c>
      <c r="AP4" s="299">
        <v>2694.6</v>
      </c>
      <c r="AQ4" s="299">
        <v>4243.04</v>
      </c>
      <c r="AR4" s="299">
        <v>31341.52</v>
      </c>
      <c r="AS4" s="299">
        <v>23609.53</v>
      </c>
      <c r="AT4" s="299">
        <v>0</v>
      </c>
      <c r="AU4" s="299">
        <v>6631.57</v>
      </c>
      <c r="AV4" s="299">
        <v>2301.83</v>
      </c>
      <c r="AW4" s="299">
        <v>1207.3</v>
      </c>
      <c r="AX4" s="299">
        <v>17893.599999999999</v>
      </c>
      <c r="AY4" s="299">
        <v>0</v>
      </c>
      <c r="AZ4" s="299">
        <v>9121</v>
      </c>
      <c r="BA4" s="299">
        <v>11456.43</v>
      </c>
      <c r="BB4" s="299">
        <v>0</v>
      </c>
      <c r="BC4" s="299">
        <v>0</v>
      </c>
      <c r="BD4" s="299">
        <v>378</v>
      </c>
      <c r="BE4" s="299">
        <v>753996.47</v>
      </c>
      <c r="BF4" s="299">
        <v>-34079.990000000107</v>
      </c>
      <c r="BG4" s="299">
        <v>73237.27</v>
      </c>
      <c r="BH4" s="299">
        <v>39157.279999999897</v>
      </c>
      <c r="BI4" s="299">
        <v>0</v>
      </c>
      <c r="BJ4" s="299">
        <v>0</v>
      </c>
      <c r="BK4" s="299">
        <v>0</v>
      </c>
      <c r="BL4" s="299">
        <v>0</v>
      </c>
      <c r="BM4" s="299">
        <v>0</v>
      </c>
      <c r="BN4" s="299">
        <v>0</v>
      </c>
      <c r="BO4" s="299">
        <v>0</v>
      </c>
      <c r="BP4" s="299">
        <v>0</v>
      </c>
      <c r="BQ4" s="299">
        <v>0</v>
      </c>
      <c r="BR4" s="299">
        <v>0</v>
      </c>
      <c r="BS4" s="299">
        <v>39157.279999999897</v>
      </c>
      <c r="BT4" s="299">
        <v>0</v>
      </c>
      <c r="BU4" s="299">
        <v>39157.279999999897</v>
      </c>
      <c r="BV4" s="299">
        <v>0</v>
      </c>
      <c r="BW4" s="299">
        <v>0</v>
      </c>
      <c r="BX4" s="299">
        <v>0</v>
      </c>
      <c r="BY4" s="299">
        <v>0</v>
      </c>
      <c r="BZ4" s="299">
        <v>0</v>
      </c>
      <c r="CA4" s="299">
        <v>0</v>
      </c>
      <c r="CB4" s="299">
        <v>0</v>
      </c>
      <c r="CC4" s="299">
        <v>0</v>
      </c>
      <c r="CD4" s="299">
        <v>0</v>
      </c>
      <c r="CE4" s="299">
        <v>0</v>
      </c>
      <c r="CF4" s="299">
        <v>0</v>
      </c>
      <c r="CG4" s="299">
        <v>0</v>
      </c>
      <c r="CH4" s="299">
        <v>0</v>
      </c>
      <c r="CI4" s="299">
        <v>0</v>
      </c>
      <c r="CJ4" s="299">
        <v>0</v>
      </c>
    </row>
    <row r="5" spans="1:93" ht="13.8">
      <c r="A5" s="252" t="s">
        <v>1377</v>
      </c>
      <c r="B5" s="288">
        <v>3061</v>
      </c>
      <c r="C5" s="288" t="s">
        <v>709</v>
      </c>
      <c r="D5" s="248" t="s">
        <v>708</v>
      </c>
      <c r="E5" s="399" t="str">
        <f t="shared" si="0"/>
        <v>30EP3061</v>
      </c>
      <c r="F5" s="299">
        <v>1063512.02</v>
      </c>
      <c r="G5" s="299">
        <v>0</v>
      </c>
      <c r="H5" s="299">
        <v>109905</v>
      </c>
      <c r="I5" s="299">
        <v>0</v>
      </c>
      <c r="J5" s="299">
        <v>54790</v>
      </c>
      <c r="K5" s="299">
        <v>3346.64</v>
      </c>
      <c r="L5" s="299">
        <v>0</v>
      </c>
      <c r="M5" s="299">
        <v>0</v>
      </c>
      <c r="N5" s="299">
        <v>86321.23</v>
      </c>
      <c r="O5" s="299">
        <v>22611.19</v>
      </c>
      <c r="P5" s="299">
        <v>3910</v>
      </c>
      <c r="Q5" s="299">
        <v>1035.32</v>
      </c>
      <c r="R5" s="299">
        <v>37929</v>
      </c>
      <c r="S5" s="299">
        <v>15125.92</v>
      </c>
      <c r="T5" s="299">
        <v>0</v>
      </c>
      <c r="U5" s="299">
        <v>0</v>
      </c>
      <c r="V5" s="299">
        <v>0</v>
      </c>
      <c r="W5" s="299">
        <v>2216.88</v>
      </c>
      <c r="X5" s="299">
        <v>49785</v>
      </c>
      <c r="Y5" s="299">
        <v>1450488.1999999997</v>
      </c>
      <c r="Z5" s="299">
        <v>614390.9</v>
      </c>
      <c r="AA5" s="299">
        <v>3332.74</v>
      </c>
      <c r="AB5" s="299">
        <v>356395.77</v>
      </c>
      <c r="AC5" s="299">
        <v>36451.22</v>
      </c>
      <c r="AD5" s="299">
        <v>71351.149999999994</v>
      </c>
      <c r="AE5" s="299">
        <v>0</v>
      </c>
      <c r="AF5" s="299">
        <v>60094.89</v>
      </c>
      <c r="AG5" s="299">
        <v>8870.3700000000008</v>
      </c>
      <c r="AH5" s="299">
        <v>3961</v>
      </c>
      <c r="AI5" s="299">
        <v>5050</v>
      </c>
      <c r="AJ5" s="299">
        <v>1581.25</v>
      </c>
      <c r="AK5" s="299">
        <v>16957.77</v>
      </c>
      <c r="AL5" s="299">
        <v>2890.78</v>
      </c>
      <c r="AM5" s="299">
        <v>3364.69</v>
      </c>
      <c r="AN5" s="299">
        <v>2511.7800000000002</v>
      </c>
      <c r="AO5" s="299">
        <v>24394.48</v>
      </c>
      <c r="AP5" s="299">
        <v>28392</v>
      </c>
      <c r="AQ5" s="299">
        <v>4807.47</v>
      </c>
      <c r="AR5" s="299">
        <v>56529.65</v>
      </c>
      <c r="AS5" s="299">
        <v>22259.72</v>
      </c>
      <c r="AT5" s="299">
        <v>0</v>
      </c>
      <c r="AU5" s="299">
        <v>8114.74</v>
      </c>
      <c r="AV5" s="299">
        <v>4311.1099999999997</v>
      </c>
      <c r="AW5" s="299">
        <v>12926.26</v>
      </c>
      <c r="AX5" s="299">
        <v>61285.02</v>
      </c>
      <c r="AY5" s="299">
        <v>7595</v>
      </c>
      <c r="AZ5" s="299">
        <v>7742.5</v>
      </c>
      <c r="BA5" s="299">
        <v>9566.65</v>
      </c>
      <c r="BB5" s="299">
        <v>0</v>
      </c>
      <c r="BC5" s="299">
        <v>0</v>
      </c>
      <c r="BD5" s="299">
        <v>0</v>
      </c>
      <c r="BE5" s="299">
        <v>1435128.91</v>
      </c>
      <c r="BF5" s="299">
        <v>15359.289999999804</v>
      </c>
      <c r="BG5" s="299">
        <v>45725.23</v>
      </c>
      <c r="BH5" s="299">
        <v>61084.519999999808</v>
      </c>
      <c r="BI5" s="299">
        <v>0</v>
      </c>
      <c r="BJ5" s="299">
        <v>0</v>
      </c>
      <c r="BK5" s="299">
        <v>0</v>
      </c>
      <c r="BL5" s="299">
        <v>0</v>
      </c>
      <c r="BM5" s="299">
        <v>0</v>
      </c>
      <c r="BN5" s="299">
        <v>0</v>
      </c>
      <c r="BO5" s="299">
        <v>0</v>
      </c>
      <c r="BP5" s="299">
        <v>0</v>
      </c>
      <c r="BQ5" s="299">
        <v>0</v>
      </c>
      <c r="BR5" s="299">
        <v>9529.15</v>
      </c>
      <c r="BS5" s="299">
        <v>51555.370000000039</v>
      </c>
      <c r="BT5" s="299">
        <v>0</v>
      </c>
      <c r="BU5" s="299">
        <v>61084.52000000004</v>
      </c>
      <c r="BV5" s="299">
        <v>6295</v>
      </c>
      <c r="BW5" s="299">
        <v>0</v>
      </c>
      <c r="BX5" s="299">
        <v>0</v>
      </c>
      <c r="BY5" s="299">
        <v>6295</v>
      </c>
      <c r="BZ5" s="299">
        <v>0</v>
      </c>
      <c r="CA5" s="299">
        <v>6324.74</v>
      </c>
      <c r="CB5" s="299">
        <v>0</v>
      </c>
      <c r="CC5" s="299">
        <v>6480.41</v>
      </c>
      <c r="CD5" s="299">
        <v>12805.15</v>
      </c>
      <c r="CE5" s="299">
        <v>-6510.15</v>
      </c>
      <c r="CF5" s="299">
        <v>8350.6200000000008</v>
      </c>
      <c r="CG5" s="299">
        <v>1840.4700000000012</v>
      </c>
      <c r="CH5" s="299">
        <v>1840.4700000000012</v>
      </c>
      <c r="CI5" s="299">
        <v>0</v>
      </c>
      <c r="CJ5" s="299">
        <v>1840.4700000000012</v>
      </c>
    </row>
    <row r="6" spans="1:93" ht="13.8">
      <c r="A6" s="252" t="s">
        <v>1377</v>
      </c>
      <c r="B6" s="288">
        <v>2083</v>
      </c>
      <c r="C6" s="288" t="s">
        <v>710</v>
      </c>
      <c r="D6" s="248" t="s">
        <v>708</v>
      </c>
      <c r="E6" s="399" t="str">
        <f t="shared" si="0"/>
        <v>30EP2083</v>
      </c>
      <c r="F6" s="299">
        <v>709430.33</v>
      </c>
      <c r="G6" s="299">
        <v>0</v>
      </c>
      <c r="H6" s="299">
        <v>50100.1</v>
      </c>
      <c r="I6" s="299">
        <v>0</v>
      </c>
      <c r="J6" s="299">
        <v>48854</v>
      </c>
      <c r="K6" s="299">
        <v>0</v>
      </c>
      <c r="L6" s="299">
        <v>10000</v>
      </c>
      <c r="M6" s="299">
        <v>0</v>
      </c>
      <c r="N6" s="299">
        <v>1229.81</v>
      </c>
      <c r="O6" s="299">
        <v>4038.9</v>
      </c>
      <c r="P6" s="299">
        <v>2250</v>
      </c>
      <c r="Q6" s="299">
        <v>0</v>
      </c>
      <c r="R6" s="299">
        <v>6963.84</v>
      </c>
      <c r="S6" s="299">
        <v>7725.92</v>
      </c>
      <c r="T6" s="299">
        <v>0</v>
      </c>
      <c r="U6" s="299">
        <v>0</v>
      </c>
      <c r="V6" s="299">
        <v>0</v>
      </c>
      <c r="W6" s="299">
        <v>300</v>
      </c>
      <c r="X6" s="299">
        <v>34072</v>
      </c>
      <c r="Y6" s="299">
        <v>874964.9</v>
      </c>
      <c r="Z6" s="299">
        <v>349342.35</v>
      </c>
      <c r="AA6" s="299">
        <v>30717.8</v>
      </c>
      <c r="AB6" s="299">
        <v>229075.64</v>
      </c>
      <c r="AC6" s="299">
        <v>30922.62</v>
      </c>
      <c r="AD6" s="299">
        <v>41640.89</v>
      </c>
      <c r="AE6" s="299">
        <v>22123.33</v>
      </c>
      <c r="AF6" s="299">
        <v>4900.6499999999996</v>
      </c>
      <c r="AG6" s="299">
        <v>3506.14</v>
      </c>
      <c r="AH6" s="299">
        <v>6168.52</v>
      </c>
      <c r="AI6" s="299">
        <v>2675</v>
      </c>
      <c r="AJ6" s="299">
        <v>168.88</v>
      </c>
      <c r="AK6" s="299">
        <v>2510.9699999999998</v>
      </c>
      <c r="AL6" s="299">
        <v>510.5</v>
      </c>
      <c r="AM6" s="299">
        <v>2486.3200000000002</v>
      </c>
      <c r="AN6" s="299">
        <v>2671.44</v>
      </c>
      <c r="AO6" s="299">
        <v>21952.69</v>
      </c>
      <c r="AP6" s="299">
        <v>13597.75</v>
      </c>
      <c r="AQ6" s="299">
        <v>2076.04</v>
      </c>
      <c r="AR6" s="299">
        <v>20458.62</v>
      </c>
      <c r="AS6" s="299">
        <v>17187.77</v>
      </c>
      <c r="AT6" s="299">
        <v>0</v>
      </c>
      <c r="AU6" s="299">
        <v>7009.99</v>
      </c>
      <c r="AV6" s="299">
        <v>2337.83</v>
      </c>
      <c r="AW6" s="299">
        <v>0</v>
      </c>
      <c r="AX6" s="299">
        <v>11035.56</v>
      </c>
      <c r="AY6" s="299">
        <v>1980</v>
      </c>
      <c r="AZ6" s="299">
        <v>1239.08</v>
      </c>
      <c r="BA6" s="299">
        <v>25624.39</v>
      </c>
      <c r="BB6" s="299">
        <v>0</v>
      </c>
      <c r="BC6" s="299">
        <v>0</v>
      </c>
      <c r="BD6" s="299">
        <v>0</v>
      </c>
      <c r="BE6" s="299">
        <v>853920.7699999999</v>
      </c>
      <c r="BF6" s="299">
        <v>21044.130000000121</v>
      </c>
      <c r="BG6" s="299">
        <v>99583.98</v>
      </c>
      <c r="BH6" s="299">
        <v>120628.11000000012</v>
      </c>
      <c r="BI6" s="299">
        <v>0</v>
      </c>
      <c r="BJ6" s="299">
        <v>0</v>
      </c>
      <c r="BK6" s="299">
        <v>0</v>
      </c>
      <c r="BL6" s="299">
        <v>0</v>
      </c>
      <c r="BM6" s="299">
        <v>0</v>
      </c>
      <c r="BN6" s="299">
        <v>0</v>
      </c>
      <c r="BO6" s="299">
        <v>0</v>
      </c>
      <c r="BP6" s="299">
        <v>0</v>
      </c>
      <c r="BQ6" s="299">
        <v>0</v>
      </c>
      <c r="BR6" s="299">
        <v>22109.82</v>
      </c>
      <c r="BS6" s="299">
        <v>98518.290000000125</v>
      </c>
      <c r="BT6" s="299">
        <v>0</v>
      </c>
      <c r="BU6" s="299">
        <v>120628.11000000013</v>
      </c>
      <c r="BV6" s="299">
        <v>5125</v>
      </c>
      <c r="BW6" s="299">
        <v>0</v>
      </c>
      <c r="BX6" s="299">
        <v>0</v>
      </c>
      <c r="BY6" s="299">
        <v>5125</v>
      </c>
      <c r="BZ6" s="299">
        <v>0</v>
      </c>
      <c r="CA6" s="299">
        <v>2679</v>
      </c>
      <c r="CB6" s="299">
        <v>0</v>
      </c>
      <c r="CC6" s="299">
        <v>0</v>
      </c>
      <c r="CD6" s="299">
        <v>2679</v>
      </c>
      <c r="CE6" s="299">
        <v>2446</v>
      </c>
      <c r="CF6" s="299">
        <v>11051.98</v>
      </c>
      <c r="CG6" s="299">
        <v>13497.98</v>
      </c>
      <c r="CH6" s="299">
        <v>13497.98</v>
      </c>
      <c r="CI6" s="299">
        <v>0</v>
      </c>
      <c r="CJ6" s="299">
        <v>13497.98</v>
      </c>
    </row>
    <row r="7" spans="1:93" ht="13.8">
      <c r="A7" s="252" t="s">
        <v>1377</v>
      </c>
      <c r="B7" s="288">
        <v>2118</v>
      </c>
      <c r="C7" s="288" t="s">
        <v>711</v>
      </c>
      <c r="D7" s="248" t="s">
        <v>708</v>
      </c>
      <c r="E7" s="399" t="str">
        <f t="shared" si="0"/>
        <v>30EP2118</v>
      </c>
      <c r="F7" s="299">
        <v>2073179.55</v>
      </c>
      <c r="G7" s="299">
        <v>0</v>
      </c>
      <c r="H7" s="299">
        <v>66902.64</v>
      </c>
      <c r="I7" s="299">
        <v>0</v>
      </c>
      <c r="J7" s="299">
        <v>219690</v>
      </c>
      <c r="K7" s="299">
        <v>1242.93</v>
      </c>
      <c r="L7" s="299">
        <v>0</v>
      </c>
      <c r="M7" s="299">
        <v>0</v>
      </c>
      <c r="N7" s="299">
        <v>104747.93</v>
      </c>
      <c r="O7" s="299">
        <v>39621.33</v>
      </c>
      <c r="P7" s="299">
        <v>2526</v>
      </c>
      <c r="Q7" s="299">
        <v>1176.76</v>
      </c>
      <c r="R7" s="299">
        <v>8814</v>
      </c>
      <c r="S7" s="299">
        <v>19483.61</v>
      </c>
      <c r="T7" s="299">
        <v>0</v>
      </c>
      <c r="U7" s="299">
        <v>0</v>
      </c>
      <c r="V7" s="299">
        <v>0</v>
      </c>
      <c r="W7" s="299">
        <v>1564.88</v>
      </c>
      <c r="X7" s="299">
        <v>52511</v>
      </c>
      <c r="Y7" s="299">
        <v>2591460.63</v>
      </c>
      <c r="Z7" s="299">
        <v>1392236.04</v>
      </c>
      <c r="AA7" s="299">
        <v>17886.439999999999</v>
      </c>
      <c r="AB7" s="299">
        <v>376862.66</v>
      </c>
      <c r="AC7" s="299">
        <v>0</v>
      </c>
      <c r="AD7" s="299">
        <v>98922.22</v>
      </c>
      <c r="AE7" s="299">
        <v>0</v>
      </c>
      <c r="AF7" s="299">
        <v>61870.71</v>
      </c>
      <c r="AG7" s="299">
        <v>8420.81</v>
      </c>
      <c r="AH7" s="299">
        <v>3077.48</v>
      </c>
      <c r="AI7" s="299">
        <v>9400</v>
      </c>
      <c r="AJ7" s="299">
        <v>1732.5</v>
      </c>
      <c r="AK7" s="299">
        <v>5910.09</v>
      </c>
      <c r="AL7" s="299">
        <v>8483.86</v>
      </c>
      <c r="AM7" s="299">
        <v>45594.39</v>
      </c>
      <c r="AN7" s="299">
        <v>10219.530000000001</v>
      </c>
      <c r="AO7" s="299">
        <v>39284.75</v>
      </c>
      <c r="AP7" s="299">
        <v>42588</v>
      </c>
      <c r="AQ7" s="299">
        <v>7336.4</v>
      </c>
      <c r="AR7" s="299">
        <v>62870.82</v>
      </c>
      <c r="AS7" s="299">
        <v>28300.82</v>
      </c>
      <c r="AT7" s="299">
        <v>0</v>
      </c>
      <c r="AU7" s="299">
        <v>12980.95</v>
      </c>
      <c r="AV7" s="299">
        <v>7200.77</v>
      </c>
      <c r="AW7" s="299">
        <v>3319.03</v>
      </c>
      <c r="AX7" s="299">
        <v>128741.82</v>
      </c>
      <c r="AY7" s="299">
        <v>7050.38</v>
      </c>
      <c r="AZ7" s="299">
        <v>116282.32</v>
      </c>
      <c r="BA7" s="299">
        <v>28416.57</v>
      </c>
      <c r="BB7" s="299">
        <v>0</v>
      </c>
      <c r="BC7" s="299">
        <v>0</v>
      </c>
      <c r="BD7" s="299">
        <v>0</v>
      </c>
      <c r="BE7" s="299">
        <v>2524989.3599999989</v>
      </c>
      <c r="BF7" s="299">
        <v>66471.27000000095</v>
      </c>
      <c r="BG7" s="299">
        <v>233341.58</v>
      </c>
      <c r="BH7" s="299">
        <v>299812.85000000091</v>
      </c>
      <c r="BI7" s="299">
        <v>0</v>
      </c>
      <c r="BJ7" s="299">
        <v>0</v>
      </c>
      <c r="BK7" s="299">
        <v>0</v>
      </c>
      <c r="BL7" s="299">
        <v>0</v>
      </c>
      <c r="BM7" s="299">
        <v>0</v>
      </c>
      <c r="BN7" s="299">
        <v>0</v>
      </c>
      <c r="BO7" s="299">
        <v>0</v>
      </c>
      <c r="BP7" s="299">
        <v>0</v>
      </c>
      <c r="BQ7" s="299">
        <v>0</v>
      </c>
      <c r="BR7" s="299">
        <v>0</v>
      </c>
      <c r="BS7" s="299">
        <v>299812.85000000091</v>
      </c>
      <c r="BT7" s="299">
        <v>0</v>
      </c>
      <c r="BU7" s="299">
        <v>299812.85000000091</v>
      </c>
      <c r="BV7" s="299">
        <v>8173.75</v>
      </c>
      <c r="BW7" s="299">
        <v>0</v>
      </c>
      <c r="BX7" s="299">
        <v>0</v>
      </c>
      <c r="BY7" s="299">
        <v>8173.75</v>
      </c>
      <c r="BZ7" s="299">
        <v>0</v>
      </c>
      <c r="CA7" s="299">
        <v>0</v>
      </c>
      <c r="CB7" s="299">
        <v>0</v>
      </c>
      <c r="CC7" s="299">
        <v>24245.200000000001</v>
      </c>
      <c r="CD7" s="299">
        <v>24245.200000000001</v>
      </c>
      <c r="CE7" s="299">
        <v>-16071.45</v>
      </c>
      <c r="CF7" s="299">
        <v>16154.58</v>
      </c>
      <c r="CG7" s="299">
        <v>83.1299999999992</v>
      </c>
      <c r="CH7" s="299">
        <v>83.1299999999992</v>
      </c>
      <c r="CI7" s="299">
        <v>0</v>
      </c>
      <c r="CJ7" s="299">
        <v>83.1299999999992</v>
      </c>
    </row>
    <row r="8" spans="1:93" ht="13.8">
      <c r="A8" s="252" t="s">
        <v>1377</v>
      </c>
      <c r="B8" s="288">
        <v>2217</v>
      </c>
      <c r="C8" s="288" t="s">
        <v>712</v>
      </c>
      <c r="D8" s="248" t="s">
        <v>708</v>
      </c>
      <c r="E8" s="399" t="str">
        <f t="shared" si="0"/>
        <v>30EP2217</v>
      </c>
      <c r="F8" s="299">
        <v>836915.65</v>
      </c>
      <c r="G8" s="299">
        <v>0</v>
      </c>
      <c r="H8" s="299">
        <v>121539.37</v>
      </c>
      <c r="I8" s="299">
        <v>0</v>
      </c>
      <c r="J8" s="299">
        <v>58810</v>
      </c>
      <c r="K8" s="299">
        <v>0</v>
      </c>
      <c r="L8" s="299">
        <v>0</v>
      </c>
      <c r="M8" s="299">
        <v>1246.3800000000001</v>
      </c>
      <c r="N8" s="299">
        <v>11235.01</v>
      </c>
      <c r="O8" s="299">
        <v>7421.18</v>
      </c>
      <c r="P8" s="299">
        <v>1679.6</v>
      </c>
      <c r="Q8" s="299">
        <v>0</v>
      </c>
      <c r="R8" s="299">
        <v>5297.02</v>
      </c>
      <c r="S8" s="299">
        <v>6645.84</v>
      </c>
      <c r="T8" s="299">
        <v>0</v>
      </c>
      <c r="U8" s="299">
        <v>0</v>
      </c>
      <c r="V8" s="299">
        <v>0</v>
      </c>
      <c r="W8" s="299">
        <v>1976.25</v>
      </c>
      <c r="X8" s="299">
        <v>34711</v>
      </c>
      <c r="Y8" s="299">
        <v>1087477.3</v>
      </c>
      <c r="Z8" s="299">
        <v>494672.93</v>
      </c>
      <c r="AA8" s="299">
        <v>1702</v>
      </c>
      <c r="AB8" s="299">
        <v>265051.63</v>
      </c>
      <c r="AC8" s="299">
        <v>25148.16</v>
      </c>
      <c r="AD8" s="299">
        <v>66477.45</v>
      </c>
      <c r="AE8" s="299">
        <v>0</v>
      </c>
      <c r="AF8" s="299">
        <v>7743.39</v>
      </c>
      <c r="AG8" s="299">
        <v>4201.6000000000004</v>
      </c>
      <c r="AH8" s="299">
        <v>3999.84</v>
      </c>
      <c r="AI8" s="299">
        <v>3175</v>
      </c>
      <c r="AJ8" s="299">
        <v>0</v>
      </c>
      <c r="AK8" s="299">
        <v>4297.66</v>
      </c>
      <c r="AL8" s="299">
        <v>4733.33</v>
      </c>
      <c r="AM8" s="299">
        <v>2827.99</v>
      </c>
      <c r="AN8" s="299">
        <v>386.42</v>
      </c>
      <c r="AO8" s="299">
        <v>17416.57</v>
      </c>
      <c r="AP8" s="299">
        <v>24950</v>
      </c>
      <c r="AQ8" s="299">
        <v>2962.79</v>
      </c>
      <c r="AR8" s="299">
        <v>14822.62</v>
      </c>
      <c r="AS8" s="299">
        <v>26448.57</v>
      </c>
      <c r="AT8" s="299">
        <v>0</v>
      </c>
      <c r="AU8" s="299">
        <v>8705.81</v>
      </c>
      <c r="AV8" s="299">
        <v>3004.39</v>
      </c>
      <c r="AW8" s="299">
        <v>5213.08</v>
      </c>
      <c r="AX8" s="299">
        <v>37045.53</v>
      </c>
      <c r="AY8" s="299">
        <v>0</v>
      </c>
      <c r="AZ8" s="299">
        <v>7171.07</v>
      </c>
      <c r="BA8" s="299">
        <v>7840.35</v>
      </c>
      <c r="BB8" s="299">
        <v>0</v>
      </c>
      <c r="BC8" s="299">
        <v>0</v>
      </c>
      <c r="BD8" s="299">
        <v>3017.4</v>
      </c>
      <c r="BE8" s="299">
        <v>1043015.58</v>
      </c>
      <c r="BF8" s="299">
        <v>44461.720000000088</v>
      </c>
      <c r="BG8" s="299">
        <v>-54437.21</v>
      </c>
      <c r="BH8" s="299">
        <v>-9975.4899999999107</v>
      </c>
      <c r="BI8" s="299">
        <v>0</v>
      </c>
      <c r="BJ8" s="299">
        <v>1209.52</v>
      </c>
      <c r="BK8" s="299">
        <v>1209.52</v>
      </c>
      <c r="BL8" s="299">
        <v>0</v>
      </c>
      <c r="BM8" s="299">
        <v>1000</v>
      </c>
      <c r="BN8" s="299">
        <v>1000</v>
      </c>
      <c r="BO8" s="299">
        <v>209.51999999999998</v>
      </c>
      <c r="BP8" s="299">
        <v>6121.18</v>
      </c>
      <c r="BQ8" s="299">
        <v>6330.7000000000007</v>
      </c>
      <c r="BR8" s="299">
        <v>2542</v>
      </c>
      <c r="BS8" s="299">
        <v>-12517.490000000027</v>
      </c>
      <c r="BT8" s="299">
        <v>6330.7000000000007</v>
      </c>
      <c r="BU8" s="299">
        <v>-3644.7900000000263</v>
      </c>
      <c r="BV8" s="299">
        <v>5372.5</v>
      </c>
      <c r="BW8" s="299">
        <v>0</v>
      </c>
      <c r="BX8" s="299">
        <v>0</v>
      </c>
      <c r="BY8" s="299">
        <v>5372.5</v>
      </c>
      <c r="BZ8" s="299">
        <v>0</v>
      </c>
      <c r="CA8" s="299">
        <v>6276.4</v>
      </c>
      <c r="CB8" s="299">
        <v>0</v>
      </c>
      <c r="CC8" s="299">
        <v>1595</v>
      </c>
      <c r="CD8" s="299">
        <v>7871.4</v>
      </c>
      <c r="CE8" s="299">
        <v>-2498.8999999999996</v>
      </c>
      <c r="CF8" s="299">
        <v>18502.66</v>
      </c>
      <c r="CG8" s="299">
        <v>16003.76</v>
      </c>
      <c r="CH8" s="299">
        <v>15166.81</v>
      </c>
      <c r="CI8" s="299">
        <v>836.95</v>
      </c>
      <c r="CJ8" s="299">
        <v>16003.76</v>
      </c>
    </row>
    <row r="9" spans="1:93" ht="13.8">
      <c r="A9" s="252" t="s">
        <v>1377</v>
      </c>
      <c r="B9" s="288">
        <v>3067</v>
      </c>
      <c r="C9" s="288" t="s">
        <v>713</v>
      </c>
      <c r="D9" s="248" t="s">
        <v>708</v>
      </c>
      <c r="E9" s="399" t="str">
        <f t="shared" si="0"/>
        <v>30EP3067</v>
      </c>
      <c r="F9" s="299">
        <v>762947.9</v>
      </c>
      <c r="G9" s="299">
        <v>0</v>
      </c>
      <c r="H9" s="299">
        <v>12672.46</v>
      </c>
      <c r="I9" s="299">
        <v>0</v>
      </c>
      <c r="J9" s="299">
        <v>24380</v>
      </c>
      <c r="K9" s="299">
        <v>3752.93</v>
      </c>
      <c r="L9" s="299">
        <v>0</v>
      </c>
      <c r="M9" s="299">
        <v>2720</v>
      </c>
      <c r="N9" s="299">
        <v>6241.47</v>
      </c>
      <c r="O9" s="299">
        <v>33709.65</v>
      </c>
      <c r="P9" s="299">
        <v>0</v>
      </c>
      <c r="Q9" s="299">
        <v>249.89</v>
      </c>
      <c r="R9" s="299">
        <v>13224.63</v>
      </c>
      <c r="S9" s="299">
        <v>12379.72</v>
      </c>
      <c r="T9" s="299">
        <v>0</v>
      </c>
      <c r="U9" s="299">
        <v>0</v>
      </c>
      <c r="V9" s="299">
        <v>0</v>
      </c>
      <c r="W9" s="299">
        <v>-7.5</v>
      </c>
      <c r="X9" s="299">
        <v>42818</v>
      </c>
      <c r="Y9" s="299">
        <v>915089.15</v>
      </c>
      <c r="Z9" s="299">
        <v>466943.88</v>
      </c>
      <c r="AA9" s="299">
        <v>10502.85</v>
      </c>
      <c r="AB9" s="299">
        <v>134718.15</v>
      </c>
      <c r="AC9" s="299">
        <v>8911.89</v>
      </c>
      <c r="AD9" s="299">
        <v>57019.18</v>
      </c>
      <c r="AE9" s="299">
        <v>42288.46</v>
      </c>
      <c r="AF9" s="299">
        <v>14425.07</v>
      </c>
      <c r="AG9" s="299">
        <v>3371.9</v>
      </c>
      <c r="AH9" s="299">
        <v>2832.9</v>
      </c>
      <c r="AI9" s="299">
        <v>3500</v>
      </c>
      <c r="AJ9" s="299">
        <v>1056.3800000000001</v>
      </c>
      <c r="AK9" s="299">
        <v>12899.82</v>
      </c>
      <c r="AL9" s="299">
        <v>2580</v>
      </c>
      <c r="AM9" s="299">
        <v>11277.52</v>
      </c>
      <c r="AN9" s="299">
        <v>2111.2199999999998</v>
      </c>
      <c r="AO9" s="299">
        <v>11318.9</v>
      </c>
      <c r="AP9" s="299">
        <v>15718.5</v>
      </c>
      <c r="AQ9" s="299">
        <v>7559.32</v>
      </c>
      <c r="AR9" s="299">
        <v>42516.13</v>
      </c>
      <c r="AS9" s="299">
        <v>28673.85</v>
      </c>
      <c r="AT9" s="299">
        <v>0</v>
      </c>
      <c r="AU9" s="299">
        <v>4922.6499999999996</v>
      </c>
      <c r="AV9" s="299">
        <v>3105.24</v>
      </c>
      <c r="AW9" s="299">
        <v>1044.1199999999999</v>
      </c>
      <c r="AX9" s="299">
        <v>33999.9</v>
      </c>
      <c r="AY9" s="299">
        <v>0</v>
      </c>
      <c r="AZ9" s="299">
        <v>0</v>
      </c>
      <c r="BA9" s="299">
        <v>11162.23</v>
      </c>
      <c r="BB9" s="299">
        <v>0</v>
      </c>
      <c r="BC9" s="299">
        <v>0</v>
      </c>
      <c r="BD9" s="299">
        <v>0</v>
      </c>
      <c r="BE9" s="299">
        <v>934460.05999999994</v>
      </c>
      <c r="BF9" s="299">
        <v>-19370.909999999916</v>
      </c>
      <c r="BG9" s="299">
        <v>144502.34</v>
      </c>
      <c r="BH9" s="299">
        <v>125131.43000000008</v>
      </c>
      <c r="BI9" s="299">
        <v>0</v>
      </c>
      <c r="BJ9" s="299">
        <v>0</v>
      </c>
      <c r="BK9" s="299">
        <v>0</v>
      </c>
      <c r="BL9" s="299">
        <v>0</v>
      </c>
      <c r="BM9" s="299">
        <v>0</v>
      </c>
      <c r="BN9" s="299">
        <v>0</v>
      </c>
      <c r="BO9" s="299">
        <v>0</v>
      </c>
      <c r="BP9" s="299">
        <v>0</v>
      </c>
      <c r="BQ9" s="299">
        <v>0</v>
      </c>
      <c r="BR9" s="299">
        <v>12475</v>
      </c>
      <c r="BS9" s="299">
        <v>112656.43000000008</v>
      </c>
      <c r="BT9" s="299">
        <v>0</v>
      </c>
      <c r="BU9" s="299">
        <v>125131.43000000008</v>
      </c>
      <c r="BV9" s="299">
        <v>5676.25</v>
      </c>
      <c r="BW9" s="299">
        <v>8820</v>
      </c>
      <c r="BX9" s="299">
        <v>0</v>
      </c>
      <c r="BY9" s="299">
        <v>14496.25</v>
      </c>
      <c r="BZ9" s="299">
        <v>0</v>
      </c>
      <c r="CA9" s="299">
        <v>7918.19</v>
      </c>
      <c r="CB9" s="299">
        <v>0</v>
      </c>
      <c r="CC9" s="299">
        <v>8820</v>
      </c>
      <c r="CD9" s="299">
        <v>16738.189999999999</v>
      </c>
      <c r="CE9" s="299">
        <v>-2241.9399999999987</v>
      </c>
      <c r="CF9" s="299">
        <v>2293.61</v>
      </c>
      <c r="CG9" s="299">
        <v>51.670000000001437</v>
      </c>
      <c r="CH9" s="299">
        <v>51.670000000000528</v>
      </c>
      <c r="CI9" s="299">
        <v>0</v>
      </c>
      <c r="CJ9" s="299">
        <v>51.670000000000528</v>
      </c>
    </row>
    <row r="10" spans="1:93" ht="13.8">
      <c r="A10" s="252" t="s">
        <v>1377</v>
      </c>
      <c r="B10" s="289">
        <v>3001</v>
      </c>
      <c r="C10" s="289" t="s">
        <v>714</v>
      </c>
      <c r="D10" s="248" t="s">
        <v>708</v>
      </c>
      <c r="E10" s="399" t="str">
        <f t="shared" si="0"/>
        <v>30EP3001</v>
      </c>
      <c r="F10" s="299">
        <v>822046.51</v>
      </c>
      <c r="G10" s="299">
        <v>0</v>
      </c>
      <c r="H10" s="299">
        <v>64742.31</v>
      </c>
      <c r="I10" s="299">
        <v>0</v>
      </c>
      <c r="J10" s="299">
        <v>23680</v>
      </c>
      <c r="K10" s="299">
        <v>3600</v>
      </c>
      <c r="L10" s="299">
        <v>0</v>
      </c>
      <c r="M10" s="299">
        <v>0</v>
      </c>
      <c r="N10" s="299">
        <v>49796.41</v>
      </c>
      <c r="O10" s="299">
        <v>24159.919999999998</v>
      </c>
      <c r="P10" s="299">
        <v>792</v>
      </c>
      <c r="Q10" s="299">
        <v>0</v>
      </c>
      <c r="R10" s="299">
        <v>9341</v>
      </c>
      <c r="S10" s="299">
        <v>14159.42</v>
      </c>
      <c r="T10" s="299">
        <v>0</v>
      </c>
      <c r="U10" s="299">
        <v>0</v>
      </c>
      <c r="V10" s="299">
        <v>0</v>
      </c>
      <c r="W10" s="299">
        <v>120.81</v>
      </c>
      <c r="X10" s="299">
        <v>46834</v>
      </c>
      <c r="Y10" s="299">
        <v>1059272.3800000004</v>
      </c>
      <c r="Z10" s="299">
        <v>503966.44</v>
      </c>
      <c r="AA10" s="299">
        <v>6150.83</v>
      </c>
      <c r="AB10" s="299">
        <v>209634.26</v>
      </c>
      <c r="AC10" s="299">
        <v>25049.82</v>
      </c>
      <c r="AD10" s="299">
        <v>82478.97</v>
      </c>
      <c r="AE10" s="299">
        <v>0</v>
      </c>
      <c r="AF10" s="299">
        <v>25199.64</v>
      </c>
      <c r="AG10" s="299">
        <v>5062.6400000000003</v>
      </c>
      <c r="AH10" s="299">
        <v>5712.26</v>
      </c>
      <c r="AI10" s="299">
        <v>3750</v>
      </c>
      <c r="AJ10" s="299">
        <v>0</v>
      </c>
      <c r="AK10" s="299">
        <v>15086.22</v>
      </c>
      <c r="AL10" s="299">
        <v>2100</v>
      </c>
      <c r="AM10" s="299">
        <v>2330.2399999999998</v>
      </c>
      <c r="AN10" s="299">
        <v>2075.4899999999998</v>
      </c>
      <c r="AO10" s="299">
        <v>22937.57</v>
      </c>
      <c r="AP10" s="299">
        <v>19726.099999999999</v>
      </c>
      <c r="AQ10" s="299">
        <v>1558.25</v>
      </c>
      <c r="AR10" s="299">
        <v>60850.07</v>
      </c>
      <c r="AS10" s="299">
        <v>22199</v>
      </c>
      <c r="AT10" s="299">
        <v>0</v>
      </c>
      <c r="AU10" s="299">
        <v>4797.42</v>
      </c>
      <c r="AV10" s="299">
        <v>3510.51</v>
      </c>
      <c r="AW10" s="299">
        <v>2006.03</v>
      </c>
      <c r="AX10" s="299">
        <v>56097.65</v>
      </c>
      <c r="AY10" s="299">
        <v>0</v>
      </c>
      <c r="AZ10" s="299">
        <v>0</v>
      </c>
      <c r="BA10" s="299">
        <v>16795.79</v>
      </c>
      <c r="BB10" s="299">
        <v>0</v>
      </c>
      <c r="BC10" s="299">
        <v>0</v>
      </c>
      <c r="BD10" s="299">
        <v>0</v>
      </c>
      <c r="BE10" s="299">
        <v>1099075.2</v>
      </c>
      <c r="BF10" s="299">
        <v>-39802.8199999996</v>
      </c>
      <c r="BG10" s="299">
        <v>23707.66</v>
      </c>
      <c r="BH10" s="299">
        <v>-16095.1599999996</v>
      </c>
      <c r="BI10" s="299">
        <v>0</v>
      </c>
      <c r="BJ10" s="299">
        <v>0</v>
      </c>
      <c r="BK10" s="299">
        <v>0</v>
      </c>
      <c r="BL10" s="299">
        <v>0</v>
      </c>
      <c r="BM10" s="299">
        <v>0</v>
      </c>
      <c r="BN10" s="299">
        <v>0</v>
      </c>
      <c r="BO10" s="299">
        <v>0</v>
      </c>
      <c r="BP10" s="299">
        <v>0</v>
      </c>
      <c r="BQ10" s="299">
        <v>0</v>
      </c>
      <c r="BR10" s="299">
        <v>0</v>
      </c>
      <c r="BS10" s="299">
        <v>-16095.159999999363</v>
      </c>
      <c r="BT10" s="299">
        <v>0</v>
      </c>
      <c r="BU10" s="299">
        <v>-16095.159999999363</v>
      </c>
      <c r="BV10" s="299">
        <v>5485</v>
      </c>
      <c r="BW10" s="299">
        <v>0</v>
      </c>
      <c r="BX10" s="299">
        <v>0</v>
      </c>
      <c r="BY10" s="299">
        <v>5485</v>
      </c>
      <c r="BZ10" s="299">
        <v>0</v>
      </c>
      <c r="CA10" s="299">
        <v>7580</v>
      </c>
      <c r="CB10" s="299">
        <v>0</v>
      </c>
      <c r="CC10" s="299">
        <v>0</v>
      </c>
      <c r="CD10" s="299">
        <v>7580</v>
      </c>
      <c r="CE10" s="299">
        <v>-2095</v>
      </c>
      <c r="CF10" s="299">
        <v>10855.22</v>
      </c>
      <c r="CG10" s="299">
        <v>8760.2199999999993</v>
      </c>
      <c r="CH10" s="299">
        <v>8760.2200000000012</v>
      </c>
      <c r="CI10" s="299">
        <v>0</v>
      </c>
      <c r="CJ10" s="299">
        <v>8760.2200000000012</v>
      </c>
    </row>
    <row r="11" spans="1:93" ht="13.8">
      <c r="A11" s="252" t="s">
        <v>1377</v>
      </c>
      <c r="B11" s="288">
        <v>3301</v>
      </c>
      <c r="C11" s="288" t="s">
        <v>715</v>
      </c>
      <c r="D11" s="248" t="s">
        <v>708</v>
      </c>
      <c r="E11" s="399" t="str">
        <f t="shared" si="0"/>
        <v>30EP3301</v>
      </c>
      <c r="F11" s="299">
        <v>626476.9</v>
      </c>
      <c r="G11" s="299">
        <v>0</v>
      </c>
      <c r="H11" s="299">
        <v>26326.84</v>
      </c>
      <c r="I11" s="299">
        <v>0</v>
      </c>
      <c r="J11" s="299">
        <v>13320</v>
      </c>
      <c r="K11" s="299">
        <v>4456.93</v>
      </c>
      <c r="L11" s="299">
        <v>12033.99</v>
      </c>
      <c r="M11" s="299">
        <v>874.5</v>
      </c>
      <c r="N11" s="299">
        <v>7376.98</v>
      </c>
      <c r="O11" s="299">
        <v>18169.61</v>
      </c>
      <c r="P11" s="299">
        <v>0</v>
      </c>
      <c r="Q11" s="299">
        <v>0</v>
      </c>
      <c r="R11" s="299">
        <v>17280.5</v>
      </c>
      <c r="S11" s="299">
        <v>24258.91</v>
      </c>
      <c r="T11" s="299">
        <v>0</v>
      </c>
      <c r="U11" s="299">
        <v>0</v>
      </c>
      <c r="V11" s="299">
        <v>0</v>
      </c>
      <c r="W11" s="299">
        <v>668.75</v>
      </c>
      <c r="X11" s="299">
        <v>38066</v>
      </c>
      <c r="Y11" s="299">
        <v>789309.91</v>
      </c>
      <c r="Z11" s="299">
        <v>376125.1</v>
      </c>
      <c r="AA11" s="299">
        <v>741.83</v>
      </c>
      <c r="AB11" s="299">
        <v>116967.26</v>
      </c>
      <c r="AC11" s="299">
        <v>21415.71</v>
      </c>
      <c r="AD11" s="299">
        <v>62603.3</v>
      </c>
      <c r="AE11" s="299">
        <v>23408.67</v>
      </c>
      <c r="AF11" s="299">
        <v>2497.7800000000002</v>
      </c>
      <c r="AG11" s="299">
        <v>98</v>
      </c>
      <c r="AH11" s="299">
        <v>11219.83</v>
      </c>
      <c r="AI11" s="299">
        <v>2750</v>
      </c>
      <c r="AJ11" s="299">
        <v>171.25</v>
      </c>
      <c r="AK11" s="299">
        <v>10220.299999999999</v>
      </c>
      <c r="AL11" s="299">
        <v>2220.5</v>
      </c>
      <c r="AM11" s="299">
        <v>1293.0999999999999</v>
      </c>
      <c r="AN11" s="299">
        <v>448</v>
      </c>
      <c r="AO11" s="299">
        <v>13643.18</v>
      </c>
      <c r="AP11" s="299">
        <v>2719.55</v>
      </c>
      <c r="AQ11" s="299">
        <v>10159.42</v>
      </c>
      <c r="AR11" s="299">
        <v>38158.639999999999</v>
      </c>
      <c r="AS11" s="299">
        <v>23760.760000000002</v>
      </c>
      <c r="AT11" s="299">
        <v>0</v>
      </c>
      <c r="AU11" s="299">
        <v>6427.57</v>
      </c>
      <c r="AV11" s="299">
        <v>2565.29</v>
      </c>
      <c r="AW11" s="299">
        <v>863.27</v>
      </c>
      <c r="AX11" s="299">
        <v>15307.25</v>
      </c>
      <c r="AY11" s="299">
        <v>5336.22</v>
      </c>
      <c r="AZ11" s="299">
        <v>10457.67</v>
      </c>
      <c r="BA11" s="299">
        <v>14974.4</v>
      </c>
      <c r="BB11" s="299">
        <v>0</v>
      </c>
      <c r="BC11" s="299">
        <v>0</v>
      </c>
      <c r="BD11" s="299">
        <v>1721.25</v>
      </c>
      <c r="BE11" s="299">
        <v>778275.10000000033</v>
      </c>
      <c r="BF11" s="299">
        <v>11034.809999999707</v>
      </c>
      <c r="BG11" s="299">
        <v>51054.96</v>
      </c>
      <c r="BH11" s="299">
        <v>62089.769999999706</v>
      </c>
      <c r="BI11" s="299">
        <v>0</v>
      </c>
      <c r="BJ11" s="299">
        <v>0</v>
      </c>
      <c r="BK11" s="299">
        <v>0</v>
      </c>
      <c r="BL11" s="299">
        <v>0</v>
      </c>
      <c r="BM11" s="299">
        <v>0</v>
      </c>
      <c r="BN11" s="299">
        <v>0</v>
      </c>
      <c r="BO11" s="299">
        <v>0</v>
      </c>
      <c r="BP11" s="299">
        <v>0</v>
      </c>
      <c r="BQ11" s="299">
        <v>0</v>
      </c>
      <c r="BR11" s="299">
        <v>7404</v>
      </c>
      <c r="BS11" s="299">
        <v>54685.769999999706</v>
      </c>
      <c r="BT11" s="299">
        <v>0</v>
      </c>
      <c r="BU11" s="299">
        <v>62089.769999999706</v>
      </c>
      <c r="BV11" s="299">
        <v>0</v>
      </c>
      <c r="BW11" s="299">
        <v>0</v>
      </c>
      <c r="BX11" s="299">
        <v>0</v>
      </c>
      <c r="BY11" s="299">
        <v>0</v>
      </c>
      <c r="BZ11" s="299">
        <v>0</v>
      </c>
      <c r="CA11" s="299">
        <v>0</v>
      </c>
      <c r="CB11" s="299">
        <v>0</v>
      </c>
      <c r="CC11" s="299">
        <v>0</v>
      </c>
      <c r="CD11" s="299">
        <v>0</v>
      </c>
      <c r="CE11" s="299">
        <v>0</v>
      </c>
      <c r="CF11" s="299">
        <v>0</v>
      </c>
      <c r="CG11" s="299">
        <v>0</v>
      </c>
      <c r="CH11" s="299">
        <v>0</v>
      </c>
      <c r="CI11" s="299">
        <v>0</v>
      </c>
      <c r="CJ11" s="299">
        <v>0</v>
      </c>
    </row>
    <row r="12" spans="1:93" ht="13.8">
      <c r="A12" s="252" t="s">
        <v>1377</v>
      </c>
      <c r="B12" s="288">
        <v>2002</v>
      </c>
      <c r="C12" s="288" t="s">
        <v>716</v>
      </c>
      <c r="D12" s="248" t="s">
        <v>708</v>
      </c>
      <c r="E12" s="399" t="str">
        <f t="shared" si="0"/>
        <v>30EP2002</v>
      </c>
      <c r="F12" s="299">
        <v>1847306.95</v>
      </c>
      <c r="G12" s="299">
        <v>0</v>
      </c>
      <c r="H12" s="299">
        <v>64231.42</v>
      </c>
      <c r="I12" s="299">
        <v>0</v>
      </c>
      <c r="J12" s="299">
        <v>120724</v>
      </c>
      <c r="K12" s="299">
        <v>3707.57</v>
      </c>
      <c r="L12" s="299">
        <v>0</v>
      </c>
      <c r="M12" s="299">
        <v>4747</v>
      </c>
      <c r="N12" s="299">
        <v>18495.810000000001</v>
      </c>
      <c r="O12" s="299">
        <v>38272.51</v>
      </c>
      <c r="P12" s="299">
        <v>26470</v>
      </c>
      <c r="Q12" s="299">
        <v>0</v>
      </c>
      <c r="R12" s="299">
        <v>30562.639999999999</v>
      </c>
      <c r="S12" s="299">
        <v>0</v>
      </c>
      <c r="T12" s="299">
        <v>0</v>
      </c>
      <c r="U12" s="299">
        <v>0</v>
      </c>
      <c r="V12" s="299">
        <v>0</v>
      </c>
      <c r="W12" s="299">
        <v>-833.12</v>
      </c>
      <c r="X12" s="299">
        <v>70684</v>
      </c>
      <c r="Y12" s="299">
        <v>2224368.7799999998</v>
      </c>
      <c r="Z12" s="299">
        <v>1139537.3500000001</v>
      </c>
      <c r="AA12" s="299">
        <v>7433.91</v>
      </c>
      <c r="AB12" s="299">
        <v>454707.53</v>
      </c>
      <c r="AC12" s="299">
        <v>71558.45</v>
      </c>
      <c r="AD12" s="299">
        <v>111097.11</v>
      </c>
      <c r="AE12" s="299">
        <v>0</v>
      </c>
      <c r="AF12" s="299">
        <v>21723.119999999999</v>
      </c>
      <c r="AG12" s="299">
        <v>32388.66</v>
      </c>
      <c r="AH12" s="299">
        <v>14649.55</v>
      </c>
      <c r="AI12" s="299">
        <v>9275</v>
      </c>
      <c r="AJ12" s="299">
        <v>2388.75</v>
      </c>
      <c r="AK12" s="299">
        <v>12156.68</v>
      </c>
      <c r="AL12" s="299">
        <v>3450.9</v>
      </c>
      <c r="AM12" s="299">
        <v>4577.6499999999996</v>
      </c>
      <c r="AN12" s="299">
        <v>4531</v>
      </c>
      <c r="AO12" s="299">
        <v>57541.48</v>
      </c>
      <c r="AP12" s="299">
        <v>40404</v>
      </c>
      <c r="AQ12" s="299">
        <v>12751.33</v>
      </c>
      <c r="AR12" s="299">
        <v>82953.11</v>
      </c>
      <c r="AS12" s="299">
        <v>41107.39</v>
      </c>
      <c r="AT12" s="299">
        <v>0</v>
      </c>
      <c r="AU12" s="299">
        <v>16490.650000000001</v>
      </c>
      <c r="AV12" s="299">
        <v>7188.64</v>
      </c>
      <c r="AW12" s="299">
        <v>802.89</v>
      </c>
      <c r="AX12" s="299">
        <v>94239.03</v>
      </c>
      <c r="AY12" s="299">
        <v>72931.37</v>
      </c>
      <c r="AZ12" s="299">
        <v>40306.730000000003</v>
      </c>
      <c r="BA12" s="299">
        <v>37225.75</v>
      </c>
      <c r="BB12" s="299">
        <v>0</v>
      </c>
      <c r="BC12" s="299">
        <v>0</v>
      </c>
      <c r="BD12" s="299">
        <v>0</v>
      </c>
      <c r="BE12" s="299">
        <v>2393418.0300000003</v>
      </c>
      <c r="BF12" s="299">
        <v>-169049.25000000047</v>
      </c>
      <c r="BG12" s="299">
        <v>249202.31</v>
      </c>
      <c r="BH12" s="299">
        <v>80153.059999999532</v>
      </c>
      <c r="BI12" s="299">
        <v>0</v>
      </c>
      <c r="BJ12" s="299">
        <v>0</v>
      </c>
      <c r="BK12" s="299">
        <v>0</v>
      </c>
      <c r="BL12" s="299">
        <v>0</v>
      </c>
      <c r="BM12" s="299">
        <v>0</v>
      </c>
      <c r="BN12" s="299">
        <v>0</v>
      </c>
      <c r="BO12" s="299">
        <v>0</v>
      </c>
      <c r="BP12" s="299">
        <v>0</v>
      </c>
      <c r="BQ12" s="299">
        <v>0</v>
      </c>
      <c r="BR12" s="299">
        <v>11655.7</v>
      </c>
      <c r="BS12" s="299">
        <v>68497.36</v>
      </c>
      <c r="BT12" s="299">
        <v>0</v>
      </c>
      <c r="BU12" s="299">
        <v>80153.06</v>
      </c>
      <c r="BV12" s="299">
        <v>8342.5</v>
      </c>
      <c r="BW12" s="299">
        <v>0</v>
      </c>
      <c r="BX12" s="299">
        <v>0</v>
      </c>
      <c r="BY12" s="299">
        <v>8342.5</v>
      </c>
      <c r="BZ12" s="299">
        <v>0</v>
      </c>
      <c r="CA12" s="299">
        <v>7890</v>
      </c>
      <c r="CB12" s="299">
        <v>0</v>
      </c>
      <c r="CC12" s="299">
        <v>20911.79</v>
      </c>
      <c r="CD12" s="299">
        <v>28801.79</v>
      </c>
      <c r="CE12" s="299">
        <v>-20459.29</v>
      </c>
      <c r="CF12" s="299">
        <v>25731.7</v>
      </c>
      <c r="CG12" s="299">
        <v>5272.41</v>
      </c>
      <c r="CH12" s="299">
        <v>5272.41</v>
      </c>
      <c r="CI12" s="299">
        <v>0</v>
      </c>
      <c r="CJ12" s="299">
        <v>5272.41</v>
      </c>
    </row>
    <row r="13" spans="1:93" ht="13.8">
      <c r="A13" s="252" t="s">
        <v>1377</v>
      </c>
      <c r="B13" s="288">
        <v>2082</v>
      </c>
      <c r="C13" s="288" t="s">
        <v>717</v>
      </c>
      <c r="D13" s="248" t="s">
        <v>708</v>
      </c>
      <c r="E13" s="399" t="str">
        <f t="shared" si="0"/>
        <v>30EP2082</v>
      </c>
      <c r="F13" s="299">
        <v>985219.92</v>
      </c>
      <c r="G13" s="299">
        <v>0</v>
      </c>
      <c r="H13" s="299">
        <v>35949.96</v>
      </c>
      <c r="I13" s="299">
        <v>0</v>
      </c>
      <c r="J13" s="299">
        <v>99260</v>
      </c>
      <c r="K13" s="299">
        <v>1200</v>
      </c>
      <c r="L13" s="299">
        <v>0</v>
      </c>
      <c r="M13" s="299">
        <v>3484.8</v>
      </c>
      <c r="N13" s="299">
        <v>7109.27</v>
      </c>
      <c r="O13" s="299">
        <v>0</v>
      </c>
      <c r="P13" s="299">
        <v>13075.5</v>
      </c>
      <c r="Q13" s="299">
        <v>0</v>
      </c>
      <c r="R13" s="299">
        <v>3801.15</v>
      </c>
      <c r="S13" s="299">
        <v>0</v>
      </c>
      <c r="T13" s="299">
        <v>0</v>
      </c>
      <c r="U13" s="299">
        <v>0</v>
      </c>
      <c r="V13" s="299">
        <v>0</v>
      </c>
      <c r="W13" s="299">
        <v>-239.37</v>
      </c>
      <c r="X13" s="299">
        <v>36298</v>
      </c>
      <c r="Y13" s="299">
        <v>1185159.2299999997</v>
      </c>
      <c r="Z13" s="299">
        <v>532298.79</v>
      </c>
      <c r="AA13" s="299">
        <v>9058.84</v>
      </c>
      <c r="AB13" s="299">
        <v>173487.87</v>
      </c>
      <c r="AC13" s="299">
        <v>43279.74</v>
      </c>
      <c r="AD13" s="299">
        <v>71010.8</v>
      </c>
      <c r="AE13" s="299">
        <v>0</v>
      </c>
      <c r="AF13" s="299">
        <v>29796.22</v>
      </c>
      <c r="AG13" s="299">
        <v>3620.27</v>
      </c>
      <c r="AH13" s="299">
        <v>3395.15</v>
      </c>
      <c r="AI13" s="299">
        <v>4325</v>
      </c>
      <c r="AJ13" s="299">
        <v>645</v>
      </c>
      <c r="AK13" s="299">
        <v>8554.73</v>
      </c>
      <c r="AL13" s="299">
        <v>3509.34</v>
      </c>
      <c r="AM13" s="299">
        <v>1482.01</v>
      </c>
      <c r="AN13" s="299">
        <v>2915</v>
      </c>
      <c r="AO13" s="299">
        <v>21527.55</v>
      </c>
      <c r="AP13" s="299">
        <v>18463</v>
      </c>
      <c r="AQ13" s="299">
        <v>10236.73</v>
      </c>
      <c r="AR13" s="299">
        <v>55975.64</v>
      </c>
      <c r="AS13" s="299">
        <v>26521.140000000003</v>
      </c>
      <c r="AT13" s="299">
        <v>0</v>
      </c>
      <c r="AU13" s="299">
        <v>10617.88</v>
      </c>
      <c r="AV13" s="299">
        <v>3526.57</v>
      </c>
      <c r="AW13" s="299">
        <v>0</v>
      </c>
      <c r="AX13" s="299">
        <v>43125.84</v>
      </c>
      <c r="AY13" s="299">
        <v>25557.23</v>
      </c>
      <c r="AZ13" s="299">
        <v>6958</v>
      </c>
      <c r="BA13" s="299">
        <v>16360.87</v>
      </c>
      <c r="BB13" s="299">
        <v>0</v>
      </c>
      <c r="BC13" s="299">
        <v>0</v>
      </c>
      <c r="BD13" s="299">
        <v>0</v>
      </c>
      <c r="BE13" s="299">
        <v>1126249.2100000002</v>
      </c>
      <c r="BF13" s="299">
        <v>58910.019999999553</v>
      </c>
      <c r="BG13" s="299">
        <v>119226.82</v>
      </c>
      <c r="BH13" s="299">
        <v>178136.83999999956</v>
      </c>
      <c r="BI13" s="299">
        <v>0</v>
      </c>
      <c r="BJ13" s="299">
        <v>0</v>
      </c>
      <c r="BK13" s="299">
        <v>0</v>
      </c>
      <c r="BL13" s="299">
        <v>0</v>
      </c>
      <c r="BM13" s="299">
        <v>0</v>
      </c>
      <c r="BN13" s="299">
        <v>0</v>
      </c>
      <c r="BO13" s="299">
        <v>0</v>
      </c>
      <c r="BP13" s="299">
        <v>0</v>
      </c>
      <c r="BQ13" s="299">
        <v>0</v>
      </c>
      <c r="BR13" s="299">
        <v>14719.87</v>
      </c>
      <c r="BS13" s="299">
        <v>163416.96999999956</v>
      </c>
      <c r="BT13" s="299">
        <v>0</v>
      </c>
      <c r="BU13" s="299">
        <v>178136.83999999956</v>
      </c>
      <c r="BV13" s="299">
        <v>6137.5</v>
      </c>
      <c r="BW13" s="299">
        <v>0</v>
      </c>
      <c r="BX13" s="299">
        <v>0</v>
      </c>
      <c r="BY13" s="299">
        <v>6137.5</v>
      </c>
      <c r="BZ13" s="299">
        <v>0</v>
      </c>
      <c r="CA13" s="299">
        <v>3083.44</v>
      </c>
      <c r="CB13" s="299">
        <v>0</v>
      </c>
      <c r="CC13" s="299">
        <v>0</v>
      </c>
      <c r="CD13" s="299">
        <v>3083.44</v>
      </c>
      <c r="CE13" s="299">
        <v>3054.06</v>
      </c>
      <c r="CF13" s="299">
        <v>10759.77</v>
      </c>
      <c r="CG13" s="299">
        <v>13813.83</v>
      </c>
      <c r="CH13" s="299">
        <v>13813.83</v>
      </c>
      <c r="CI13" s="299">
        <v>0</v>
      </c>
      <c r="CJ13" s="299">
        <v>13813.83</v>
      </c>
    </row>
    <row r="14" spans="1:93" ht="13.8">
      <c r="A14" s="252" t="s">
        <v>1377</v>
      </c>
      <c r="B14" s="288">
        <v>3943</v>
      </c>
      <c r="C14" s="288" t="s">
        <v>718</v>
      </c>
      <c r="D14" s="248" t="s">
        <v>708</v>
      </c>
      <c r="E14" s="399" t="str">
        <f t="shared" si="0"/>
        <v>30EP3943</v>
      </c>
      <c r="F14" s="299">
        <v>2102470.6</v>
      </c>
      <c r="G14" s="299">
        <v>0</v>
      </c>
      <c r="H14" s="299">
        <v>114933.04</v>
      </c>
      <c r="I14" s="299">
        <v>0</v>
      </c>
      <c r="J14" s="299">
        <v>90160</v>
      </c>
      <c r="K14" s="299">
        <v>2074.29</v>
      </c>
      <c r="L14" s="299">
        <v>0</v>
      </c>
      <c r="M14" s="299">
        <v>26971.5</v>
      </c>
      <c r="N14" s="299">
        <v>9347.01</v>
      </c>
      <c r="O14" s="299">
        <v>46961.3</v>
      </c>
      <c r="P14" s="299">
        <v>3492</v>
      </c>
      <c r="Q14" s="299">
        <v>6643.93</v>
      </c>
      <c r="R14" s="299">
        <v>21570.55</v>
      </c>
      <c r="S14" s="299">
        <v>21131.91</v>
      </c>
      <c r="T14" s="299">
        <v>0</v>
      </c>
      <c r="U14" s="299">
        <v>0</v>
      </c>
      <c r="V14" s="299">
        <v>0</v>
      </c>
      <c r="W14" s="299">
        <v>3890.63</v>
      </c>
      <c r="X14" s="299">
        <v>87421</v>
      </c>
      <c r="Y14" s="299">
        <v>2537067.7599999998</v>
      </c>
      <c r="Z14" s="299">
        <v>1154181.96</v>
      </c>
      <c r="AA14" s="299">
        <v>15394.07</v>
      </c>
      <c r="AB14" s="299">
        <v>566750.44999999995</v>
      </c>
      <c r="AC14" s="299">
        <v>56187.99</v>
      </c>
      <c r="AD14" s="299">
        <v>87417.75</v>
      </c>
      <c r="AE14" s="299">
        <v>0</v>
      </c>
      <c r="AF14" s="299">
        <v>49292.05</v>
      </c>
      <c r="AG14" s="299">
        <v>9919.51</v>
      </c>
      <c r="AH14" s="299">
        <v>13299.56</v>
      </c>
      <c r="AI14" s="299">
        <v>10425</v>
      </c>
      <c r="AJ14" s="299">
        <v>2738.67</v>
      </c>
      <c r="AK14" s="299">
        <v>56833.34</v>
      </c>
      <c r="AL14" s="299">
        <v>3526</v>
      </c>
      <c r="AM14" s="299">
        <v>8851.7900000000009</v>
      </c>
      <c r="AN14" s="299">
        <v>4203.47</v>
      </c>
      <c r="AO14" s="299">
        <v>53451.4</v>
      </c>
      <c r="AP14" s="299">
        <v>75348</v>
      </c>
      <c r="AQ14" s="299">
        <v>2209</v>
      </c>
      <c r="AR14" s="299">
        <v>69809.72</v>
      </c>
      <c r="AS14" s="299">
        <v>59963.53</v>
      </c>
      <c r="AT14" s="299">
        <v>0</v>
      </c>
      <c r="AU14" s="299">
        <v>21095.57</v>
      </c>
      <c r="AV14" s="299">
        <v>8090.8</v>
      </c>
      <c r="AW14" s="299">
        <v>5598.2</v>
      </c>
      <c r="AX14" s="299">
        <v>116701.67</v>
      </c>
      <c r="AY14" s="299">
        <v>43168.639999999999</v>
      </c>
      <c r="AZ14" s="299">
        <v>47570.63</v>
      </c>
      <c r="BA14" s="299">
        <v>21785.919999999998</v>
      </c>
      <c r="BB14" s="299">
        <v>0</v>
      </c>
      <c r="BC14" s="299">
        <v>0</v>
      </c>
      <c r="BD14" s="299">
        <v>0</v>
      </c>
      <c r="BE14" s="299">
        <v>2563814.6899999995</v>
      </c>
      <c r="BF14" s="299">
        <v>-26746.929999999702</v>
      </c>
      <c r="BG14" s="299">
        <v>274835.44</v>
      </c>
      <c r="BH14" s="299">
        <v>248088.5100000003</v>
      </c>
      <c r="BI14" s="299">
        <v>0</v>
      </c>
      <c r="BJ14" s="299">
        <v>0</v>
      </c>
      <c r="BK14" s="299">
        <v>0</v>
      </c>
      <c r="BL14" s="299">
        <v>0</v>
      </c>
      <c r="BM14" s="299">
        <v>0</v>
      </c>
      <c r="BN14" s="299">
        <v>0</v>
      </c>
      <c r="BO14" s="299">
        <v>0</v>
      </c>
      <c r="BP14" s="299">
        <v>0</v>
      </c>
      <c r="BQ14" s="299">
        <v>0</v>
      </c>
      <c r="BR14" s="299">
        <v>23409.49</v>
      </c>
      <c r="BS14" s="299">
        <v>224679.01999999984</v>
      </c>
      <c r="BT14" s="299">
        <v>0</v>
      </c>
      <c r="BU14" s="299">
        <v>248088.50999999983</v>
      </c>
      <c r="BV14" s="299">
        <v>8719.3799999999992</v>
      </c>
      <c r="BW14" s="299">
        <v>0</v>
      </c>
      <c r="BX14" s="299">
        <v>0</v>
      </c>
      <c r="BY14" s="299">
        <v>8719.3799999999992</v>
      </c>
      <c r="BZ14" s="299">
        <v>0</v>
      </c>
      <c r="CA14" s="299">
        <v>7894.65</v>
      </c>
      <c r="CB14" s="299">
        <v>0</v>
      </c>
      <c r="CC14" s="299">
        <v>1303</v>
      </c>
      <c r="CD14" s="299">
        <v>9197.65</v>
      </c>
      <c r="CE14" s="299">
        <v>-478.27000000000044</v>
      </c>
      <c r="CF14" s="299">
        <v>1142.9100000000001</v>
      </c>
      <c r="CG14" s="299">
        <v>664.63999999999965</v>
      </c>
      <c r="CH14" s="299">
        <v>664.63999999999965</v>
      </c>
      <c r="CI14" s="299">
        <v>0</v>
      </c>
      <c r="CJ14" s="299">
        <v>664.63999999999965</v>
      </c>
    </row>
    <row r="15" spans="1:93" ht="13.8">
      <c r="A15" s="252" t="s">
        <v>1377</v>
      </c>
      <c r="B15" s="288">
        <v>2060</v>
      </c>
      <c r="C15" s="288" t="s">
        <v>719</v>
      </c>
      <c r="D15" s="248" t="s">
        <v>708</v>
      </c>
      <c r="E15" s="399" t="str">
        <f t="shared" si="0"/>
        <v>30EP2060</v>
      </c>
      <c r="F15" s="299">
        <v>650958.62</v>
      </c>
      <c r="G15" s="299">
        <v>0</v>
      </c>
      <c r="H15" s="299">
        <v>40051.629999999997</v>
      </c>
      <c r="I15" s="299">
        <v>0</v>
      </c>
      <c r="J15" s="299">
        <v>44280</v>
      </c>
      <c r="K15" s="299">
        <v>0</v>
      </c>
      <c r="L15" s="299">
        <v>9728</v>
      </c>
      <c r="M15" s="299">
        <v>0</v>
      </c>
      <c r="N15" s="299">
        <v>6531.06</v>
      </c>
      <c r="O15" s="299">
        <v>0</v>
      </c>
      <c r="P15" s="299">
        <v>0</v>
      </c>
      <c r="Q15" s="299">
        <v>616.20000000000005</v>
      </c>
      <c r="R15" s="299">
        <v>1932.11</v>
      </c>
      <c r="S15" s="299">
        <v>232.44</v>
      </c>
      <c r="T15" s="299">
        <v>0</v>
      </c>
      <c r="U15" s="299">
        <v>0</v>
      </c>
      <c r="V15" s="299">
        <v>0</v>
      </c>
      <c r="W15" s="299">
        <v>-205.62</v>
      </c>
      <c r="X15" s="299">
        <v>31723</v>
      </c>
      <c r="Y15" s="299">
        <v>785847.44</v>
      </c>
      <c r="Z15" s="299">
        <v>390404.28</v>
      </c>
      <c r="AA15" s="299">
        <v>0</v>
      </c>
      <c r="AB15" s="299">
        <v>173687.9</v>
      </c>
      <c r="AC15" s="299">
        <v>19299.59</v>
      </c>
      <c r="AD15" s="299">
        <v>56299.93</v>
      </c>
      <c r="AE15" s="299">
        <v>0</v>
      </c>
      <c r="AF15" s="299">
        <v>12111.16</v>
      </c>
      <c r="AG15" s="299">
        <v>4516.99</v>
      </c>
      <c r="AH15" s="299">
        <v>4038</v>
      </c>
      <c r="AI15" s="299">
        <v>2450</v>
      </c>
      <c r="AJ15" s="299">
        <v>1091.25</v>
      </c>
      <c r="AK15" s="299">
        <v>8306.61</v>
      </c>
      <c r="AL15" s="299">
        <v>3399</v>
      </c>
      <c r="AM15" s="299">
        <v>1779.33</v>
      </c>
      <c r="AN15" s="299">
        <v>1550.03</v>
      </c>
      <c r="AO15" s="299">
        <v>17698.61</v>
      </c>
      <c r="AP15" s="299">
        <v>13663.2</v>
      </c>
      <c r="AQ15" s="299">
        <v>5235.33</v>
      </c>
      <c r="AR15" s="299">
        <v>22622.53</v>
      </c>
      <c r="AS15" s="299">
        <v>18697.04</v>
      </c>
      <c r="AT15" s="299">
        <v>0</v>
      </c>
      <c r="AU15" s="299">
        <v>6337.33</v>
      </c>
      <c r="AV15" s="299">
        <v>2332.0700000000002</v>
      </c>
      <c r="AW15" s="299">
        <v>0</v>
      </c>
      <c r="AX15" s="299">
        <v>34243.9</v>
      </c>
      <c r="AY15" s="299">
        <v>0</v>
      </c>
      <c r="AZ15" s="299">
        <v>18055.71</v>
      </c>
      <c r="BA15" s="299">
        <v>8354.17</v>
      </c>
      <c r="BB15" s="299">
        <v>0</v>
      </c>
      <c r="BC15" s="299">
        <v>484.09</v>
      </c>
      <c r="BD15" s="299">
        <v>3225.64</v>
      </c>
      <c r="BE15" s="299">
        <v>829883.69</v>
      </c>
      <c r="BF15" s="299">
        <v>-44036.25</v>
      </c>
      <c r="BG15" s="299">
        <v>112335</v>
      </c>
      <c r="BH15" s="299">
        <v>68298.75</v>
      </c>
      <c r="BI15" s="299">
        <v>0</v>
      </c>
      <c r="BJ15" s="299">
        <v>0</v>
      </c>
      <c r="BK15" s="299">
        <v>0</v>
      </c>
      <c r="BL15" s="299">
        <v>0</v>
      </c>
      <c r="BM15" s="299">
        <v>0</v>
      </c>
      <c r="BN15" s="299">
        <v>0</v>
      </c>
      <c r="BO15" s="299">
        <v>0</v>
      </c>
      <c r="BP15" s="299">
        <v>0</v>
      </c>
      <c r="BQ15" s="299">
        <v>0</v>
      </c>
      <c r="BR15" s="299">
        <v>0</v>
      </c>
      <c r="BS15" s="299">
        <v>68298.750000000233</v>
      </c>
      <c r="BT15" s="299">
        <v>0</v>
      </c>
      <c r="BU15" s="299">
        <v>68298.750000000233</v>
      </c>
      <c r="BV15" s="299">
        <v>5113.75</v>
      </c>
      <c r="BW15" s="299">
        <v>19983.95</v>
      </c>
      <c r="BX15" s="299">
        <v>0</v>
      </c>
      <c r="BY15" s="299">
        <v>25097.7</v>
      </c>
      <c r="BZ15" s="299">
        <v>0</v>
      </c>
      <c r="CA15" s="299">
        <v>9127.34</v>
      </c>
      <c r="CB15" s="299">
        <v>0</v>
      </c>
      <c r="CC15" s="299">
        <v>0.3</v>
      </c>
      <c r="CD15" s="299">
        <v>9127.64</v>
      </c>
      <c r="CE15" s="299">
        <v>15970.060000000001</v>
      </c>
      <c r="CF15" s="299">
        <v>21183.440000000002</v>
      </c>
      <c r="CG15" s="299">
        <v>37153.5</v>
      </c>
      <c r="CH15" s="299">
        <v>11113.689999999999</v>
      </c>
      <c r="CI15" s="299">
        <v>26039.81</v>
      </c>
      <c r="CJ15" s="299">
        <v>37153.5</v>
      </c>
    </row>
    <row r="16" spans="1:93" ht="13.8">
      <c r="A16" s="252" t="s">
        <v>1377</v>
      </c>
      <c r="B16" s="288">
        <v>2312</v>
      </c>
      <c r="C16" s="288" t="s">
        <v>720</v>
      </c>
      <c r="D16" s="248" t="s">
        <v>708</v>
      </c>
      <c r="E16" s="399" t="str">
        <f t="shared" si="0"/>
        <v>30EP2312</v>
      </c>
      <c r="F16" s="299">
        <v>1068481.1399999999</v>
      </c>
      <c r="G16" s="299">
        <v>0</v>
      </c>
      <c r="H16" s="299">
        <v>90867.3</v>
      </c>
      <c r="I16" s="299">
        <v>0</v>
      </c>
      <c r="J16" s="299">
        <v>45100</v>
      </c>
      <c r="K16" s="299">
        <v>856.93</v>
      </c>
      <c r="L16" s="299">
        <v>1460</v>
      </c>
      <c r="M16" s="299">
        <v>23519.84</v>
      </c>
      <c r="N16" s="299">
        <v>11925.37</v>
      </c>
      <c r="O16" s="299">
        <v>0</v>
      </c>
      <c r="P16" s="299">
        <v>0</v>
      </c>
      <c r="Q16" s="299">
        <v>0</v>
      </c>
      <c r="R16" s="299">
        <v>18669.060000000001</v>
      </c>
      <c r="S16" s="299">
        <v>1027.3</v>
      </c>
      <c r="T16" s="299">
        <v>0</v>
      </c>
      <c r="U16" s="299">
        <v>0</v>
      </c>
      <c r="V16" s="299">
        <v>0</v>
      </c>
      <c r="W16" s="299">
        <v>1838.75</v>
      </c>
      <c r="X16" s="299">
        <v>47747</v>
      </c>
      <c r="Y16" s="299">
        <v>1311492.6900000002</v>
      </c>
      <c r="Z16" s="299">
        <v>507816.43</v>
      </c>
      <c r="AA16" s="299">
        <v>0</v>
      </c>
      <c r="AB16" s="299">
        <v>301913.07</v>
      </c>
      <c r="AC16" s="299">
        <v>0</v>
      </c>
      <c r="AD16" s="299">
        <v>72436.42</v>
      </c>
      <c r="AE16" s="299">
        <v>0</v>
      </c>
      <c r="AF16" s="299">
        <v>18446.62</v>
      </c>
      <c r="AG16" s="299">
        <v>192</v>
      </c>
      <c r="AH16" s="299">
        <v>5891.5</v>
      </c>
      <c r="AI16" s="299">
        <v>5600</v>
      </c>
      <c r="AJ16" s="299">
        <v>0</v>
      </c>
      <c r="AK16" s="299">
        <v>7800.93</v>
      </c>
      <c r="AL16" s="299">
        <v>3468</v>
      </c>
      <c r="AM16" s="299">
        <v>70716.13</v>
      </c>
      <c r="AN16" s="299">
        <v>1071.1099999999999</v>
      </c>
      <c r="AO16" s="299">
        <v>80517.789999999994</v>
      </c>
      <c r="AP16" s="299">
        <v>43407</v>
      </c>
      <c r="AQ16" s="299">
        <v>7357.98</v>
      </c>
      <c r="AR16" s="299">
        <v>85661.66</v>
      </c>
      <c r="AS16" s="299">
        <v>17544.93</v>
      </c>
      <c r="AT16" s="299">
        <v>0</v>
      </c>
      <c r="AU16" s="299">
        <v>11940.97</v>
      </c>
      <c r="AV16" s="299">
        <v>4709.1899999999996</v>
      </c>
      <c r="AW16" s="299">
        <v>183</v>
      </c>
      <c r="AX16" s="299">
        <v>39245.35</v>
      </c>
      <c r="AY16" s="299">
        <v>218.5</v>
      </c>
      <c r="AZ16" s="299">
        <v>51238.54</v>
      </c>
      <c r="BA16" s="299">
        <v>15316.19</v>
      </c>
      <c r="BB16" s="299">
        <v>0</v>
      </c>
      <c r="BC16" s="299">
        <v>0</v>
      </c>
      <c r="BD16" s="299">
        <v>0</v>
      </c>
      <c r="BE16" s="299">
        <v>1352693.3099999998</v>
      </c>
      <c r="BF16" s="299">
        <v>-41200.619999999646</v>
      </c>
      <c r="BG16" s="299">
        <v>84994.400000000009</v>
      </c>
      <c r="BH16" s="299">
        <v>43793.780000000363</v>
      </c>
      <c r="BI16" s="299">
        <v>107055.2</v>
      </c>
      <c r="BJ16" s="299">
        <v>86223.26</v>
      </c>
      <c r="BK16" s="299">
        <v>193278.46</v>
      </c>
      <c r="BL16" s="299">
        <v>118261.7</v>
      </c>
      <c r="BM16" s="299">
        <v>17443.580000000002</v>
      </c>
      <c r="BN16" s="299">
        <v>135705.28</v>
      </c>
      <c r="BO16" s="299">
        <v>57573.179999999993</v>
      </c>
      <c r="BP16" s="299">
        <v>11974.35</v>
      </c>
      <c r="BQ16" s="299">
        <v>69547.53</v>
      </c>
      <c r="BR16" s="299">
        <v>0</v>
      </c>
      <c r="BS16" s="299">
        <v>37981.820000000582</v>
      </c>
      <c r="BT16" s="299">
        <v>75359.490000000005</v>
      </c>
      <c r="BU16" s="299">
        <v>113341.31000000058</v>
      </c>
      <c r="BV16" s="299">
        <v>6299.5</v>
      </c>
      <c r="BW16" s="299">
        <v>0</v>
      </c>
      <c r="BX16" s="299">
        <v>0</v>
      </c>
      <c r="BY16" s="299">
        <v>6299.5</v>
      </c>
      <c r="BZ16" s="299">
        <v>0</v>
      </c>
      <c r="CA16" s="299">
        <v>0</v>
      </c>
      <c r="CB16" s="299">
        <v>0</v>
      </c>
      <c r="CC16" s="299">
        <v>0</v>
      </c>
      <c r="CD16" s="299">
        <v>0</v>
      </c>
      <c r="CE16" s="299">
        <v>6299.5</v>
      </c>
      <c r="CF16" s="299">
        <v>26443.96</v>
      </c>
      <c r="CG16" s="299">
        <v>32743.46</v>
      </c>
      <c r="CH16" s="299">
        <v>32743.46</v>
      </c>
      <c r="CI16" s="299">
        <v>0</v>
      </c>
      <c r="CJ16" s="299">
        <v>32743.46</v>
      </c>
    </row>
    <row r="17" spans="1:88" ht="13.8">
      <c r="A17" s="252" t="s">
        <v>1377</v>
      </c>
      <c r="B17" s="288">
        <v>3942</v>
      </c>
      <c r="C17" s="288" t="s">
        <v>721</v>
      </c>
      <c r="D17" s="248" t="s">
        <v>708</v>
      </c>
      <c r="E17" s="399" t="str">
        <f t="shared" si="0"/>
        <v>30EP3942</v>
      </c>
      <c r="F17" s="299">
        <v>3015886.8</v>
      </c>
      <c r="G17" s="299">
        <v>0</v>
      </c>
      <c r="H17" s="299">
        <v>147387.4</v>
      </c>
      <c r="I17" s="299">
        <v>0</v>
      </c>
      <c r="J17" s="299">
        <v>237895</v>
      </c>
      <c r="K17" s="299">
        <v>4333.8599999999997</v>
      </c>
      <c r="L17" s="299">
        <v>0</v>
      </c>
      <c r="M17" s="299">
        <v>6372</v>
      </c>
      <c r="N17" s="299">
        <v>39048.75</v>
      </c>
      <c r="O17" s="299">
        <v>40266.550000000003</v>
      </c>
      <c r="P17" s="299">
        <v>13811.47</v>
      </c>
      <c r="Q17" s="299">
        <v>621</v>
      </c>
      <c r="R17" s="299">
        <v>33586.300000000003</v>
      </c>
      <c r="S17" s="299">
        <v>7111.2</v>
      </c>
      <c r="T17" s="299">
        <v>0</v>
      </c>
      <c r="U17" s="299">
        <v>0</v>
      </c>
      <c r="V17" s="299">
        <v>0</v>
      </c>
      <c r="W17" s="299">
        <v>8090.13</v>
      </c>
      <c r="X17" s="299">
        <v>118655</v>
      </c>
      <c r="Y17" s="299">
        <v>3673065.4599999995</v>
      </c>
      <c r="Z17" s="299">
        <v>1668586.76</v>
      </c>
      <c r="AA17" s="299">
        <v>17801.48</v>
      </c>
      <c r="AB17" s="299">
        <v>648843.54</v>
      </c>
      <c r="AC17" s="299">
        <v>35471.769999999997</v>
      </c>
      <c r="AD17" s="299">
        <v>140589.17000000001</v>
      </c>
      <c r="AE17" s="299">
        <v>0</v>
      </c>
      <c r="AF17" s="299">
        <v>92779.19</v>
      </c>
      <c r="AG17" s="299">
        <v>11455.5</v>
      </c>
      <c r="AH17" s="299">
        <v>10952.87</v>
      </c>
      <c r="AI17" s="299">
        <v>15125</v>
      </c>
      <c r="AJ17" s="299">
        <v>1418.32</v>
      </c>
      <c r="AK17" s="299">
        <v>67046.289999999994</v>
      </c>
      <c r="AL17" s="299">
        <v>12435.55</v>
      </c>
      <c r="AM17" s="299">
        <v>65476.14</v>
      </c>
      <c r="AN17" s="299">
        <v>9446.0499999999993</v>
      </c>
      <c r="AO17" s="299">
        <v>73281.759999999995</v>
      </c>
      <c r="AP17" s="299">
        <v>66612</v>
      </c>
      <c r="AQ17" s="299">
        <v>7089.13</v>
      </c>
      <c r="AR17" s="299">
        <v>125209.93</v>
      </c>
      <c r="AS17" s="299">
        <v>54992.41</v>
      </c>
      <c r="AT17" s="299">
        <v>0</v>
      </c>
      <c r="AU17" s="299">
        <v>29779.53</v>
      </c>
      <c r="AV17" s="299">
        <v>12435.42</v>
      </c>
      <c r="AW17" s="299">
        <v>768.3</v>
      </c>
      <c r="AX17" s="299">
        <v>161760.5</v>
      </c>
      <c r="AY17" s="299">
        <v>135451.63</v>
      </c>
      <c r="AZ17" s="299">
        <v>195572.57</v>
      </c>
      <c r="BA17" s="299">
        <v>30945.279999999999</v>
      </c>
      <c r="BB17" s="299">
        <v>0</v>
      </c>
      <c r="BC17" s="299">
        <v>0</v>
      </c>
      <c r="BD17" s="299">
        <v>68918.240000000005</v>
      </c>
      <c r="BE17" s="299">
        <v>3760244.3299999991</v>
      </c>
      <c r="BF17" s="299">
        <v>-87178.869999999646</v>
      </c>
      <c r="BG17" s="299">
        <v>702770.5</v>
      </c>
      <c r="BH17" s="299">
        <v>615591.63000000035</v>
      </c>
      <c r="BI17" s="299">
        <v>0</v>
      </c>
      <c r="BJ17" s="299">
        <v>180509.32</v>
      </c>
      <c r="BK17" s="299">
        <v>180509.32</v>
      </c>
      <c r="BL17" s="299">
        <v>147239.18</v>
      </c>
      <c r="BM17" s="299">
        <v>21761.43</v>
      </c>
      <c r="BN17" s="299">
        <v>169000.61</v>
      </c>
      <c r="BO17" s="299">
        <v>11508.710000000021</v>
      </c>
      <c r="BP17" s="299">
        <v>95747.88</v>
      </c>
      <c r="BQ17" s="299">
        <v>107256.59000000003</v>
      </c>
      <c r="BR17" s="299">
        <v>387439</v>
      </c>
      <c r="BS17" s="299">
        <v>212884.7000000003</v>
      </c>
      <c r="BT17" s="299">
        <v>122524.51999999999</v>
      </c>
      <c r="BU17" s="299">
        <v>722848.22000000032</v>
      </c>
      <c r="BV17" s="299">
        <v>10750</v>
      </c>
      <c r="BW17" s="299">
        <v>10000</v>
      </c>
      <c r="BX17" s="299">
        <v>68918.240000000005</v>
      </c>
      <c r="BY17" s="299">
        <v>89668.24</v>
      </c>
      <c r="BZ17" s="299">
        <v>0</v>
      </c>
      <c r="CA17" s="299">
        <v>96306.240000000005</v>
      </c>
      <c r="CB17" s="299">
        <v>10000</v>
      </c>
      <c r="CC17" s="299">
        <v>0</v>
      </c>
      <c r="CD17" s="299">
        <v>106306.24000000001</v>
      </c>
      <c r="CE17" s="299">
        <v>-16638</v>
      </c>
      <c r="CF17" s="299">
        <v>16638.330000000002</v>
      </c>
      <c r="CG17" s="299">
        <v>0.33000000000174623</v>
      </c>
      <c r="CH17" s="299">
        <v>0.33000000000174623</v>
      </c>
      <c r="CI17" s="299">
        <v>0</v>
      </c>
      <c r="CJ17" s="299">
        <v>0.33000000000174623</v>
      </c>
    </row>
    <row r="18" spans="1:88" ht="13.8">
      <c r="A18" s="252" t="s">
        <v>1377</v>
      </c>
      <c r="B18" s="288">
        <v>3081</v>
      </c>
      <c r="C18" s="288" t="s">
        <v>722</v>
      </c>
      <c r="D18" s="248" t="s">
        <v>708</v>
      </c>
      <c r="E18" s="399" t="str">
        <f t="shared" si="0"/>
        <v>30EP3081</v>
      </c>
      <c r="F18" s="299">
        <v>623262.91</v>
      </c>
      <c r="G18" s="299">
        <v>0</v>
      </c>
      <c r="H18" s="299">
        <v>33212.800000000003</v>
      </c>
      <c r="I18" s="299">
        <v>0</v>
      </c>
      <c r="J18" s="299">
        <v>27926</v>
      </c>
      <c r="K18" s="299">
        <v>1182</v>
      </c>
      <c r="L18" s="299">
        <v>10977.07</v>
      </c>
      <c r="M18" s="299">
        <v>318</v>
      </c>
      <c r="N18" s="299">
        <v>1929.75</v>
      </c>
      <c r="O18" s="299">
        <v>21828.15</v>
      </c>
      <c r="P18" s="299">
        <v>0</v>
      </c>
      <c r="Q18" s="299">
        <v>0</v>
      </c>
      <c r="R18" s="299">
        <v>17711.7</v>
      </c>
      <c r="S18" s="299">
        <v>5576.64</v>
      </c>
      <c r="T18" s="299">
        <v>0</v>
      </c>
      <c r="U18" s="299">
        <v>0</v>
      </c>
      <c r="V18" s="299">
        <v>0</v>
      </c>
      <c r="W18" s="299">
        <v>917.5</v>
      </c>
      <c r="X18" s="299">
        <v>33077</v>
      </c>
      <c r="Y18" s="299">
        <v>777919.52</v>
      </c>
      <c r="Z18" s="299">
        <v>366693.02</v>
      </c>
      <c r="AA18" s="299">
        <v>3980.96</v>
      </c>
      <c r="AB18" s="299">
        <v>107005.57</v>
      </c>
      <c r="AC18" s="299">
        <v>22097.77</v>
      </c>
      <c r="AD18" s="299">
        <v>46825.88</v>
      </c>
      <c r="AE18" s="299">
        <v>32423.53</v>
      </c>
      <c r="AF18" s="299">
        <v>6820.28</v>
      </c>
      <c r="AG18" s="299">
        <v>5158</v>
      </c>
      <c r="AH18" s="299">
        <v>2763.92</v>
      </c>
      <c r="AI18" s="299">
        <v>1772</v>
      </c>
      <c r="AJ18" s="299">
        <v>0</v>
      </c>
      <c r="AK18" s="299">
        <v>5452.41</v>
      </c>
      <c r="AL18" s="299">
        <v>3180</v>
      </c>
      <c r="AM18" s="299">
        <v>1738.9</v>
      </c>
      <c r="AN18" s="299">
        <v>2328</v>
      </c>
      <c r="AO18" s="299">
        <v>17156.86</v>
      </c>
      <c r="AP18" s="299">
        <v>12100.75</v>
      </c>
      <c r="AQ18" s="299">
        <v>2902.7</v>
      </c>
      <c r="AR18" s="299">
        <v>32939.480000000003</v>
      </c>
      <c r="AS18" s="299">
        <v>15870.970000000001</v>
      </c>
      <c r="AT18" s="299">
        <v>0</v>
      </c>
      <c r="AU18" s="299">
        <v>4582.63</v>
      </c>
      <c r="AV18" s="299">
        <v>2269.21</v>
      </c>
      <c r="AW18" s="299">
        <v>1555.99</v>
      </c>
      <c r="AX18" s="299">
        <v>18613.37</v>
      </c>
      <c r="AY18" s="299">
        <v>0</v>
      </c>
      <c r="AZ18" s="299">
        <v>4483.79</v>
      </c>
      <c r="BA18" s="299">
        <v>12279.38</v>
      </c>
      <c r="BB18" s="299">
        <v>0</v>
      </c>
      <c r="BC18" s="299">
        <v>0</v>
      </c>
      <c r="BD18" s="299">
        <v>0</v>
      </c>
      <c r="BE18" s="299">
        <v>732995.37000000011</v>
      </c>
      <c r="BF18" s="299">
        <v>44924.149999999907</v>
      </c>
      <c r="BG18" s="299">
        <v>47578</v>
      </c>
      <c r="BH18" s="299">
        <v>92502.149999999907</v>
      </c>
      <c r="BI18" s="299">
        <v>0</v>
      </c>
      <c r="BJ18" s="299">
        <v>0</v>
      </c>
      <c r="BK18" s="299">
        <v>0</v>
      </c>
      <c r="BL18" s="299">
        <v>0</v>
      </c>
      <c r="BM18" s="299">
        <v>0</v>
      </c>
      <c r="BN18" s="299">
        <v>0</v>
      </c>
      <c r="BO18" s="299">
        <v>0</v>
      </c>
      <c r="BP18" s="299">
        <v>0</v>
      </c>
      <c r="BQ18" s="299">
        <v>0</v>
      </c>
      <c r="BR18" s="299">
        <v>13376.51</v>
      </c>
      <c r="BS18" s="299">
        <v>79125.639999999912</v>
      </c>
      <c r="BT18" s="299">
        <v>0</v>
      </c>
      <c r="BU18" s="299">
        <v>92502.149999999907</v>
      </c>
      <c r="BV18" s="299">
        <v>5192.5</v>
      </c>
      <c r="BW18" s="299">
        <v>0</v>
      </c>
      <c r="BX18" s="299">
        <v>0</v>
      </c>
      <c r="BY18" s="299">
        <v>5192.5</v>
      </c>
      <c r="BZ18" s="299">
        <v>0</v>
      </c>
      <c r="CA18" s="299">
        <v>11362.53</v>
      </c>
      <c r="CB18" s="299">
        <v>0</v>
      </c>
      <c r="CC18" s="299">
        <v>0</v>
      </c>
      <c r="CD18" s="299">
        <v>11362.53</v>
      </c>
      <c r="CE18" s="299">
        <v>-6170.0300000000007</v>
      </c>
      <c r="CF18" s="299">
        <v>23040.560000000001</v>
      </c>
      <c r="CG18" s="299">
        <v>16870.53</v>
      </c>
      <c r="CH18" s="299">
        <v>16870.53</v>
      </c>
      <c r="CI18" s="299">
        <v>0</v>
      </c>
      <c r="CJ18" s="299">
        <v>16870.53</v>
      </c>
    </row>
    <row r="19" spans="1:88" ht="13.8">
      <c r="A19" s="252" t="s">
        <v>1377</v>
      </c>
      <c r="B19" s="288">
        <v>1005</v>
      </c>
      <c r="C19" s="288" t="s">
        <v>723</v>
      </c>
      <c r="D19" s="248" t="s">
        <v>724</v>
      </c>
      <c r="E19" s="399" t="str">
        <f t="shared" si="0"/>
        <v>30EN1005</v>
      </c>
      <c r="F19" s="299">
        <v>488196.34</v>
      </c>
      <c r="G19" s="299">
        <v>0</v>
      </c>
      <c r="H19" s="299">
        <v>37958.660000000003</v>
      </c>
      <c r="I19" s="299">
        <v>0</v>
      </c>
      <c r="J19" s="299">
        <v>234</v>
      </c>
      <c r="K19" s="299">
        <v>0</v>
      </c>
      <c r="L19" s="299">
        <v>0</v>
      </c>
      <c r="M19" s="299">
        <v>0</v>
      </c>
      <c r="N19" s="299">
        <v>3093.32</v>
      </c>
      <c r="O19" s="299">
        <v>0</v>
      </c>
      <c r="P19" s="299">
        <v>0</v>
      </c>
      <c r="Q19" s="299">
        <v>0</v>
      </c>
      <c r="R19" s="299">
        <v>0</v>
      </c>
      <c r="S19" s="299">
        <v>52017.07</v>
      </c>
      <c r="T19" s="299">
        <v>0</v>
      </c>
      <c r="U19" s="299">
        <v>0</v>
      </c>
      <c r="V19" s="299">
        <v>0</v>
      </c>
      <c r="W19" s="299">
        <v>0</v>
      </c>
      <c r="X19" s="299">
        <v>0</v>
      </c>
      <c r="Y19" s="299">
        <v>581499.3899999999</v>
      </c>
      <c r="Z19" s="299">
        <v>159149.32999999999</v>
      </c>
      <c r="AA19" s="299">
        <v>0</v>
      </c>
      <c r="AB19" s="299">
        <v>211671.01</v>
      </c>
      <c r="AC19" s="299">
        <v>0</v>
      </c>
      <c r="AD19" s="299">
        <v>82210.080000000002</v>
      </c>
      <c r="AE19" s="299">
        <v>0</v>
      </c>
      <c r="AF19" s="299">
        <v>15035.91</v>
      </c>
      <c r="AG19" s="299">
        <v>2686</v>
      </c>
      <c r="AH19" s="299">
        <v>1219.33</v>
      </c>
      <c r="AI19" s="299">
        <v>1450</v>
      </c>
      <c r="AJ19" s="299">
        <v>0</v>
      </c>
      <c r="AK19" s="299">
        <v>9571.2000000000007</v>
      </c>
      <c r="AL19" s="299">
        <v>7696</v>
      </c>
      <c r="AM19" s="299">
        <v>18703.43</v>
      </c>
      <c r="AN19" s="299">
        <v>1723.2</v>
      </c>
      <c r="AO19" s="299">
        <v>10188.73</v>
      </c>
      <c r="AP19" s="299">
        <v>8982</v>
      </c>
      <c r="AQ19" s="299">
        <v>4656.12</v>
      </c>
      <c r="AR19" s="299">
        <v>4423.17</v>
      </c>
      <c r="AS19" s="299">
        <v>11725.4</v>
      </c>
      <c r="AT19" s="299">
        <v>0</v>
      </c>
      <c r="AU19" s="299">
        <v>4256.66</v>
      </c>
      <c r="AV19" s="299">
        <v>1311.92</v>
      </c>
      <c r="AW19" s="299">
        <v>0</v>
      </c>
      <c r="AX19" s="299">
        <v>1283.1600000000001</v>
      </c>
      <c r="AY19" s="299">
        <v>0</v>
      </c>
      <c r="AZ19" s="299">
        <v>0</v>
      </c>
      <c r="BA19" s="299">
        <v>12889.42</v>
      </c>
      <c r="BB19" s="299">
        <v>0</v>
      </c>
      <c r="BC19" s="299">
        <v>0</v>
      </c>
      <c r="BD19" s="299">
        <v>0</v>
      </c>
      <c r="BE19" s="299">
        <v>570832.07000000018</v>
      </c>
      <c r="BF19" s="299">
        <v>10667.319999999716</v>
      </c>
      <c r="BG19" s="299">
        <v>-78040.58</v>
      </c>
      <c r="BH19" s="299">
        <v>-67373.260000000286</v>
      </c>
      <c r="BI19" s="299">
        <v>0</v>
      </c>
      <c r="BJ19" s="299">
        <v>196788.23</v>
      </c>
      <c r="BK19" s="299">
        <v>196788.23</v>
      </c>
      <c r="BL19" s="299">
        <v>102273.87</v>
      </c>
      <c r="BM19" s="299">
        <v>23567.91</v>
      </c>
      <c r="BN19" s="299">
        <v>125841.78</v>
      </c>
      <c r="BO19" s="299">
        <v>70946.450000000012</v>
      </c>
      <c r="BP19" s="299">
        <v>234058.07</v>
      </c>
      <c r="BQ19" s="299">
        <v>305004.52</v>
      </c>
      <c r="BR19" s="299">
        <v>46012.86</v>
      </c>
      <c r="BS19" s="299">
        <v>-113386.12000000029</v>
      </c>
      <c r="BT19" s="299">
        <v>305004.52</v>
      </c>
      <c r="BU19" s="299">
        <v>237631.25999999972</v>
      </c>
      <c r="BV19" s="299">
        <v>4585.8999999999996</v>
      </c>
      <c r="BW19" s="299">
        <v>0</v>
      </c>
      <c r="BX19" s="299">
        <v>0</v>
      </c>
      <c r="BY19" s="299">
        <v>4585.8999999999996</v>
      </c>
      <c r="BZ19" s="299">
        <v>0</v>
      </c>
      <c r="CA19" s="299">
        <v>0</v>
      </c>
      <c r="CB19" s="299">
        <v>0</v>
      </c>
      <c r="CC19" s="299">
        <v>0</v>
      </c>
      <c r="CD19" s="299">
        <v>0</v>
      </c>
      <c r="CE19" s="299">
        <v>4585.8999999999996</v>
      </c>
      <c r="CF19" s="299">
        <v>1015.6</v>
      </c>
      <c r="CG19" s="299">
        <v>5601.5</v>
      </c>
      <c r="CH19" s="299">
        <v>5601.5</v>
      </c>
      <c r="CI19" s="299">
        <v>0</v>
      </c>
      <c r="CJ19" s="299">
        <v>5601.5</v>
      </c>
    </row>
    <row r="20" spans="1:88" ht="13.8">
      <c r="A20" s="252" t="s">
        <v>1377</v>
      </c>
      <c r="B20" s="288">
        <v>2327</v>
      </c>
      <c r="C20" s="288" t="s">
        <v>725</v>
      </c>
      <c r="D20" s="248" t="s">
        <v>708</v>
      </c>
      <c r="E20" s="399" t="str">
        <f t="shared" si="0"/>
        <v>30EP2327</v>
      </c>
      <c r="F20" s="299">
        <v>1915635.3</v>
      </c>
      <c r="G20" s="299">
        <v>0</v>
      </c>
      <c r="H20" s="299">
        <v>33686.32</v>
      </c>
      <c r="I20" s="299">
        <v>0</v>
      </c>
      <c r="J20" s="299">
        <v>122345</v>
      </c>
      <c r="K20" s="299">
        <v>2951</v>
      </c>
      <c r="L20" s="299">
        <v>0</v>
      </c>
      <c r="M20" s="299">
        <v>6249.83</v>
      </c>
      <c r="N20" s="299">
        <v>3046.03</v>
      </c>
      <c r="O20" s="299">
        <v>35291.71</v>
      </c>
      <c r="P20" s="299">
        <v>2250</v>
      </c>
      <c r="Q20" s="299">
        <v>0</v>
      </c>
      <c r="R20" s="299">
        <v>32069.200000000001</v>
      </c>
      <c r="S20" s="299">
        <v>1403.46</v>
      </c>
      <c r="T20" s="299">
        <v>0</v>
      </c>
      <c r="U20" s="299">
        <v>0</v>
      </c>
      <c r="V20" s="299">
        <v>0</v>
      </c>
      <c r="W20" s="299">
        <v>225.63</v>
      </c>
      <c r="X20" s="299">
        <v>69722</v>
      </c>
      <c r="Y20" s="299">
        <v>2224875.4800000004</v>
      </c>
      <c r="Z20" s="299">
        <v>1199623.6599999999</v>
      </c>
      <c r="AA20" s="299">
        <v>41781.230000000003</v>
      </c>
      <c r="AB20" s="299">
        <v>339106</v>
      </c>
      <c r="AC20" s="299">
        <v>30204.560000000001</v>
      </c>
      <c r="AD20" s="299">
        <v>131416.59</v>
      </c>
      <c r="AE20" s="299">
        <v>0</v>
      </c>
      <c r="AF20" s="299">
        <v>27398.3</v>
      </c>
      <c r="AG20" s="299">
        <v>6986.5</v>
      </c>
      <c r="AH20" s="299">
        <v>4794.1000000000004</v>
      </c>
      <c r="AI20" s="299">
        <v>0</v>
      </c>
      <c r="AJ20" s="299">
        <v>12596.91</v>
      </c>
      <c r="AK20" s="299">
        <v>16937.23</v>
      </c>
      <c r="AL20" s="299">
        <v>5951.25</v>
      </c>
      <c r="AM20" s="299">
        <v>47901.49</v>
      </c>
      <c r="AN20" s="299">
        <v>5161.59</v>
      </c>
      <c r="AO20" s="299">
        <v>104421.01</v>
      </c>
      <c r="AP20" s="299">
        <v>69342</v>
      </c>
      <c r="AQ20" s="299">
        <v>15036.54</v>
      </c>
      <c r="AR20" s="299">
        <v>80993.100000000006</v>
      </c>
      <c r="AS20" s="299">
        <v>48923.040000000001</v>
      </c>
      <c r="AT20" s="299">
        <v>0</v>
      </c>
      <c r="AU20" s="299">
        <v>7763.75</v>
      </c>
      <c r="AV20" s="299">
        <v>7924.19</v>
      </c>
      <c r="AW20" s="299">
        <v>2175.0700000000002</v>
      </c>
      <c r="AX20" s="299">
        <v>117426.17</v>
      </c>
      <c r="AY20" s="299">
        <v>36055.9</v>
      </c>
      <c r="AZ20" s="299">
        <v>14414</v>
      </c>
      <c r="BA20" s="299">
        <v>20930.71</v>
      </c>
      <c r="BB20" s="299">
        <v>0</v>
      </c>
      <c r="BC20" s="299">
        <v>0</v>
      </c>
      <c r="BD20" s="299">
        <v>0</v>
      </c>
      <c r="BE20" s="299">
        <v>2395264.8899999997</v>
      </c>
      <c r="BF20" s="299">
        <v>-170389.40999999922</v>
      </c>
      <c r="BG20" s="299">
        <v>361123.81</v>
      </c>
      <c r="BH20" s="299">
        <v>190734.40000000078</v>
      </c>
      <c r="BI20" s="299">
        <v>0</v>
      </c>
      <c r="BJ20" s="299">
        <v>0</v>
      </c>
      <c r="BK20" s="299">
        <v>0</v>
      </c>
      <c r="BL20" s="299">
        <v>0</v>
      </c>
      <c r="BM20" s="299">
        <v>0</v>
      </c>
      <c r="BN20" s="299">
        <v>0</v>
      </c>
      <c r="BO20" s="299">
        <v>0</v>
      </c>
      <c r="BP20" s="299">
        <v>0</v>
      </c>
      <c r="BQ20" s="299">
        <v>0</v>
      </c>
      <c r="BR20" s="299">
        <v>3084</v>
      </c>
      <c r="BS20" s="299">
        <v>187650.40000000078</v>
      </c>
      <c r="BT20" s="299">
        <v>0</v>
      </c>
      <c r="BU20" s="299">
        <v>190734.40000000078</v>
      </c>
      <c r="BV20" s="299">
        <v>8432.5</v>
      </c>
      <c r="BW20" s="299">
        <v>0</v>
      </c>
      <c r="BX20" s="299">
        <v>0</v>
      </c>
      <c r="BY20" s="299">
        <v>8432.5</v>
      </c>
      <c r="BZ20" s="299">
        <v>0</v>
      </c>
      <c r="CA20" s="299">
        <v>2793</v>
      </c>
      <c r="CB20" s="299">
        <v>0</v>
      </c>
      <c r="CC20" s="299">
        <v>4680.8100000000004</v>
      </c>
      <c r="CD20" s="299">
        <v>7473.81</v>
      </c>
      <c r="CE20" s="299">
        <v>958.6899999999996</v>
      </c>
      <c r="CF20" s="299">
        <v>36351.22</v>
      </c>
      <c r="CG20" s="299">
        <v>37309.910000000003</v>
      </c>
      <c r="CH20" s="299">
        <v>37309.910000000003</v>
      </c>
      <c r="CI20" s="299">
        <v>0</v>
      </c>
      <c r="CJ20" s="299">
        <v>37309.910000000003</v>
      </c>
    </row>
    <row r="21" spans="1:88" ht="13.8">
      <c r="A21" s="252" t="s">
        <v>1377</v>
      </c>
      <c r="B21" s="288">
        <v>2452</v>
      </c>
      <c r="C21" s="288" t="s">
        <v>726</v>
      </c>
      <c r="D21" s="248" t="s">
        <v>708</v>
      </c>
      <c r="E21" s="399" t="str">
        <f t="shared" si="0"/>
        <v>30EP2452</v>
      </c>
      <c r="F21" s="299">
        <v>1980235.28</v>
      </c>
      <c r="G21" s="299">
        <v>0</v>
      </c>
      <c r="H21" s="299">
        <v>51999.81</v>
      </c>
      <c r="I21" s="299">
        <v>0</v>
      </c>
      <c r="J21" s="299">
        <v>151250</v>
      </c>
      <c r="K21" s="299">
        <v>2565</v>
      </c>
      <c r="L21" s="299">
        <v>0</v>
      </c>
      <c r="M21" s="299">
        <v>15753</v>
      </c>
      <c r="N21" s="299">
        <v>97021.440000000002</v>
      </c>
      <c r="O21" s="299">
        <v>36896.910000000003</v>
      </c>
      <c r="P21" s="299">
        <v>12795</v>
      </c>
      <c r="Q21" s="299">
        <v>705</v>
      </c>
      <c r="R21" s="299">
        <v>43370.8</v>
      </c>
      <c r="S21" s="299">
        <v>3334.99</v>
      </c>
      <c r="T21" s="299">
        <v>0</v>
      </c>
      <c r="U21" s="299">
        <v>0</v>
      </c>
      <c r="V21" s="299">
        <v>0</v>
      </c>
      <c r="W21" s="299">
        <v>3284.38</v>
      </c>
      <c r="X21" s="299">
        <v>81350</v>
      </c>
      <c r="Y21" s="299">
        <v>2480561.61</v>
      </c>
      <c r="Z21" s="299">
        <v>1169703.01</v>
      </c>
      <c r="AA21" s="299">
        <v>11835.11</v>
      </c>
      <c r="AB21" s="299">
        <v>494389.07</v>
      </c>
      <c r="AC21" s="299">
        <v>72919.37</v>
      </c>
      <c r="AD21" s="299">
        <v>114097.93</v>
      </c>
      <c r="AE21" s="299">
        <v>52608.2</v>
      </c>
      <c r="AF21" s="299">
        <v>84748.64</v>
      </c>
      <c r="AG21" s="299">
        <v>19538.86</v>
      </c>
      <c r="AH21" s="299">
        <v>12734.27</v>
      </c>
      <c r="AI21" s="299">
        <v>9425</v>
      </c>
      <c r="AJ21" s="299">
        <v>510</v>
      </c>
      <c r="AK21" s="299">
        <v>18303.57</v>
      </c>
      <c r="AL21" s="299">
        <v>2888.16</v>
      </c>
      <c r="AM21" s="299">
        <v>3611.26</v>
      </c>
      <c r="AN21" s="299">
        <v>4608</v>
      </c>
      <c r="AO21" s="299">
        <v>35608.43</v>
      </c>
      <c r="AP21" s="299">
        <v>48048</v>
      </c>
      <c r="AQ21" s="299">
        <v>15447.59</v>
      </c>
      <c r="AR21" s="299">
        <v>73115.460000000006</v>
      </c>
      <c r="AS21" s="299">
        <v>24254.959999999999</v>
      </c>
      <c r="AT21" s="299">
        <v>0</v>
      </c>
      <c r="AU21" s="299">
        <v>24433.1</v>
      </c>
      <c r="AV21" s="299">
        <v>8442.49</v>
      </c>
      <c r="AW21" s="299">
        <v>8328.58</v>
      </c>
      <c r="AX21" s="299">
        <v>39793.300000000003</v>
      </c>
      <c r="AY21" s="299">
        <v>52978</v>
      </c>
      <c r="AZ21" s="299">
        <v>45536.65</v>
      </c>
      <c r="BA21" s="299">
        <v>18305.09</v>
      </c>
      <c r="BB21" s="299">
        <v>0</v>
      </c>
      <c r="BC21" s="299">
        <v>0</v>
      </c>
      <c r="BD21" s="299">
        <v>22780.65</v>
      </c>
      <c r="BE21" s="299">
        <v>2488992.7499999995</v>
      </c>
      <c r="BF21" s="299">
        <v>-8431.1399999996647</v>
      </c>
      <c r="BG21" s="299">
        <v>1911.41</v>
      </c>
      <c r="BH21" s="299">
        <v>-6519.7299999996649</v>
      </c>
      <c r="BI21" s="299">
        <v>0</v>
      </c>
      <c r="BJ21" s="299">
        <v>0</v>
      </c>
      <c r="BK21" s="299">
        <v>0</v>
      </c>
      <c r="BL21" s="299">
        <v>0</v>
      </c>
      <c r="BM21" s="299">
        <v>0</v>
      </c>
      <c r="BN21" s="299">
        <v>0</v>
      </c>
      <c r="BO21" s="299">
        <v>0</v>
      </c>
      <c r="BP21" s="299">
        <v>0</v>
      </c>
      <c r="BQ21" s="299">
        <v>0</v>
      </c>
      <c r="BR21" s="299">
        <v>32706.28</v>
      </c>
      <c r="BS21" s="299">
        <v>-39226.010000000126</v>
      </c>
      <c r="BT21" s="299">
        <v>0</v>
      </c>
      <c r="BU21" s="299">
        <v>-6519.7300000001269</v>
      </c>
      <c r="BV21" s="299">
        <v>8072.5</v>
      </c>
      <c r="BW21" s="299">
        <v>1597.7</v>
      </c>
      <c r="BX21" s="299">
        <v>17253.259999999998</v>
      </c>
      <c r="BY21" s="299">
        <v>26923.46</v>
      </c>
      <c r="BZ21" s="299">
        <v>0</v>
      </c>
      <c r="CA21" s="299">
        <v>11472.44</v>
      </c>
      <c r="CB21" s="299">
        <v>14815</v>
      </c>
      <c r="CC21" s="299">
        <v>0</v>
      </c>
      <c r="CD21" s="299">
        <v>26287.440000000002</v>
      </c>
      <c r="CE21" s="299">
        <v>636.0199999999968</v>
      </c>
      <c r="CF21" s="299">
        <v>961.68</v>
      </c>
      <c r="CG21" s="299">
        <v>1597.6999999999966</v>
      </c>
      <c r="CH21" s="299">
        <v>0</v>
      </c>
      <c r="CI21" s="299">
        <v>1597.6999999999964</v>
      </c>
      <c r="CJ21" s="299">
        <v>1597.6999999999964</v>
      </c>
    </row>
    <row r="22" spans="1:88" ht="13.8">
      <c r="A22" s="252" t="s">
        <v>1377</v>
      </c>
      <c r="B22" s="288">
        <v>2004</v>
      </c>
      <c r="C22" s="288" t="s">
        <v>727</v>
      </c>
      <c r="D22" s="248" t="s">
        <v>708</v>
      </c>
      <c r="E22" s="399" t="str">
        <f t="shared" si="0"/>
        <v>30EP2004</v>
      </c>
      <c r="F22" s="299">
        <v>1052273.6299999999</v>
      </c>
      <c r="G22" s="299">
        <v>0</v>
      </c>
      <c r="H22" s="299">
        <v>14047.69</v>
      </c>
      <c r="I22" s="299">
        <v>0</v>
      </c>
      <c r="J22" s="299">
        <v>45490</v>
      </c>
      <c r="K22" s="299">
        <v>1763</v>
      </c>
      <c r="L22" s="299">
        <v>0</v>
      </c>
      <c r="M22" s="299">
        <v>0</v>
      </c>
      <c r="N22" s="299">
        <v>133031.42000000001</v>
      </c>
      <c r="O22" s="299">
        <v>30966.77</v>
      </c>
      <c r="P22" s="299">
        <v>0</v>
      </c>
      <c r="Q22" s="299">
        <v>651</v>
      </c>
      <c r="R22" s="299">
        <v>18507.990000000002</v>
      </c>
      <c r="S22" s="299">
        <v>8888.09</v>
      </c>
      <c r="T22" s="299">
        <v>0</v>
      </c>
      <c r="U22" s="299">
        <v>0</v>
      </c>
      <c r="V22" s="299">
        <v>0</v>
      </c>
      <c r="W22" s="299">
        <v>588</v>
      </c>
      <c r="X22" s="299">
        <v>49650.63</v>
      </c>
      <c r="Y22" s="299">
        <v>1355858.2199999997</v>
      </c>
      <c r="Z22" s="299">
        <v>681237.97</v>
      </c>
      <c r="AA22" s="299">
        <v>4824.74</v>
      </c>
      <c r="AB22" s="299">
        <v>171281.89</v>
      </c>
      <c r="AC22" s="299">
        <v>29442.25</v>
      </c>
      <c r="AD22" s="299">
        <v>75230.720000000001</v>
      </c>
      <c r="AE22" s="299">
        <v>0</v>
      </c>
      <c r="AF22" s="299">
        <v>80258.42</v>
      </c>
      <c r="AG22" s="299">
        <v>6663.41</v>
      </c>
      <c r="AH22" s="299">
        <v>3381.8</v>
      </c>
      <c r="AI22" s="299">
        <v>5075</v>
      </c>
      <c r="AJ22" s="299">
        <v>125</v>
      </c>
      <c r="AK22" s="299">
        <v>34742.97</v>
      </c>
      <c r="AL22" s="299">
        <v>2520</v>
      </c>
      <c r="AM22" s="299">
        <v>12389.95</v>
      </c>
      <c r="AN22" s="299">
        <v>0</v>
      </c>
      <c r="AO22" s="299">
        <v>23891.06</v>
      </c>
      <c r="AP22" s="299">
        <v>23827.25</v>
      </c>
      <c r="AQ22" s="299">
        <v>15.1</v>
      </c>
      <c r="AR22" s="299">
        <v>47834.19</v>
      </c>
      <c r="AS22" s="299">
        <v>27880.97</v>
      </c>
      <c r="AT22" s="299">
        <v>0</v>
      </c>
      <c r="AU22" s="299">
        <v>5874.99</v>
      </c>
      <c r="AV22" s="299">
        <v>4204.07</v>
      </c>
      <c r="AW22" s="299">
        <v>9136.67</v>
      </c>
      <c r="AX22" s="299">
        <v>68357.600000000006</v>
      </c>
      <c r="AY22" s="299">
        <v>2669.15</v>
      </c>
      <c r="AZ22" s="299">
        <v>14384</v>
      </c>
      <c r="BA22" s="299">
        <v>15904.59</v>
      </c>
      <c r="BB22" s="299">
        <v>0</v>
      </c>
      <c r="BC22" s="299">
        <v>0</v>
      </c>
      <c r="BD22" s="299">
        <v>0</v>
      </c>
      <c r="BE22" s="299">
        <v>1351153.76</v>
      </c>
      <c r="BF22" s="299">
        <v>4704.4599999997299</v>
      </c>
      <c r="BG22" s="299">
        <v>29501.58</v>
      </c>
      <c r="BH22" s="299">
        <v>34206.039999999732</v>
      </c>
      <c r="BI22" s="299">
        <v>0</v>
      </c>
      <c r="BJ22" s="299">
        <v>0</v>
      </c>
      <c r="BK22" s="299">
        <v>0</v>
      </c>
      <c r="BL22" s="299">
        <v>0</v>
      </c>
      <c r="BM22" s="299">
        <v>0</v>
      </c>
      <c r="BN22" s="299">
        <v>0</v>
      </c>
      <c r="BO22" s="299">
        <v>0</v>
      </c>
      <c r="BP22" s="299">
        <v>0</v>
      </c>
      <c r="BQ22" s="299">
        <v>0</v>
      </c>
      <c r="BR22" s="299">
        <v>0</v>
      </c>
      <c r="BS22" s="299">
        <v>34206.039999999964</v>
      </c>
      <c r="BT22" s="299">
        <v>0</v>
      </c>
      <c r="BU22" s="299">
        <v>34206.039999999964</v>
      </c>
      <c r="BV22" s="299">
        <v>6272.5</v>
      </c>
      <c r="BW22" s="299">
        <v>0</v>
      </c>
      <c r="BX22" s="299">
        <v>0</v>
      </c>
      <c r="BY22" s="299">
        <v>6272.5</v>
      </c>
      <c r="BZ22" s="299">
        <v>0</v>
      </c>
      <c r="CA22" s="299">
        <v>4510</v>
      </c>
      <c r="CB22" s="299">
        <v>0</v>
      </c>
      <c r="CC22" s="299">
        <v>2645.72</v>
      </c>
      <c r="CD22" s="299">
        <v>7155.7199999999993</v>
      </c>
      <c r="CE22" s="299">
        <v>-883.21999999999935</v>
      </c>
      <c r="CF22" s="299">
        <v>2873.07</v>
      </c>
      <c r="CG22" s="299">
        <v>1989.8500000000008</v>
      </c>
      <c r="CH22" s="299">
        <v>1989.8500000000008</v>
      </c>
      <c r="CI22" s="299">
        <v>0</v>
      </c>
      <c r="CJ22" s="299">
        <v>1989.8500000000008</v>
      </c>
    </row>
    <row r="23" spans="1:88" ht="13.8">
      <c r="A23" s="252" t="s">
        <v>1377</v>
      </c>
      <c r="B23" s="288">
        <v>3008</v>
      </c>
      <c r="C23" s="288" t="s">
        <v>728</v>
      </c>
      <c r="D23" s="248" t="s">
        <v>708</v>
      </c>
      <c r="E23" s="399" t="str">
        <f t="shared" si="0"/>
        <v>30EP3008</v>
      </c>
      <c r="F23" s="299">
        <v>779191.11</v>
      </c>
      <c r="G23" s="299">
        <v>0</v>
      </c>
      <c r="H23" s="299">
        <v>6714</v>
      </c>
      <c r="I23" s="299">
        <v>0</v>
      </c>
      <c r="J23" s="299">
        <v>35080</v>
      </c>
      <c r="K23" s="299">
        <v>10875</v>
      </c>
      <c r="L23" s="299">
        <v>0</v>
      </c>
      <c r="M23" s="299">
        <v>0</v>
      </c>
      <c r="N23" s="299">
        <v>6695.87</v>
      </c>
      <c r="O23" s="299">
        <v>11430.65</v>
      </c>
      <c r="P23" s="299">
        <v>0</v>
      </c>
      <c r="Q23" s="299">
        <v>0</v>
      </c>
      <c r="R23" s="299">
        <v>7770.29</v>
      </c>
      <c r="S23" s="299">
        <v>4500.13</v>
      </c>
      <c r="T23" s="299">
        <v>0</v>
      </c>
      <c r="U23" s="299">
        <v>0</v>
      </c>
      <c r="V23" s="299">
        <v>0</v>
      </c>
      <c r="W23" s="299">
        <v>206.88</v>
      </c>
      <c r="X23" s="299">
        <v>37155</v>
      </c>
      <c r="Y23" s="299">
        <v>899618.93</v>
      </c>
      <c r="Z23" s="299">
        <v>480004.95</v>
      </c>
      <c r="AA23" s="299">
        <v>0</v>
      </c>
      <c r="AB23" s="299">
        <v>122565.48</v>
      </c>
      <c r="AC23" s="299">
        <v>28819.29</v>
      </c>
      <c r="AD23" s="299">
        <v>41709.440000000002</v>
      </c>
      <c r="AE23" s="299">
        <v>0</v>
      </c>
      <c r="AF23" s="299">
        <v>18159.900000000001</v>
      </c>
      <c r="AG23" s="299">
        <v>3279.2</v>
      </c>
      <c r="AH23" s="299">
        <v>515.76</v>
      </c>
      <c r="AI23" s="299">
        <v>1858.18</v>
      </c>
      <c r="AJ23" s="299">
        <v>0</v>
      </c>
      <c r="AK23" s="299">
        <v>7100.13</v>
      </c>
      <c r="AL23" s="299">
        <v>975</v>
      </c>
      <c r="AM23" s="299">
        <v>2062.94</v>
      </c>
      <c r="AN23" s="299">
        <v>1977.01</v>
      </c>
      <c r="AO23" s="299">
        <v>17242.689999999999</v>
      </c>
      <c r="AP23" s="299">
        <v>18587.75</v>
      </c>
      <c r="AQ23" s="299">
        <v>5052.1000000000004</v>
      </c>
      <c r="AR23" s="299">
        <v>30335.65</v>
      </c>
      <c r="AS23" s="299">
        <v>17033.22</v>
      </c>
      <c r="AT23" s="299">
        <v>0</v>
      </c>
      <c r="AU23" s="299">
        <v>9303.7999999999993</v>
      </c>
      <c r="AV23" s="299">
        <v>2982.67</v>
      </c>
      <c r="AW23" s="299">
        <v>0</v>
      </c>
      <c r="AX23" s="299">
        <v>45336.93</v>
      </c>
      <c r="AY23" s="299">
        <v>7989.16</v>
      </c>
      <c r="AZ23" s="299">
        <v>0</v>
      </c>
      <c r="BA23" s="299">
        <v>11810.17</v>
      </c>
      <c r="BB23" s="299">
        <v>0</v>
      </c>
      <c r="BC23" s="299">
        <v>0</v>
      </c>
      <c r="BD23" s="299">
        <v>0</v>
      </c>
      <c r="BE23" s="299">
        <v>874701.42000000027</v>
      </c>
      <c r="BF23" s="299">
        <v>24917.509999999776</v>
      </c>
      <c r="BG23" s="299">
        <v>-29425.91</v>
      </c>
      <c r="BH23" s="299">
        <v>-4508.4000000002234</v>
      </c>
      <c r="BI23" s="299">
        <v>0</v>
      </c>
      <c r="BJ23" s="299">
        <v>0</v>
      </c>
      <c r="BK23" s="299">
        <v>0</v>
      </c>
      <c r="BL23" s="299">
        <v>0</v>
      </c>
      <c r="BM23" s="299">
        <v>0</v>
      </c>
      <c r="BN23" s="299">
        <v>0</v>
      </c>
      <c r="BO23" s="299">
        <v>0</v>
      </c>
      <c r="BP23" s="299">
        <v>0</v>
      </c>
      <c r="BQ23" s="299">
        <v>0</v>
      </c>
      <c r="BR23" s="299">
        <v>9617.2199999999975</v>
      </c>
      <c r="BS23" s="299">
        <v>-14125.620000000221</v>
      </c>
      <c r="BT23" s="299">
        <v>0</v>
      </c>
      <c r="BU23" s="299">
        <v>-4508.4000000002234</v>
      </c>
      <c r="BV23" s="299">
        <v>5525.5</v>
      </c>
      <c r="BW23" s="299">
        <v>0</v>
      </c>
      <c r="BX23" s="299">
        <v>0</v>
      </c>
      <c r="BY23" s="299">
        <v>5525.5</v>
      </c>
      <c r="BZ23" s="299">
        <v>0</v>
      </c>
      <c r="CA23" s="299">
        <v>454</v>
      </c>
      <c r="CB23" s="299">
        <v>0</v>
      </c>
      <c r="CC23" s="299">
        <v>724.5</v>
      </c>
      <c r="CD23" s="299">
        <v>1178.5</v>
      </c>
      <c r="CE23" s="299">
        <v>4347</v>
      </c>
      <c r="CF23" s="299">
        <v>11340.83</v>
      </c>
      <c r="CG23" s="299">
        <v>15687.83</v>
      </c>
      <c r="CH23" s="299">
        <v>15687.83</v>
      </c>
      <c r="CI23" s="299">
        <v>0</v>
      </c>
      <c r="CJ23" s="299">
        <v>15687.83</v>
      </c>
    </row>
    <row r="24" spans="1:88" ht="13.8">
      <c r="A24" s="252" t="s">
        <v>1377</v>
      </c>
      <c r="B24" s="288">
        <v>7026</v>
      </c>
      <c r="C24" s="288" t="s">
        <v>729</v>
      </c>
      <c r="D24" s="248" t="s">
        <v>730</v>
      </c>
      <c r="E24" s="399" t="str">
        <f t="shared" si="0"/>
        <v>30ES7026</v>
      </c>
      <c r="F24" s="299">
        <v>2890840.78</v>
      </c>
      <c r="G24" s="299">
        <v>462321.25</v>
      </c>
      <c r="H24" s="299">
        <v>2868854.45</v>
      </c>
      <c r="I24" s="299">
        <v>0</v>
      </c>
      <c r="J24" s="299">
        <v>105930</v>
      </c>
      <c r="K24" s="299">
        <v>6228.22</v>
      </c>
      <c r="L24" s="299">
        <v>0</v>
      </c>
      <c r="M24" s="299">
        <v>3420</v>
      </c>
      <c r="N24" s="299">
        <v>48276.81</v>
      </c>
      <c r="O24" s="299">
        <v>25348.93</v>
      </c>
      <c r="P24" s="299">
        <v>0</v>
      </c>
      <c r="Q24" s="299">
        <v>34410.720000000001</v>
      </c>
      <c r="R24" s="299">
        <v>6240.86</v>
      </c>
      <c r="S24" s="299">
        <v>20580.46</v>
      </c>
      <c r="T24" s="299">
        <v>0</v>
      </c>
      <c r="U24" s="299">
        <v>0</v>
      </c>
      <c r="V24" s="299">
        <v>0</v>
      </c>
      <c r="W24" s="299">
        <v>25855.69</v>
      </c>
      <c r="X24" s="299">
        <v>26235</v>
      </c>
      <c r="Y24" s="299">
        <v>6524543.1699999999</v>
      </c>
      <c r="Z24" s="299">
        <v>2448753.42</v>
      </c>
      <c r="AA24" s="299">
        <v>32359.87</v>
      </c>
      <c r="AB24" s="299">
        <v>2105238.15</v>
      </c>
      <c r="AC24" s="299">
        <v>74102.210000000006</v>
      </c>
      <c r="AD24" s="299">
        <v>214312.84</v>
      </c>
      <c r="AE24" s="299">
        <v>0</v>
      </c>
      <c r="AF24" s="299">
        <v>100266.13</v>
      </c>
      <c r="AG24" s="299">
        <v>26133.71</v>
      </c>
      <c r="AH24" s="299">
        <v>19967.3</v>
      </c>
      <c r="AI24" s="299">
        <v>0</v>
      </c>
      <c r="AJ24" s="299">
        <v>0</v>
      </c>
      <c r="AK24" s="299">
        <v>97754.75</v>
      </c>
      <c r="AL24" s="299">
        <v>2815.39</v>
      </c>
      <c r="AM24" s="299">
        <v>100704.61</v>
      </c>
      <c r="AN24" s="299">
        <v>12073.6</v>
      </c>
      <c r="AO24" s="299">
        <v>100825.38</v>
      </c>
      <c r="AP24" s="299">
        <v>0</v>
      </c>
      <c r="AQ24" s="299">
        <v>23848.33</v>
      </c>
      <c r="AR24" s="299">
        <v>103509.75999999999</v>
      </c>
      <c r="AS24" s="299">
        <v>62656.099999999991</v>
      </c>
      <c r="AT24" s="299">
        <v>1913.44</v>
      </c>
      <c r="AU24" s="299">
        <v>19084.22</v>
      </c>
      <c r="AV24" s="299">
        <v>14463.27</v>
      </c>
      <c r="AW24" s="299">
        <v>49242.78</v>
      </c>
      <c r="AX24" s="299">
        <v>74413.679999999993</v>
      </c>
      <c r="AY24" s="299">
        <v>0</v>
      </c>
      <c r="AZ24" s="299">
        <v>1407372.37</v>
      </c>
      <c r="BA24" s="299">
        <v>44181.5</v>
      </c>
      <c r="BB24" s="299">
        <v>0</v>
      </c>
      <c r="BC24" s="299">
        <v>2930.76</v>
      </c>
      <c r="BD24" s="299">
        <v>69599.72</v>
      </c>
      <c r="BE24" s="299">
        <v>7208523.2899999972</v>
      </c>
      <c r="BF24" s="299">
        <v>-683980.11999999732</v>
      </c>
      <c r="BG24" s="299">
        <v>-237045.03</v>
      </c>
      <c r="BH24" s="299">
        <v>-921025.14999999735</v>
      </c>
      <c r="BI24" s="299">
        <v>0</v>
      </c>
      <c r="BJ24" s="299">
        <v>0</v>
      </c>
      <c r="BK24" s="299">
        <v>0</v>
      </c>
      <c r="BL24" s="299">
        <v>0</v>
      </c>
      <c r="BM24" s="299">
        <v>0</v>
      </c>
      <c r="BN24" s="299">
        <v>0</v>
      </c>
      <c r="BO24" s="299">
        <v>0</v>
      </c>
      <c r="BP24" s="299">
        <v>0</v>
      </c>
      <c r="BQ24" s="299">
        <v>0</v>
      </c>
      <c r="BR24" s="299">
        <v>1222.1500000000001</v>
      </c>
      <c r="BS24" s="299">
        <v>-922247.29999999737</v>
      </c>
      <c r="BT24" s="299">
        <v>0</v>
      </c>
      <c r="BU24" s="299">
        <v>-921025.14999999735</v>
      </c>
      <c r="BV24" s="299">
        <v>15086.88</v>
      </c>
      <c r="BW24" s="299">
        <v>0</v>
      </c>
      <c r="BX24" s="299">
        <v>61543.69</v>
      </c>
      <c r="BY24" s="299">
        <v>76630.570000000007</v>
      </c>
      <c r="BZ24" s="299">
        <v>0</v>
      </c>
      <c r="CA24" s="299">
        <v>110146.36</v>
      </c>
      <c r="CB24" s="299">
        <v>0</v>
      </c>
      <c r="CC24" s="299">
        <v>0</v>
      </c>
      <c r="CD24" s="299">
        <v>110146.36</v>
      </c>
      <c r="CE24" s="299">
        <v>-33515.789999999994</v>
      </c>
      <c r="CF24" s="299">
        <v>33515.79</v>
      </c>
      <c r="CG24" s="299">
        <v>0</v>
      </c>
      <c r="CH24" s="299">
        <v>0</v>
      </c>
      <c r="CI24" s="299">
        <v>0</v>
      </c>
      <c r="CJ24" s="299">
        <v>0</v>
      </c>
    </row>
    <row r="25" spans="1:88" ht="13.8">
      <c r="A25" s="252" t="s">
        <v>1377</v>
      </c>
      <c r="B25" s="288">
        <v>3050</v>
      </c>
      <c r="C25" s="288" t="s">
        <v>731</v>
      </c>
      <c r="D25" s="248" t="s">
        <v>708</v>
      </c>
      <c r="E25" s="399" t="str">
        <f t="shared" si="0"/>
        <v>30EP3050</v>
      </c>
      <c r="F25" s="299">
        <v>1141384.73</v>
      </c>
      <c r="G25" s="299">
        <v>0</v>
      </c>
      <c r="H25" s="299">
        <v>74307.12</v>
      </c>
      <c r="I25" s="299">
        <v>0</v>
      </c>
      <c r="J25" s="299">
        <v>57330</v>
      </c>
      <c r="K25" s="299">
        <v>165</v>
      </c>
      <c r="L25" s="299">
        <v>0</v>
      </c>
      <c r="M25" s="299">
        <v>3885.5</v>
      </c>
      <c r="N25" s="299">
        <v>4772.33</v>
      </c>
      <c r="O25" s="299">
        <v>17513.849999999999</v>
      </c>
      <c r="P25" s="299">
        <v>6620</v>
      </c>
      <c r="Q25" s="299">
        <v>0</v>
      </c>
      <c r="R25" s="299">
        <v>18380.05</v>
      </c>
      <c r="S25" s="299">
        <v>9224.9</v>
      </c>
      <c r="T25" s="299">
        <v>0</v>
      </c>
      <c r="U25" s="299">
        <v>0</v>
      </c>
      <c r="V25" s="299">
        <v>0</v>
      </c>
      <c r="W25" s="299">
        <v>-0.62</v>
      </c>
      <c r="X25" s="299">
        <v>41486</v>
      </c>
      <c r="Y25" s="299">
        <v>1375068.86</v>
      </c>
      <c r="Z25" s="299">
        <v>630625.52</v>
      </c>
      <c r="AA25" s="299">
        <v>5165.78</v>
      </c>
      <c r="AB25" s="299">
        <v>316641.51</v>
      </c>
      <c r="AC25" s="299">
        <v>36287.760000000002</v>
      </c>
      <c r="AD25" s="299">
        <v>93157.83</v>
      </c>
      <c r="AE25" s="299">
        <v>0</v>
      </c>
      <c r="AF25" s="299">
        <v>6135.7</v>
      </c>
      <c r="AG25" s="299">
        <v>5165.54</v>
      </c>
      <c r="AH25" s="299">
        <v>6667.33</v>
      </c>
      <c r="AI25" s="299">
        <v>4550</v>
      </c>
      <c r="AJ25" s="299">
        <v>0</v>
      </c>
      <c r="AK25" s="299">
        <v>7120.22</v>
      </c>
      <c r="AL25" s="299">
        <v>3357.59</v>
      </c>
      <c r="AM25" s="299">
        <v>2392.65</v>
      </c>
      <c r="AN25" s="299">
        <v>9889.6299999999992</v>
      </c>
      <c r="AO25" s="299">
        <v>29771.89</v>
      </c>
      <c r="AP25" s="299">
        <v>22954</v>
      </c>
      <c r="AQ25" s="299">
        <v>19987.84</v>
      </c>
      <c r="AR25" s="299">
        <v>37377.9</v>
      </c>
      <c r="AS25" s="299">
        <v>19992.650000000001</v>
      </c>
      <c r="AT25" s="299">
        <v>0</v>
      </c>
      <c r="AU25" s="299">
        <v>6121.86</v>
      </c>
      <c r="AV25" s="299">
        <v>3669.71</v>
      </c>
      <c r="AW25" s="299">
        <v>2934.03</v>
      </c>
      <c r="AX25" s="299">
        <v>69548.759999999995</v>
      </c>
      <c r="AY25" s="299">
        <v>4811.75</v>
      </c>
      <c r="AZ25" s="299">
        <v>9221.75</v>
      </c>
      <c r="BA25" s="299">
        <v>16292.79</v>
      </c>
      <c r="BB25" s="299">
        <v>0</v>
      </c>
      <c r="BC25" s="299">
        <v>0</v>
      </c>
      <c r="BD25" s="299">
        <v>1688.52</v>
      </c>
      <c r="BE25" s="299">
        <v>1371530.51</v>
      </c>
      <c r="BF25" s="299">
        <v>3538.3500000000931</v>
      </c>
      <c r="BG25" s="299">
        <v>-21445.09</v>
      </c>
      <c r="BH25" s="299">
        <v>-17906.739999999907</v>
      </c>
      <c r="BI25" s="299">
        <v>0</v>
      </c>
      <c r="BJ25" s="299">
        <v>0</v>
      </c>
      <c r="BK25" s="299">
        <v>0</v>
      </c>
      <c r="BL25" s="299">
        <v>0</v>
      </c>
      <c r="BM25" s="299">
        <v>0</v>
      </c>
      <c r="BN25" s="299">
        <v>0</v>
      </c>
      <c r="BO25" s="299">
        <v>0</v>
      </c>
      <c r="BP25" s="299">
        <v>0</v>
      </c>
      <c r="BQ25" s="299">
        <v>0</v>
      </c>
      <c r="BR25" s="299">
        <v>10511</v>
      </c>
      <c r="BS25" s="299">
        <v>-28417.739999999907</v>
      </c>
      <c r="BT25" s="299">
        <v>0</v>
      </c>
      <c r="BU25" s="299">
        <v>-17906.739999999907</v>
      </c>
      <c r="BV25" s="299">
        <v>6164.5</v>
      </c>
      <c r="BW25" s="299">
        <v>0</v>
      </c>
      <c r="BX25" s="299">
        <v>0</v>
      </c>
      <c r="BY25" s="299">
        <v>6164.5</v>
      </c>
      <c r="BZ25" s="299">
        <v>0</v>
      </c>
      <c r="CA25" s="299">
        <v>13134.46</v>
      </c>
      <c r="CB25" s="299">
        <v>0</v>
      </c>
      <c r="CC25" s="299">
        <v>1088.0999999999999</v>
      </c>
      <c r="CD25" s="299">
        <v>14222.56</v>
      </c>
      <c r="CE25" s="299">
        <v>-8058.0599999999995</v>
      </c>
      <c r="CF25" s="299">
        <v>23486.9</v>
      </c>
      <c r="CG25" s="299">
        <v>15428.840000000002</v>
      </c>
      <c r="CH25" s="299">
        <v>13221.78</v>
      </c>
      <c r="CI25" s="299">
        <v>2207.06</v>
      </c>
      <c r="CJ25" s="299">
        <v>15428.84</v>
      </c>
    </row>
    <row r="26" spans="1:88" ht="13.8">
      <c r="A26" s="252" t="s">
        <v>1377</v>
      </c>
      <c r="B26" s="288">
        <v>3009</v>
      </c>
      <c r="C26" s="288" t="s">
        <v>732</v>
      </c>
      <c r="D26" s="248" t="s">
        <v>708</v>
      </c>
      <c r="E26" s="399" t="str">
        <f t="shared" si="0"/>
        <v>30EP3009</v>
      </c>
      <c r="F26" s="299">
        <v>801687.47</v>
      </c>
      <c r="G26" s="299">
        <v>0</v>
      </c>
      <c r="H26" s="299">
        <v>20183.650000000001</v>
      </c>
      <c r="I26" s="299">
        <v>0</v>
      </c>
      <c r="J26" s="299">
        <v>37560</v>
      </c>
      <c r="K26" s="299">
        <v>1771.29</v>
      </c>
      <c r="L26" s="299">
        <v>0</v>
      </c>
      <c r="M26" s="299">
        <v>511.5</v>
      </c>
      <c r="N26" s="299">
        <v>39742.25</v>
      </c>
      <c r="O26" s="299">
        <v>11763.01</v>
      </c>
      <c r="P26" s="299">
        <v>0</v>
      </c>
      <c r="Q26" s="299">
        <v>0</v>
      </c>
      <c r="R26" s="299">
        <v>2420</v>
      </c>
      <c r="S26" s="299">
        <v>6794.15</v>
      </c>
      <c r="T26" s="299">
        <v>0</v>
      </c>
      <c r="U26" s="299">
        <v>0</v>
      </c>
      <c r="V26" s="299">
        <v>0</v>
      </c>
      <c r="W26" s="299">
        <v>161.25</v>
      </c>
      <c r="X26" s="299">
        <v>38762</v>
      </c>
      <c r="Y26" s="299">
        <v>961356.57000000007</v>
      </c>
      <c r="Z26" s="299">
        <v>483799.43</v>
      </c>
      <c r="AA26" s="299">
        <v>4980.3900000000003</v>
      </c>
      <c r="AB26" s="299">
        <v>161184.22</v>
      </c>
      <c r="AC26" s="299">
        <v>0</v>
      </c>
      <c r="AD26" s="299">
        <v>38878.01</v>
      </c>
      <c r="AE26" s="299">
        <v>0</v>
      </c>
      <c r="AF26" s="299">
        <v>28533.919999999998</v>
      </c>
      <c r="AG26" s="299">
        <v>2862.62</v>
      </c>
      <c r="AH26" s="299">
        <v>1863.39</v>
      </c>
      <c r="AI26" s="299">
        <v>3675</v>
      </c>
      <c r="AJ26" s="299">
        <v>540.38</v>
      </c>
      <c r="AK26" s="299">
        <v>6383.65</v>
      </c>
      <c r="AL26" s="299">
        <v>2921</v>
      </c>
      <c r="AM26" s="299">
        <v>22078.2</v>
      </c>
      <c r="AN26" s="299">
        <v>2426.06</v>
      </c>
      <c r="AO26" s="299">
        <v>16256.77</v>
      </c>
      <c r="AP26" s="299">
        <v>16591.75</v>
      </c>
      <c r="AQ26" s="299">
        <v>5149.68</v>
      </c>
      <c r="AR26" s="299">
        <v>46970.27</v>
      </c>
      <c r="AS26" s="299">
        <v>26974.400000000001</v>
      </c>
      <c r="AT26" s="299">
        <v>0</v>
      </c>
      <c r="AU26" s="299">
        <v>8336.15</v>
      </c>
      <c r="AV26" s="299">
        <v>2934.65</v>
      </c>
      <c r="AW26" s="299">
        <v>415.19</v>
      </c>
      <c r="AX26" s="299">
        <v>43057.82</v>
      </c>
      <c r="AY26" s="299">
        <v>0</v>
      </c>
      <c r="AZ26" s="299">
        <v>1684</v>
      </c>
      <c r="BA26" s="299">
        <v>13715.05</v>
      </c>
      <c r="BB26" s="299">
        <v>0</v>
      </c>
      <c r="BC26" s="299">
        <v>0</v>
      </c>
      <c r="BD26" s="299">
        <v>0</v>
      </c>
      <c r="BE26" s="299">
        <v>942212.00000000023</v>
      </c>
      <c r="BF26" s="299">
        <v>19144.569999999832</v>
      </c>
      <c r="BG26" s="299">
        <v>93499.4</v>
      </c>
      <c r="BH26" s="299">
        <v>112643.96999999983</v>
      </c>
      <c r="BI26" s="299">
        <v>0</v>
      </c>
      <c r="BJ26" s="299">
        <v>0</v>
      </c>
      <c r="BK26" s="299">
        <v>0</v>
      </c>
      <c r="BL26" s="299">
        <v>0</v>
      </c>
      <c r="BM26" s="299">
        <v>0</v>
      </c>
      <c r="BN26" s="299">
        <v>0</v>
      </c>
      <c r="BO26" s="299">
        <v>0</v>
      </c>
      <c r="BP26" s="299">
        <v>0</v>
      </c>
      <c r="BQ26" s="299">
        <v>0</v>
      </c>
      <c r="BR26" s="299">
        <v>23259</v>
      </c>
      <c r="BS26" s="299">
        <v>89384.969999999827</v>
      </c>
      <c r="BT26" s="299">
        <v>0</v>
      </c>
      <c r="BU26" s="299">
        <v>112643.96999999983</v>
      </c>
      <c r="BV26" s="299">
        <v>5586.25</v>
      </c>
      <c r="BW26" s="299">
        <v>0</v>
      </c>
      <c r="BX26" s="299">
        <v>0</v>
      </c>
      <c r="BY26" s="299">
        <v>5586.25</v>
      </c>
      <c r="BZ26" s="299">
        <v>0</v>
      </c>
      <c r="CA26" s="299">
        <v>0</v>
      </c>
      <c r="CB26" s="299">
        <v>3245</v>
      </c>
      <c r="CC26" s="299">
        <v>0</v>
      </c>
      <c r="CD26" s="299">
        <v>3245</v>
      </c>
      <c r="CE26" s="299">
        <v>2341.25</v>
      </c>
      <c r="CF26" s="299">
        <v>20979.01</v>
      </c>
      <c r="CG26" s="299">
        <v>23320.26</v>
      </c>
      <c r="CH26" s="299">
        <v>23320.26</v>
      </c>
      <c r="CI26" s="299">
        <v>0</v>
      </c>
      <c r="CJ26" s="299">
        <v>23320.26</v>
      </c>
    </row>
    <row r="27" spans="1:88" ht="13.8">
      <c r="A27" s="252" t="s">
        <v>1377</v>
      </c>
      <c r="B27" s="288">
        <v>2091</v>
      </c>
      <c r="C27" s="288" t="s">
        <v>733</v>
      </c>
      <c r="D27" s="248" t="s">
        <v>708</v>
      </c>
      <c r="E27" s="399" t="str">
        <f t="shared" si="0"/>
        <v>30EP2091</v>
      </c>
      <c r="F27" s="299">
        <v>1085831.1399999999</v>
      </c>
      <c r="G27" s="299">
        <v>0</v>
      </c>
      <c r="H27" s="299">
        <v>80361.009999999995</v>
      </c>
      <c r="I27" s="299">
        <v>0</v>
      </c>
      <c r="J27" s="299">
        <v>74225</v>
      </c>
      <c r="K27" s="299">
        <v>1200</v>
      </c>
      <c r="L27" s="299">
        <v>12695.82</v>
      </c>
      <c r="M27" s="299">
        <v>0</v>
      </c>
      <c r="N27" s="299">
        <v>4578.16</v>
      </c>
      <c r="O27" s="299">
        <v>78</v>
      </c>
      <c r="P27" s="299">
        <v>0</v>
      </c>
      <c r="Q27" s="299">
        <v>1895.92</v>
      </c>
      <c r="R27" s="299">
        <v>5048.3</v>
      </c>
      <c r="S27" s="299">
        <v>1901.35</v>
      </c>
      <c r="T27" s="299">
        <v>0</v>
      </c>
      <c r="U27" s="299">
        <v>0</v>
      </c>
      <c r="V27" s="299">
        <v>0</v>
      </c>
      <c r="W27" s="299">
        <v>2764.38</v>
      </c>
      <c r="X27" s="299">
        <v>72539</v>
      </c>
      <c r="Y27" s="299">
        <v>1343118.0799999998</v>
      </c>
      <c r="Z27" s="299">
        <v>590689.48</v>
      </c>
      <c r="AA27" s="299">
        <v>0</v>
      </c>
      <c r="AB27" s="299">
        <v>272788.62</v>
      </c>
      <c r="AC27" s="299">
        <v>57787.519999999997</v>
      </c>
      <c r="AD27" s="299">
        <v>87656.35</v>
      </c>
      <c r="AE27" s="299">
        <v>0</v>
      </c>
      <c r="AF27" s="299">
        <v>14506.97</v>
      </c>
      <c r="AG27" s="299">
        <v>4954.68</v>
      </c>
      <c r="AH27" s="299">
        <v>8692.75</v>
      </c>
      <c r="AI27" s="299">
        <v>4475</v>
      </c>
      <c r="AJ27" s="299">
        <v>1600</v>
      </c>
      <c r="AK27" s="299">
        <v>9220.01</v>
      </c>
      <c r="AL27" s="299">
        <v>1806.11</v>
      </c>
      <c r="AM27" s="299">
        <v>4448.3500000000004</v>
      </c>
      <c r="AN27" s="299">
        <v>14700</v>
      </c>
      <c r="AO27" s="299">
        <v>28843.91</v>
      </c>
      <c r="AP27" s="299">
        <v>23078.75</v>
      </c>
      <c r="AQ27" s="299">
        <v>15875.13</v>
      </c>
      <c r="AR27" s="299">
        <v>48185.3</v>
      </c>
      <c r="AS27" s="299">
        <v>31826.989999999998</v>
      </c>
      <c r="AT27" s="299">
        <v>0</v>
      </c>
      <c r="AU27" s="299">
        <v>6686.62</v>
      </c>
      <c r="AV27" s="299">
        <v>3633.71</v>
      </c>
      <c r="AW27" s="299">
        <v>849.18</v>
      </c>
      <c r="AX27" s="299">
        <v>61420.66</v>
      </c>
      <c r="AY27" s="299">
        <v>45493</v>
      </c>
      <c r="AZ27" s="299">
        <v>0</v>
      </c>
      <c r="BA27" s="299">
        <v>15211.45</v>
      </c>
      <c r="BB27" s="299">
        <v>0</v>
      </c>
      <c r="BC27" s="299">
        <v>0</v>
      </c>
      <c r="BD27" s="299">
        <v>9777.7800000000007</v>
      </c>
      <c r="BE27" s="299">
        <v>1364208.3199999998</v>
      </c>
      <c r="BF27" s="299">
        <v>-21090.239999999991</v>
      </c>
      <c r="BG27" s="299">
        <v>261388.16</v>
      </c>
      <c r="BH27" s="299">
        <v>240297.92</v>
      </c>
      <c r="BI27" s="299">
        <v>0</v>
      </c>
      <c r="BJ27" s="299">
        <v>0</v>
      </c>
      <c r="BK27" s="299">
        <v>0</v>
      </c>
      <c r="BL27" s="299">
        <v>0</v>
      </c>
      <c r="BM27" s="299">
        <v>0</v>
      </c>
      <c r="BN27" s="299">
        <v>0</v>
      </c>
      <c r="BO27" s="299">
        <v>0</v>
      </c>
      <c r="BP27" s="299">
        <v>0</v>
      </c>
      <c r="BQ27" s="299">
        <v>0</v>
      </c>
      <c r="BR27" s="299">
        <v>132276.23000000001</v>
      </c>
      <c r="BS27" s="299">
        <v>108021.69000000024</v>
      </c>
      <c r="BT27" s="299">
        <v>0</v>
      </c>
      <c r="BU27" s="299">
        <v>240297.92000000025</v>
      </c>
      <c r="BV27" s="299">
        <v>6054.25</v>
      </c>
      <c r="BW27" s="299">
        <v>0</v>
      </c>
      <c r="BX27" s="299">
        <v>9777.7800000000007</v>
      </c>
      <c r="BY27" s="299">
        <v>15832.03</v>
      </c>
      <c r="BZ27" s="299">
        <v>0</v>
      </c>
      <c r="CA27" s="299">
        <v>25650</v>
      </c>
      <c r="CB27" s="299">
        <v>0</v>
      </c>
      <c r="CC27" s="299">
        <v>0</v>
      </c>
      <c r="CD27" s="299">
        <v>25650</v>
      </c>
      <c r="CE27" s="299">
        <v>-9817.9699999999993</v>
      </c>
      <c r="CF27" s="299">
        <v>9817.9699999999993</v>
      </c>
      <c r="CG27" s="299">
        <v>0</v>
      </c>
      <c r="CH27" s="299">
        <v>0</v>
      </c>
      <c r="CI27" s="299">
        <v>0</v>
      </c>
      <c r="CJ27" s="299">
        <v>0</v>
      </c>
    </row>
    <row r="28" spans="1:88" ht="13.8">
      <c r="A28" s="252" t="s">
        <v>1377</v>
      </c>
      <c r="B28" s="288">
        <v>2065</v>
      </c>
      <c r="C28" s="288" t="s">
        <v>734</v>
      </c>
      <c r="D28" s="248" t="s">
        <v>708</v>
      </c>
      <c r="E28" s="399" t="str">
        <f t="shared" si="0"/>
        <v>30EP2065</v>
      </c>
      <c r="F28" s="299">
        <v>1014104.91</v>
      </c>
      <c r="G28" s="299">
        <v>0</v>
      </c>
      <c r="H28" s="299">
        <v>82945.36</v>
      </c>
      <c r="I28" s="299">
        <v>0</v>
      </c>
      <c r="J28" s="299">
        <v>80207</v>
      </c>
      <c r="K28" s="299">
        <v>0</v>
      </c>
      <c r="L28" s="299">
        <v>2131.4499999999998</v>
      </c>
      <c r="M28" s="299">
        <v>5297</v>
      </c>
      <c r="N28" s="299">
        <v>51153.919999999998</v>
      </c>
      <c r="O28" s="299">
        <v>12124.27</v>
      </c>
      <c r="P28" s="299">
        <v>3375</v>
      </c>
      <c r="Q28" s="299">
        <v>0</v>
      </c>
      <c r="R28" s="299">
        <v>10140.24</v>
      </c>
      <c r="S28" s="299">
        <v>709.45</v>
      </c>
      <c r="T28" s="299">
        <v>0</v>
      </c>
      <c r="U28" s="299">
        <v>0</v>
      </c>
      <c r="V28" s="299">
        <v>0</v>
      </c>
      <c r="W28" s="299">
        <v>-35</v>
      </c>
      <c r="X28" s="299">
        <v>45481</v>
      </c>
      <c r="Y28" s="299">
        <v>1307634.5999999999</v>
      </c>
      <c r="Z28" s="299">
        <v>609408.22</v>
      </c>
      <c r="AA28" s="299">
        <v>0</v>
      </c>
      <c r="AB28" s="299">
        <v>288414.07</v>
      </c>
      <c r="AC28" s="299">
        <v>2634.25</v>
      </c>
      <c r="AD28" s="299">
        <v>75899.64</v>
      </c>
      <c r="AE28" s="299">
        <v>0</v>
      </c>
      <c r="AF28" s="299">
        <v>45407.35</v>
      </c>
      <c r="AG28" s="299">
        <v>5978.36</v>
      </c>
      <c r="AH28" s="299">
        <v>5605.35</v>
      </c>
      <c r="AI28" s="299">
        <v>0</v>
      </c>
      <c r="AJ28" s="299">
        <v>0</v>
      </c>
      <c r="AK28" s="299">
        <v>17387.66</v>
      </c>
      <c r="AL28" s="299">
        <v>3213.41</v>
      </c>
      <c r="AM28" s="299">
        <v>27005.62</v>
      </c>
      <c r="AN28" s="299">
        <v>3719.03</v>
      </c>
      <c r="AO28" s="299">
        <v>28573.24</v>
      </c>
      <c r="AP28" s="299">
        <v>21956</v>
      </c>
      <c r="AQ28" s="299">
        <v>3451.06</v>
      </c>
      <c r="AR28" s="299">
        <v>42212.959999999999</v>
      </c>
      <c r="AS28" s="299">
        <v>21027.269999999997</v>
      </c>
      <c r="AT28" s="299">
        <v>0</v>
      </c>
      <c r="AU28" s="299">
        <v>13806.22</v>
      </c>
      <c r="AV28" s="299">
        <v>4005.16</v>
      </c>
      <c r="AW28" s="299">
        <v>976.55</v>
      </c>
      <c r="AX28" s="299">
        <v>45122.44</v>
      </c>
      <c r="AY28" s="299">
        <v>24179.15</v>
      </c>
      <c r="AZ28" s="299">
        <v>9715</v>
      </c>
      <c r="BA28" s="299">
        <v>11053.53</v>
      </c>
      <c r="BB28" s="299">
        <v>0</v>
      </c>
      <c r="BC28" s="299">
        <v>1254.05</v>
      </c>
      <c r="BD28" s="299">
        <v>3635.5</v>
      </c>
      <c r="BE28" s="299">
        <v>1315641.0899999999</v>
      </c>
      <c r="BF28" s="299">
        <v>-8006.4899999999907</v>
      </c>
      <c r="BG28" s="299">
        <v>211045.33</v>
      </c>
      <c r="BH28" s="299">
        <v>203038.84</v>
      </c>
      <c r="BI28" s="299">
        <v>100798.83</v>
      </c>
      <c r="BJ28" s="299">
        <v>0</v>
      </c>
      <c r="BK28" s="299">
        <v>100798.83</v>
      </c>
      <c r="BL28" s="299">
        <v>73597.22</v>
      </c>
      <c r="BM28" s="299">
        <v>20357.82</v>
      </c>
      <c r="BN28" s="299">
        <v>93955.040000000008</v>
      </c>
      <c r="BO28" s="299">
        <v>6843.7899999999936</v>
      </c>
      <c r="BP28" s="299">
        <v>16745.5</v>
      </c>
      <c r="BQ28" s="299">
        <v>23589.289999999994</v>
      </c>
      <c r="BR28" s="299">
        <v>15298.46</v>
      </c>
      <c r="BS28" s="299">
        <v>181383.75</v>
      </c>
      <c r="BT28" s="299">
        <v>29945.919999999995</v>
      </c>
      <c r="BU28" s="299">
        <v>226628.12999999998</v>
      </c>
      <c r="BV28" s="299">
        <v>6261.25</v>
      </c>
      <c r="BW28" s="299">
        <v>0</v>
      </c>
      <c r="BX28" s="299">
        <v>0</v>
      </c>
      <c r="BY28" s="299">
        <v>6261.25</v>
      </c>
      <c r="BZ28" s="299">
        <v>0</v>
      </c>
      <c r="CA28" s="299">
        <v>6507.75</v>
      </c>
      <c r="CB28" s="299">
        <v>0</v>
      </c>
      <c r="CC28" s="299">
        <v>3881.04</v>
      </c>
      <c r="CD28" s="299">
        <v>10388.790000000001</v>
      </c>
      <c r="CE28" s="299">
        <v>-4127.5400000000009</v>
      </c>
      <c r="CF28" s="299">
        <v>24431.64</v>
      </c>
      <c r="CG28" s="299">
        <v>20304.099999999999</v>
      </c>
      <c r="CH28" s="299">
        <v>19245.66</v>
      </c>
      <c r="CI28" s="299">
        <v>1058.44</v>
      </c>
      <c r="CJ28" s="299">
        <v>20304.099999999999</v>
      </c>
    </row>
    <row r="29" spans="1:88" ht="13.8">
      <c r="A29" s="252" t="s">
        <v>1377</v>
      </c>
      <c r="B29" s="288">
        <v>1006</v>
      </c>
      <c r="C29" s="288" t="s">
        <v>735</v>
      </c>
      <c r="D29" s="248" t="s">
        <v>724</v>
      </c>
      <c r="E29" s="399" t="str">
        <f t="shared" si="0"/>
        <v>30EN1006</v>
      </c>
      <c r="F29" s="299">
        <v>538357.99</v>
      </c>
      <c r="G29" s="299">
        <v>0</v>
      </c>
      <c r="H29" s="299">
        <v>6092.37</v>
      </c>
      <c r="I29" s="299">
        <v>0</v>
      </c>
      <c r="J29" s="299">
        <v>0</v>
      </c>
      <c r="K29" s="299">
        <v>0</v>
      </c>
      <c r="L29" s="299">
        <v>0</v>
      </c>
      <c r="M29" s="299">
        <v>0</v>
      </c>
      <c r="N29" s="299">
        <v>141.74</v>
      </c>
      <c r="O29" s="299">
        <v>0</v>
      </c>
      <c r="P29" s="299">
        <v>0</v>
      </c>
      <c r="Q29" s="299">
        <v>0</v>
      </c>
      <c r="R29" s="299">
        <v>69940.11</v>
      </c>
      <c r="S29" s="299">
        <v>3349.27</v>
      </c>
      <c r="T29" s="299">
        <v>0</v>
      </c>
      <c r="U29" s="299">
        <v>0</v>
      </c>
      <c r="V29" s="299">
        <v>0</v>
      </c>
      <c r="W29" s="299">
        <v>0</v>
      </c>
      <c r="X29" s="299">
        <v>0</v>
      </c>
      <c r="Y29" s="299">
        <v>617881.48</v>
      </c>
      <c r="Z29" s="299">
        <v>192568.32000000001</v>
      </c>
      <c r="AA29" s="299">
        <v>0</v>
      </c>
      <c r="AB29" s="299">
        <v>303276.98</v>
      </c>
      <c r="AC29" s="299">
        <v>0</v>
      </c>
      <c r="AD29" s="299">
        <v>58269.27</v>
      </c>
      <c r="AE29" s="299">
        <v>0</v>
      </c>
      <c r="AF29" s="299">
        <v>24944.080000000002</v>
      </c>
      <c r="AG29" s="299">
        <v>2011</v>
      </c>
      <c r="AH29" s="299">
        <v>360.99</v>
      </c>
      <c r="AI29" s="299">
        <v>0</v>
      </c>
      <c r="AJ29" s="299">
        <v>0</v>
      </c>
      <c r="AK29" s="299">
        <v>2938.04</v>
      </c>
      <c r="AL29" s="299">
        <v>1145.73</v>
      </c>
      <c r="AM29" s="299">
        <v>14342.51</v>
      </c>
      <c r="AN29" s="299">
        <v>3614.95</v>
      </c>
      <c r="AO29" s="299">
        <v>6902.06</v>
      </c>
      <c r="AP29" s="299">
        <v>13847.25</v>
      </c>
      <c r="AQ29" s="299">
        <v>1927.34</v>
      </c>
      <c r="AR29" s="299">
        <v>2225.52</v>
      </c>
      <c r="AS29" s="299">
        <v>9664.25</v>
      </c>
      <c r="AT29" s="299">
        <v>0</v>
      </c>
      <c r="AU29" s="299">
        <v>3194.44</v>
      </c>
      <c r="AV29" s="299">
        <v>1671.89</v>
      </c>
      <c r="AW29" s="299">
        <v>0</v>
      </c>
      <c r="AX29" s="299">
        <v>14789.63</v>
      </c>
      <c r="AY29" s="299">
        <v>0</v>
      </c>
      <c r="AZ29" s="299">
        <v>0</v>
      </c>
      <c r="BA29" s="299">
        <v>11172.9</v>
      </c>
      <c r="BB29" s="299">
        <v>0</v>
      </c>
      <c r="BC29" s="299">
        <v>0</v>
      </c>
      <c r="BD29" s="299">
        <v>0</v>
      </c>
      <c r="BE29" s="299">
        <v>668867.14999999991</v>
      </c>
      <c r="BF29" s="299">
        <v>-50985.669999999925</v>
      </c>
      <c r="BG29" s="299">
        <v>-37415.96</v>
      </c>
      <c r="BH29" s="299">
        <v>-88401.629999999917</v>
      </c>
      <c r="BI29" s="299">
        <v>0</v>
      </c>
      <c r="BJ29" s="299">
        <v>25538.61</v>
      </c>
      <c r="BK29" s="299">
        <v>25538.61</v>
      </c>
      <c r="BL29" s="299">
        <v>2630.25</v>
      </c>
      <c r="BM29" s="299">
        <v>22908.36</v>
      </c>
      <c r="BN29" s="299">
        <v>25538.61</v>
      </c>
      <c r="BO29" s="299">
        <v>0</v>
      </c>
      <c r="BP29" s="299">
        <v>2579.34</v>
      </c>
      <c r="BQ29" s="299">
        <v>2579.34</v>
      </c>
      <c r="BR29" s="299">
        <v>0</v>
      </c>
      <c r="BS29" s="299">
        <v>-88401.629999999917</v>
      </c>
      <c r="BT29" s="299">
        <v>2579.34</v>
      </c>
      <c r="BU29" s="299">
        <v>-85822.289999999921</v>
      </c>
      <c r="BV29" s="299">
        <v>4738.45</v>
      </c>
      <c r="BW29" s="299">
        <v>0</v>
      </c>
      <c r="BX29" s="299">
        <v>0</v>
      </c>
      <c r="BY29" s="299">
        <v>4738.45</v>
      </c>
      <c r="BZ29" s="299">
        <v>0</v>
      </c>
      <c r="CA29" s="299">
        <v>10833.79</v>
      </c>
      <c r="CB29" s="299">
        <v>0</v>
      </c>
      <c r="CC29" s="299">
        <v>0</v>
      </c>
      <c r="CD29" s="299">
        <v>10833.79</v>
      </c>
      <c r="CE29" s="299">
        <v>-6095.3400000000011</v>
      </c>
      <c r="CF29" s="299">
        <v>12757.37</v>
      </c>
      <c r="CG29" s="299">
        <v>6662.03</v>
      </c>
      <c r="CH29" s="299">
        <v>6662.03</v>
      </c>
      <c r="CI29" s="299">
        <v>0</v>
      </c>
      <c r="CJ29" s="299">
        <v>6662.03</v>
      </c>
    </row>
    <row r="30" spans="1:88" ht="13.8">
      <c r="A30" s="252" t="s">
        <v>1377</v>
      </c>
      <c r="B30" s="288">
        <v>2119</v>
      </c>
      <c r="C30" s="288" t="s">
        <v>736</v>
      </c>
      <c r="D30" s="248" t="s">
        <v>708</v>
      </c>
      <c r="E30" s="399" t="str">
        <f t="shared" si="0"/>
        <v>30EP2119</v>
      </c>
      <c r="F30" s="299">
        <v>1306657.48</v>
      </c>
      <c r="G30" s="299">
        <v>0</v>
      </c>
      <c r="H30" s="299">
        <v>135037</v>
      </c>
      <c r="I30" s="299">
        <v>0</v>
      </c>
      <c r="J30" s="299">
        <v>68080</v>
      </c>
      <c r="K30" s="299">
        <v>2400</v>
      </c>
      <c r="L30" s="299">
        <v>0</v>
      </c>
      <c r="M30" s="299">
        <v>3984.9</v>
      </c>
      <c r="N30" s="299">
        <v>913.36</v>
      </c>
      <c r="O30" s="299">
        <v>18732.16</v>
      </c>
      <c r="P30" s="299">
        <v>0</v>
      </c>
      <c r="Q30" s="299">
        <v>0</v>
      </c>
      <c r="R30" s="299">
        <v>12528.74</v>
      </c>
      <c r="S30" s="299">
        <v>3008.92</v>
      </c>
      <c r="T30" s="299">
        <v>0</v>
      </c>
      <c r="U30" s="299">
        <v>0</v>
      </c>
      <c r="V30" s="299">
        <v>0</v>
      </c>
      <c r="W30" s="299">
        <v>3420.31</v>
      </c>
      <c r="X30" s="299">
        <v>50882</v>
      </c>
      <c r="Y30" s="299">
        <v>1605644.8699999999</v>
      </c>
      <c r="Z30" s="299">
        <v>838611.54</v>
      </c>
      <c r="AA30" s="299">
        <v>17233.84</v>
      </c>
      <c r="AB30" s="299">
        <v>345078.66</v>
      </c>
      <c r="AC30" s="299">
        <v>77512.289999999994</v>
      </c>
      <c r="AD30" s="299">
        <v>48915.05</v>
      </c>
      <c r="AE30" s="299">
        <v>0</v>
      </c>
      <c r="AF30" s="299">
        <v>12845.25</v>
      </c>
      <c r="AG30" s="299">
        <v>7719.55</v>
      </c>
      <c r="AH30" s="299">
        <v>4661.03</v>
      </c>
      <c r="AI30" s="299">
        <v>5450</v>
      </c>
      <c r="AJ30" s="299">
        <v>500</v>
      </c>
      <c r="AK30" s="299">
        <v>9443.8799999999992</v>
      </c>
      <c r="AL30" s="299">
        <v>4650</v>
      </c>
      <c r="AM30" s="299">
        <v>3587.97</v>
      </c>
      <c r="AN30" s="299">
        <v>2041.5</v>
      </c>
      <c r="AO30" s="299">
        <v>52535.06</v>
      </c>
      <c r="AP30" s="299">
        <v>37674</v>
      </c>
      <c r="AQ30" s="299">
        <v>12607.17</v>
      </c>
      <c r="AR30" s="299">
        <v>51674.67</v>
      </c>
      <c r="AS30" s="299">
        <v>27914.21</v>
      </c>
      <c r="AT30" s="299">
        <v>0</v>
      </c>
      <c r="AU30" s="299">
        <v>11329.18</v>
      </c>
      <c r="AV30" s="299">
        <v>5471.22</v>
      </c>
      <c r="AW30" s="299">
        <v>0</v>
      </c>
      <c r="AX30" s="299">
        <v>67420.39</v>
      </c>
      <c r="AY30" s="299">
        <v>0</v>
      </c>
      <c r="AZ30" s="299">
        <v>8495</v>
      </c>
      <c r="BA30" s="299">
        <v>22105.99</v>
      </c>
      <c r="BB30" s="299">
        <v>0</v>
      </c>
      <c r="BC30" s="299">
        <v>0</v>
      </c>
      <c r="BD30" s="299">
        <v>0</v>
      </c>
      <c r="BE30" s="299">
        <v>1675477.4499999997</v>
      </c>
      <c r="BF30" s="299">
        <v>-69832.579999999842</v>
      </c>
      <c r="BG30" s="299">
        <v>114831.29</v>
      </c>
      <c r="BH30" s="299">
        <v>44998.710000000152</v>
      </c>
      <c r="BI30" s="299">
        <v>0</v>
      </c>
      <c r="BJ30" s="299">
        <v>0</v>
      </c>
      <c r="BK30" s="299">
        <v>0</v>
      </c>
      <c r="BL30" s="299">
        <v>0</v>
      </c>
      <c r="BM30" s="299">
        <v>0</v>
      </c>
      <c r="BN30" s="299">
        <v>0</v>
      </c>
      <c r="BO30" s="299">
        <v>0</v>
      </c>
      <c r="BP30" s="299">
        <v>0</v>
      </c>
      <c r="BQ30" s="299">
        <v>0</v>
      </c>
      <c r="BR30" s="299">
        <v>0</v>
      </c>
      <c r="BS30" s="299">
        <v>44998.710000000152</v>
      </c>
      <c r="BT30" s="299">
        <v>0</v>
      </c>
      <c r="BU30" s="299">
        <v>44998.710000000152</v>
      </c>
      <c r="BV30" s="299">
        <v>6567.25</v>
      </c>
      <c r="BW30" s="299">
        <v>0</v>
      </c>
      <c r="BX30" s="299">
        <v>0</v>
      </c>
      <c r="BY30" s="299">
        <v>6567.25</v>
      </c>
      <c r="BZ30" s="299">
        <v>0</v>
      </c>
      <c r="CA30" s="299">
        <v>11084</v>
      </c>
      <c r="CB30" s="299">
        <v>0</v>
      </c>
      <c r="CC30" s="299">
        <v>0</v>
      </c>
      <c r="CD30" s="299">
        <v>11084</v>
      </c>
      <c r="CE30" s="299">
        <v>-4516.75</v>
      </c>
      <c r="CF30" s="299">
        <v>8489.06</v>
      </c>
      <c r="CG30" s="299">
        <v>3972.3099999999995</v>
      </c>
      <c r="CH30" s="299">
        <v>3972.3099999999995</v>
      </c>
      <c r="CI30" s="299">
        <v>0</v>
      </c>
      <c r="CJ30" s="299">
        <v>3972.3099999999995</v>
      </c>
    </row>
    <row r="31" spans="1:88" ht="13.8">
      <c r="A31" s="252" t="s">
        <v>1377</v>
      </c>
      <c r="B31" s="288">
        <v>3011</v>
      </c>
      <c r="C31" s="288" t="s">
        <v>737</v>
      </c>
      <c r="D31" s="248" t="s">
        <v>708</v>
      </c>
      <c r="E31" s="399" t="str">
        <f t="shared" si="0"/>
        <v>30EP3011</v>
      </c>
      <c r="F31" s="299">
        <v>663155.93999999994</v>
      </c>
      <c r="G31" s="299">
        <v>0</v>
      </c>
      <c r="H31" s="299">
        <v>39225.25</v>
      </c>
      <c r="I31" s="299">
        <v>0</v>
      </c>
      <c r="J31" s="299">
        <v>22880</v>
      </c>
      <c r="K31" s="299">
        <v>1200</v>
      </c>
      <c r="L31" s="299">
        <v>0</v>
      </c>
      <c r="M31" s="299">
        <v>10128.790000000001</v>
      </c>
      <c r="N31" s="299">
        <v>3036</v>
      </c>
      <c r="O31" s="299">
        <v>13171.9</v>
      </c>
      <c r="P31" s="299">
        <v>0</v>
      </c>
      <c r="Q31" s="299">
        <v>0</v>
      </c>
      <c r="R31" s="299">
        <v>8170</v>
      </c>
      <c r="S31" s="299">
        <v>5671.2</v>
      </c>
      <c r="T31" s="299">
        <v>0</v>
      </c>
      <c r="U31" s="299">
        <v>0</v>
      </c>
      <c r="V31" s="299">
        <v>0</v>
      </c>
      <c r="W31" s="299">
        <v>-125.62</v>
      </c>
      <c r="X31" s="299">
        <v>32403</v>
      </c>
      <c r="Y31" s="299">
        <v>798916.46</v>
      </c>
      <c r="Z31" s="299">
        <v>389111.94</v>
      </c>
      <c r="AA31" s="299">
        <v>2643.85</v>
      </c>
      <c r="AB31" s="299">
        <v>157856.6</v>
      </c>
      <c r="AC31" s="299">
        <v>0</v>
      </c>
      <c r="AD31" s="299">
        <v>44567.95</v>
      </c>
      <c r="AE31" s="299">
        <v>0</v>
      </c>
      <c r="AF31" s="299">
        <v>17152.37</v>
      </c>
      <c r="AG31" s="299">
        <v>2700.4</v>
      </c>
      <c r="AH31" s="299">
        <v>3419.88</v>
      </c>
      <c r="AI31" s="299">
        <v>2625</v>
      </c>
      <c r="AJ31" s="299">
        <v>666.25</v>
      </c>
      <c r="AK31" s="299">
        <v>4421.08</v>
      </c>
      <c r="AL31" s="299">
        <v>2520</v>
      </c>
      <c r="AM31" s="299">
        <v>18828.04</v>
      </c>
      <c r="AN31" s="299">
        <v>3099</v>
      </c>
      <c r="AO31" s="299">
        <v>19017.18</v>
      </c>
      <c r="AP31" s="299">
        <v>20209.5</v>
      </c>
      <c r="AQ31" s="299">
        <v>3649.04</v>
      </c>
      <c r="AR31" s="299">
        <v>32552.52</v>
      </c>
      <c r="AS31" s="299">
        <v>18068.900000000001</v>
      </c>
      <c r="AT31" s="299">
        <v>0</v>
      </c>
      <c r="AU31" s="299">
        <v>4550.24</v>
      </c>
      <c r="AV31" s="299">
        <v>2301.83</v>
      </c>
      <c r="AW31" s="299">
        <v>3540.2</v>
      </c>
      <c r="AX31" s="299">
        <v>39332.339999999997</v>
      </c>
      <c r="AY31" s="299">
        <v>0</v>
      </c>
      <c r="AZ31" s="299">
        <v>2777.48</v>
      </c>
      <c r="BA31" s="299">
        <v>13452.27</v>
      </c>
      <c r="BB31" s="299">
        <v>0</v>
      </c>
      <c r="BC31" s="299">
        <v>0</v>
      </c>
      <c r="BD31" s="299">
        <v>0</v>
      </c>
      <c r="BE31" s="299">
        <v>809063.86</v>
      </c>
      <c r="BF31" s="299">
        <v>-10147.400000000023</v>
      </c>
      <c r="BG31" s="299">
        <v>-16011.08</v>
      </c>
      <c r="BH31" s="299">
        <v>-26158.480000000025</v>
      </c>
      <c r="BI31" s="299">
        <v>0</v>
      </c>
      <c r="BJ31" s="299">
        <v>0</v>
      </c>
      <c r="BK31" s="299">
        <v>0</v>
      </c>
      <c r="BL31" s="299">
        <v>0</v>
      </c>
      <c r="BM31" s="299">
        <v>0</v>
      </c>
      <c r="BN31" s="299">
        <v>0</v>
      </c>
      <c r="BO31" s="299">
        <v>0</v>
      </c>
      <c r="BP31" s="299">
        <v>0</v>
      </c>
      <c r="BQ31" s="299">
        <v>0</v>
      </c>
      <c r="BR31" s="299">
        <v>0</v>
      </c>
      <c r="BS31" s="299">
        <v>-26158.479999999909</v>
      </c>
      <c r="BT31" s="299">
        <v>0</v>
      </c>
      <c r="BU31" s="299">
        <v>-26158.479999999909</v>
      </c>
      <c r="BV31" s="299">
        <v>5203.75</v>
      </c>
      <c r="BW31" s="299">
        <v>14360.71</v>
      </c>
      <c r="BX31" s="299">
        <v>0</v>
      </c>
      <c r="BY31" s="299">
        <v>19564.46</v>
      </c>
      <c r="BZ31" s="299">
        <v>0</v>
      </c>
      <c r="CA31" s="299">
        <v>4360.71</v>
      </c>
      <c r="CB31" s="299">
        <v>0</v>
      </c>
      <c r="CC31" s="299">
        <v>1913.91</v>
      </c>
      <c r="CD31" s="299">
        <v>6274.62</v>
      </c>
      <c r="CE31" s="299">
        <v>13289.84</v>
      </c>
      <c r="CF31" s="299">
        <v>14475.81</v>
      </c>
      <c r="CG31" s="299">
        <v>27765.65</v>
      </c>
      <c r="CH31" s="299">
        <v>17765.64</v>
      </c>
      <c r="CI31" s="299">
        <v>10000.01</v>
      </c>
      <c r="CJ31" s="299">
        <v>27765.65</v>
      </c>
    </row>
    <row r="32" spans="1:88" ht="13.8">
      <c r="A32" s="252" t="s">
        <v>1377</v>
      </c>
      <c r="B32" s="288">
        <v>2006</v>
      </c>
      <c r="C32" s="288" t="s">
        <v>738</v>
      </c>
      <c r="D32" s="248" t="s">
        <v>708</v>
      </c>
      <c r="E32" s="399" t="str">
        <f t="shared" si="0"/>
        <v>30EP2006</v>
      </c>
      <c r="F32" s="299">
        <v>2448944.4</v>
      </c>
      <c r="G32" s="299">
        <v>0</v>
      </c>
      <c r="H32" s="299">
        <v>158451.93</v>
      </c>
      <c r="I32" s="299">
        <v>0</v>
      </c>
      <c r="J32" s="299">
        <v>132060</v>
      </c>
      <c r="K32" s="299">
        <v>3863</v>
      </c>
      <c r="L32" s="299">
        <v>20887.3</v>
      </c>
      <c r="M32" s="299">
        <v>4568.75</v>
      </c>
      <c r="N32" s="299">
        <v>4225.17</v>
      </c>
      <c r="O32" s="299">
        <v>53237.58</v>
      </c>
      <c r="P32" s="299">
        <v>3991.8</v>
      </c>
      <c r="Q32" s="299">
        <v>0</v>
      </c>
      <c r="R32" s="299">
        <v>38591.449999999997</v>
      </c>
      <c r="S32" s="299">
        <v>53586.1</v>
      </c>
      <c r="T32" s="299">
        <v>0</v>
      </c>
      <c r="U32" s="299">
        <v>0</v>
      </c>
      <c r="V32" s="299">
        <v>0</v>
      </c>
      <c r="W32" s="299">
        <v>4766.75</v>
      </c>
      <c r="X32" s="299">
        <v>96490</v>
      </c>
      <c r="Y32" s="299">
        <v>3023664.23</v>
      </c>
      <c r="Z32" s="299">
        <v>1513058.08</v>
      </c>
      <c r="AA32" s="299">
        <v>32299.27</v>
      </c>
      <c r="AB32" s="299">
        <v>556876.54</v>
      </c>
      <c r="AC32" s="299">
        <v>112761.72</v>
      </c>
      <c r="AD32" s="299">
        <v>233689.72</v>
      </c>
      <c r="AE32" s="299">
        <v>0</v>
      </c>
      <c r="AF32" s="299">
        <v>7456.1</v>
      </c>
      <c r="AG32" s="299">
        <v>12616.08</v>
      </c>
      <c r="AH32" s="299">
        <v>6286.1</v>
      </c>
      <c r="AI32" s="299">
        <v>12175</v>
      </c>
      <c r="AJ32" s="299">
        <v>0</v>
      </c>
      <c r="AK32" s="299">
        <v>21251.75</v>
      </c>
      <c r="AL32" s="299">
        <v>5926.52</v>
      </c>
      <c r="AM32" s="299">
        <v>8903.7000000000007</v>
      </c>
      <c r="AN32" s="299">
        <v>5627.13</v>
      </c>
      <c r="AO32" s="299">
        <v>54128.46</v>
      </c>
      <c r="AP32" s="299">
        <v>76440</v>
      </c>
      <c r="AQ32" s="299">
        <v>5020.04</v>
      </c>
      <c r="AR32" s="299">
        <v>125791.14</v>
      </c>
      <c r="AS32" s="299">
        <v>39473.699999999997</v>
      </c>
      <c r="AT32" s="299">
        <v>0</v>
      </c>
      <c r="AU32" s="299">
        <v>7776.9</v>
      </c>
      <c r="AV32" s="299">
        <v>9732.9599999999991</v>
      </c>
      <c r="AW32" s="299">
        <v>793.55</v>
      </c>
      <c r="AX32" s="299">
        <v>140682.21</v>
      </c>
      <c r="AY32" s="299">
        <v>8943.31</v>
      </c>
      <c r="AZ32" s="299">
        <v>8819.0400000000009</v>
      </c>
      <c r="BA32" s="299">
        <v>15778.36</v>
      </c>
      <c r="BB32" s="299">
        <v>0</v>
      </c>
      <c r="BC32" s="299">
        <v>0</v>
      </c>
      <c r="BD32" s="299">
        <v>0</v>
      </c>
      <c r="BE32" s="299">
        <v>3022307.3800000008</v>
      </c>
      <c r="BF32" s="299">
        <v>1356.8499999991618</v>
      </c>
      <c r="BG32" s="299">
        <v>139266.31</v>
      </c>
      <c r="BH32" s="299">
        <v>140623.15999999916</v>
      </c>
      <c r="BI32" s="299">
        <v>0</v>
      </c>
      <c r="BJ32" s="299">
        <v>0</v>
      </c>
      <c r="BK32" s="299">
        <v>0</v>
      </c>
      <c r="BL32" s="299">
        <v>0</v>
      </c>
      <c r="BM32" s="299">
        <v>0</v>
      </c>
      <c r="BN32" s="299">
        <v>0</v>
      </c>
      <c r="BO32" s="299">
        <v>0</v>
      </c>
      <c r="BP32" s="299">
        <v>0</v>
      </c>
      <c r="BQ32" s="299">
        <v>0</v>
      </c>
      <c r="BR32" s="299">
        <v>6554</v>
      </c>
      <c r="BS32" s="299">
        <v>134069.15999999963</v>
      </c>
      <c r="BT32" s="299">
        <v>0</v>
      </c>
      <c r="BU32" s="299">
        <v>140623.15999999963</v>
      </c>
      <c r="BV32" s="299">
        <v>9388.75</v>
      </c>
      <c r="BW32" s="299">
        <v>0</v>
      </c>
      <c r="BX32" s="299">
        <v>0</v>
      </c>
      <c r="BY32" s="299">
        <v>9388.75</v>
      </c>
      <c r="BZ32" s="299">
        <v>0</v>
      </c>
      <c r="CA32" s="299">
        <v>9815.0499999999993</v>
      </c>
      <c r="CB32" s="299">
        <v>0</v>
      </c>
      <c r="CC32" s="299">
        <v>7161.18</v>
      </c>
      <c r="CD32" s="299">
        <v>16976.23</v>
      </c>
      <c r="CE32" s="299">
        <v>-7587.48</v>
      </c>
      <c r="CF32" s="299">
        <v>37553.94</v>
      </c>
      <c r="CG32" s="299">
        <v>29966.460000000003</v>
      </c>
      <c r="CH32" s="299">
        <v>29966.460000000003</v>
      </c>
      <c r="CI32" s="299">
        <v>0</v>
      </c>
      <c r="CJ32" s="299">
        <v>29966.460000000003</v>
      </c>
    </row>
    <row r="33" spans="1:88" ht="13.8">
      <c r="A33" s="252" t="s">
        <v>1377</v>
      </c>
      <c r="B33" s="288">
        <v>3012</v>
      </c>
      <c r="C33" s="288" t="s">
        <v>739</v>
      </c>
      <c r="D33" s="248" t="s">
        <v>708</v>
      </c>
      <c r="E33" s="399" t="str">
        <f t="shared" si="0"/>
        <v>30EP3012</v>
      </c>
      <c r="F33" s="299">
        <v>529512.93999999994</v>
      </c>
      <c r="G33" s="299">
        <v>0</v>
      </c>
      <c r="H33" s="299">
        <v>0</v>
      </c>
      <c r="I33" s="299">
        <v>0</v>
      </c>
      <c r="J33" s="299">
        <v>22200</v>
      </c>
      <c r="K33" s="299">
        <v>83</v>
      </c>
      <c r="L33" s="299">
        <v>0</v>
      </c>
      <c r="M33" s="299">
        <v>5801.2</v>
      </c>
      <c r="N33" s="299">
        <v>3103.15</v>
      </c>
      <c r="O33" s="299">
        <v>13918.8</v>
      </c>
      <c r="P33" s="299">
        <v>774.4</v>
      </c>
      <c r="Q33" s="299">
        <v>0</v>
      </c>
      <c r="R33" s="299">
        <v>20189.18</v>
      </c>
      <c r="S33" s="299">
        <v>17835.02</v>
      </c>
      <c r="T33" s="299">
        <v>0</v>
      </c>
      <c r="U33" s="299">
        <v>0</v>
      </c>
      <c r="V33" s="299">
        <v>0</v>
      </c>
      <c r="W33" s="299">
        <v>796.88</v>
      </c>
      <c r="X33" s="299">
        <v>25055</v>
      </c>
      <c r="Y33" s="299">
        <v>639269.57000000007</v>
      </c>
      <c r="Z33" s="299">
        <v>320804.53000000003</v>
      </c>
      <c r="AA33" s="299">
        <v>13399</v>
      </c>
      <c r="AB33" s="299">
        <v>75209.75</v>
      </c>
      <c r="AC33" s="299">
        <v>0</v>
      </c>
      <c r="AD33" s="299">
        <v>44925.45</v>
      </c>
      <c r="AE33" s="299">
        <v>22328.11</v>
      </c>
      <c r="AF33" s="299">
        <v>10048.92</v>
      </c>
      <c r="AG33" s="299">
        <v>1859</v>
      </c>
      <c r="AH33" s="299">
        <v>5065.75</v>
      </c>
      <c r="AI33" s="299">
        <v>1725</v>
      </c>
      <c r="AJ33" s="299">
        <v>0</v>
      </c>
      <c r="AK33" s="299">
        <v>8354.19</v>
      </c>
      <c r="AL33" s="299">
        <v>1800</v>
      </c>
      <c r="AM33" s="299">
        <v>9927.2800000000007</v>
      </c>
      <c r="AN33" s="299">
        <v>1232.98</v>
      </c>
      <c r="AO33" s="299">
        <v>14081.28</v>
      </c>
      <c r="AP33" s="299">
        <v>11227.5</v>
      </c>
      <c r="AQ33" s="299">
        <v>3134.29</v>
      </c>
      <c r="AR33" s="299">
        <v>37588.83</v>
      </c>
      <c r="AS33" s="299">
        <v>15999.71</v>
      </c>
      <c r="AT33" s="299">
        <v>0</v>
      </c>
      <c r="AU33" s="299">
        <v>3428.16</v>
      </c>
      <c r="AV33" s="299">
        <v>1662.44</v>
      </c>
      <c r="AW33" s="299">
        <v>0</v>
      </c>
      <c r="AX33" s="299">
        <v>13876.85</v>
      </c>
      <c r="AY33" s="299">
        <v>1579</v>
      </c>
      <c r="AZ33" s="299">
        <v>1430</v>
      </c>
      <c r="BA33" s="299">
        <v>7639.16</v>
      </c>
      <c r="BB33" s="299">
        <v>0</v>
      </c>
      <c r="BC33" s="299">
        <v>0</v>
      </c>
      <c r="BD33" s="299">
        <v>0</v>
      </c>
      <c r="BE33" s="299">
        <v>628327.17999999993</v>
      </c>
      <c r="BF33" s="299">
        <v>10942.39000000013</v>
      </c>
      <c r="BG33" s="299">
        <v>41789.199999999997</v>
      </c>
      <c r="BH33" s="299">
        <v>52731.590000000127</v>
      </c>
      <c r="BI33" s="299">
        <v>0</v>
      </c>
      <c r="BJ33" s="299">
        <v>0</v>
      </c>
      <c r="BK33" s="299">
        <v>0</v>
      </c>
      <c r="BL33" s="299">
        <v>0</v>
      </c>
      <c r="BM33" s="299">
        <v>0</v>
      </c>
      <c r="BN33" s="299">
        <v>0</v>
      </c>
      <c r="BO33" s="299">
        <v>0</v>
      </c>
      <c r="BP33" s="299">
        <v>0</v>
      </c>
      <c r="BQ33" s="299">
        <v>0</v>
      </c>
      <c r="BR33" s="299">
        <v>6565.47</v>
      </c>
      <c r="BS33" s="299">
        <v>46166.120000000126</v>
      </c>
      <c r="BT33" s="299">
        <v>0</v>
      </c>
      <c r="BU33" s="299">
        <v>52731.590000000127</v>
      </c>
      <c r="BV33" s="299">
        <v>153347.25</v>
      </c>
      <c r="BW33" s="299">
        <v>48368.44</v>
      </c>
      <c r="BX33" s="299">
        <v>0</v>
      </c>
      <c r="BY33" s="299">
        <v>201715.69</v>
      </c>
      <c r="BZ33" s="299">
        <v>0</v>
      </c>
      <c r="CA33" s="299">
        <v>45670.95</v>
      </c>
      <c r="CB33" s="299">
        <v>0</v>
      </c>
      <c r="CC33" s="299">
        <v>3549.49</v>
      </c>
      <c r="CD33" s="299">
        <v>49220.439999999995</v>
      </c>
      <c r="CE33" s="299">
        <v>152495.25</v>
      </c>
      <c r="CF33" s="299">
        <v>18018.2</v>
      </c>
      <c r="CG33" s="299">
        <v>170513.45</v>
      </c>
      <c r="CH33" s="299">
        <v>21942.45</v>
      </c>
      <c r="CI33" s="299">
        <v>148571</v>
      </c>
      <c r="CJ33" s="299">
        <v>170513.45</v>
      </c>
    </row>
    <row r="34" spans="1:88" ht="13.8">
      <c r="A34" s="252" t="s">
        <v>1377</v>
      </c>
      <c r="B34" s="288">
        <v>3041</v>
      </c>
      <c r="C34" s="288" t="s">
        <v>740</v>
      </c>
      <c r="D34" s="248" t="s">
        <v>708</v>
      </c>
      <c r="E34" s="399" t="str">
        <f t="shared" si="0"/>
        <v>30EP3041</v>
      </c>
      <c r="F34" s="299">
        <v>906294.06</v>
      </c>
      <c r="G34" s="299">
        <v>0</v>
      </c>
      <c r="H34" s="299">
        <v>53742.36</v>
      </c>
      <c r="I34" s="299">
        <v>0</v>
      </c>
      <c r="J34" s="299">
        <v>35130</v>
      </c>
      <c r="K34" s="299">
        <v>5168.93</v>
      </c>
      <c r="L34" s="299">
        <v>0</v>
      </c>
      <c r="M34" s="299">
        <v>35141.71</v>
      </c>
      <c r="N34" s="299">
        <v>276.64999999999998</v>
      </c>
      <c r="O34" s="299">
        <v>16514.61</v>
      </c>
      <c r="P34" s="299">
        <v>0</v>
      </c>
      <c r="Q34" s="299">
        <v>0</v>
      </c>
      <c r="R34" s="299">
        <v>18237.66</v>
      </c>
      <c r="S34" s="299">
        <v>3553.03</v>
      </c>
      <c r="T34" s="299">
        <v>0</v>
      </c>
      <c r="U34" s="299">
        <v>0</v>
      </c>
      <c r="V34" s="299">
        <v>0</v>
      </c>
      <c r="W34" s="299">
        <v>-71.87</v>
      </c>
      <c r="X34" s="299">
        <v>40861</v>
      </c>
      <c r="Y34" s="299">
        <v>1114848.1399999999</v>
      </c>
      <c r="Z34" s="299">
        <v>437606.54</v>
      </c>
      <c r="AA34" s="299">
        <v>720.9</v>
      </c>
      <c r="AB34" s="299">
        <v>222539.41</v>
      </c>
      <c r="AC34" s="299">
        <v>56675.24</v>
      </c>
      <c r="AD34" s="299">
        <v>60379.47</v>
      </c>
      <c r="AE34" s="299">
        <v>27289.63</v>
      </c>
      <c r="AF34" s="299">
        <v>622.32000000000005</v>
      </c>
      <c r="AG34" s="299">
        <v>3203.97</v>
      </c>
      <c r="AH34" s="299">
        <v>3806.21</v>
      </c>
      <c r="AI34" s="299">
        <v>0</v>
      </c>
      <c r="AJ34" s="299">
        <v>0</v>
      </c>
      <c r="AK34" s="299">
        <v>4719.9399999999996</v>
      </c>
      <c r="AL34" s="299">
        <v>2502</v>
      </c>
      <c r="AM34" s="299">
        <v>1430.4</v>
      </c>
      <c r="AN34" s="299">
        <v>849.75</v>
      </c>
      <c r="AO34" s="299">
        <v>44427.72</v>
      </c>
      <c r="AP34" s="299">
        <v>19797.830000000002</v>
      </c>
      <c r="AQ34" s="299">
        <v>7663.79</v>
      </c>
      <c r="AR34" s="299">
        <v>66155.91</v>
      </c>
      <c r="AS34" s="299">
        <v>15923.220000000001</v>
      </c>
      <c r="AT34" s="299">
        <v>0</v>
      </c>
      <c r="AU34" s="299">
        <v>3760.8</v>
      </c>
      <c r="AV34" s="299">
        <v>3609.2</v>
      </c>
      <c r="AW34" s="299">
        <v>0</v>
      </c>
      <c r="AX34" s="299">
        <v>16906.259999999998</v>
      </c>
      <c r="AY34" s="299">
        <v>51721.29</v>
      </c>
      <c r="AZ34" s="299">
        <v>36863.730000000003</v>
      </c>
      <c r="BA34" s="299">
        <v>16432.830000000002</v>
      </c>
      <c r="BB34" s="299">
        <v>0</v>
      </c>
      <c r="BC34" s="299">
        <v>0</v>
      </c>
      <c r="BD34" s="299">
        <v>0</v>
      </c>
      <c r="BE34" s="299">
        <v>1105608.3599999999</v>
      </c>
      <c r="BF34" s="299">
        <v>9239.7800000000279</v>
      </c>
      <c r="BG34" s="299">
        <v>14001.01</v>
      </c>
      <c r="BH34" s="299">
        <v>23240.79000000003</v>
      </c>
      <c r="BI34" s="299">
        <v>0</v>
      </c>
      <c r="BJ34" s="299">
        <v>0</v>
      </c>
      <c r="BK34" s="299">
        <v>0</v>
      </c>
      <c r="BL34" s="299">
        <v>0</v>
      </c>
      <c r="BM34" s="299">
        <v>0</v>
      </c>
      <c r="BN34" s="299">
        <v>0</v>
      </c>
      <c r="BO34" s="299">
        <v>0</v>
      </c>
      <c r="BP34" s="299">
        <v>0</v>
      </c>
      <c r="BQ34" s="299">
        <v>0</v>
      </c>
      <c r="BR34" s="299">
        <v>0</v>
      </c>
      <c r="BS34" s="299">
        <v>23240.79000000003</v>
      </c>
      <c r="BT34" s="299">
        <v>0</v>
      </c>
      <c r="BU34" s="299">
        <v>23240.79000000003</v>
      </c>
      <c r="BV34" s="299">
        <v>6047.5</v>
      </c>
      <c r="BW34" s="299">
        <v>0</v>
      </c>
      <c r="BX34" s="299">
        <v>0</v>
      </c>
      <c r="BY34" s="299">
        <v>6047.5</v>
      </c>
      <c r="BZ34" s="299">
        <v>0</v>
      </c>
      <c r="CA34" s="299">
        <v>6179.45</v>
      </c>
      <c r="CB34" s="299">
        <v>0</v>
      </c>
      <c r="CC34" s="299">
        <v>0</v>
      </c>
      <c r="CD34" s="299">
        <v>6179.45</v>
      </c>
      <c r="CE34" s="299">
        <v>-131.94999999999982</v>
      </c>
      <c r="CF34" s="299">
        <v>21430.400000000001</v>
      </c>
      <c r="CG34" s="299">
        <v>21298.45</v>
      </c>
      <c r="CH34" s="299">
        <v>21298.45</v>
      </c>
      <c r="CI34" s="299">
        <v>0</v>
      </c>
      <c r="CJ34" s="299">
        <v>21298.45</v>
      </c>
    </row>
    <row r="35" spans="1:88" ht="13.8">
      <c r="A35" s="252" t="s">
        <v>1377</v>
      </c>
      <c r="B35" s="288">
        <v>2246</v>
      </c>
      <c r="C35" s="288" t="s">
        <v>741</v>
      </c>
      <c r="D35" s="248" t="s">
        <v>708</v>
      </c>
      <c r="E35" s="399" t="str">
        <f t="shared" si="0"/>
        <v>30EP2246</v>
      </c>
      <c r="F35" s="299">
        <v>1089909.4099999999</v>
      </c>
      <c r="G35" s="299">
        <v>0</v>
      </c>
      <c r="H35" s="299">
        <v>51837.66</v>
      </c>
      <c r="I35" s="299">
        <v>0</v>
      </c>
      <c r="J35" s="299">
        <v>58000</v>
      </c>
      <c r="K35" s="299">
        <v>3256.93</v>
      </c>
      <c r="L35" s="299">
        <v>0</v>
      </c>
      <c r="M35" s="299">
        <v>15217</v>
      </c>
      <c r="N35" s="299">
        <v>30881.65</v>
      </c>
      <c r="O35" s="299">
        <v>0</v>
      </c>
      <c r="P35" s="299">
        <v>0</v>
      </c>
      <c r="Q35" s="299">
        <v>0</v>
      </c>
      <c r="R35" s="299">
        <v>20487.5</v>
      </c>
      <c r="S35" s="299">
        <v>0</v>
      </c>
      <c r="T35" s="299">
        <v>0</v>
      </c>
      <c r="U35" s="299">
        <v>0</v>
      </c>
      <c r="V35" s="299">
        <v>0</v>
      </c>
      <c r="W35" s="299">
        <v>859.38</v>
      </c>
      <c r="X35" s="299">
        <v>71325</v>
      </c>
      <c r="Y35" s="299">
        <v>1341774.5299999996</v>
      </c>
      <c r="Z35" s="299">
        <v>597611.68000000005</v>
      </c>
      <c r="AA35" s="299">
        <v>0</v>
      </c>
      <c r="AB35" s="299">
        <v>371152.23</v>
      </c>
      <c r="AC35" s="299">
        <v>26966.42</v>
      </c>
      <c r="AD35" s="299">
        <v>55919.5</v>
      </c>
      <c r="AE35" s="299">
        <v>42819.199999999997</v>
      </c>
      <c r="AF35" s="299">
        <v>39649.01</v>
      </c>
      <c r="AG35" s="299">
        <v>4427.13</v>
      </c>
      <c r="AH35" s="299">
        <v>2022</v>
      </c>
      <c r="AI35" s="299">
        <v>0</v>
      </c>
      <c r="AJ35" s="299">
        <v>0</v>
      </c>
      <c r="AK35" s="299">
        <v>2857.4</v>
      </c>
      <c r="AL35" s="299">
        <v>3498.58</v>
      </c>
      <c r="AM35" s="299">
        <v>34043.599999999999</v>
      </c>
      <c r="AN35" s="299">
        <v>4886.96</v>
      </c>
      <c r="AO35" s="299">
        <v>39066.43</v>
      </c>
      <c r="AP35" s="299">
        <v>21706.5</v>
      </c>
      <c r="AQ35" s="299">
        <v>5715.09</v>
      </c>
      <c r="AR35" s="299">
        <v>15306.4</v>
      </c>
      <c r="AS35" s="299">
        <v>23406.92</v>
      </c>
      <c r="AT35" s="299">
        <v>0</v>
      </c>
      <c r="AU35" s="299">
        <v>7430.78</v>
      </c>
      <c r="AV35" s="299">
        <v>3903.69</v>
      </c>
      <c r="AW35" s="299">
        <v>0</v>
      </c>
      <c r="AX35" s="299">
        <v>32172.41</v>
      </c>
      <c r="AY35" s="299">
        <v>14906.12</v>
      </c>
      <c r="AZ35" s="299">
        <v>10702.62</v>
      </c>
      <c r="BA35" s="299">
        <v>13513.34</v>
      </c>
      <c r="BB35" s="299">
        <v>0</v>
      </c>
      <c r="BC35" s="299">
        <v>71.27</v>
      </c>
      <c r="BD35" s="299">
        <v>833.68</v>
      </c>
      <c r="BE35" s="299">
        <v>1374588.96</v>
      </c>
      <c r="BF35" s="299">
        <v>-32814.4300000004</v>
      </c>
      <c r="BG35" s="299">
        <v>-25501.86</v>
      </c>
      <c r="BH35" s="299">
        <v>-58316.290000000401</v>
      </c>
      <c r="BI35" s="299">
        <v>0</v>
      </c>
      <c r="BJ35" s="299">
        <v>0</v>
      </c>
      <c r="BK35" s="299">
        <v>0</v>
      </c>
      <c r="BL35" s="299">
        <v>0</v>
      </c>
      <c r="BM35" s="299">
        <v>0</v>
      </c>
      <c r="BN35" s="299">
        <v>0</v>
      </c>
      <c r="BO35" s="299">
        <v>0</v>
      </c>
      <c r="BP35" s="299">
        <v>0</v>
      </c>
      <c r="BQ35" s="299">
        <v>0</v>
      </c>
      <c r="BR35" s="299">
        <v>8381.66</v>
      </c>
      <c r="BS35" s="299">
        <v>-66697.950000000172</v>
      </c>
      <c r="BT35" s="299">
        <v>0</v>
      </c>
      <c r="BU35" s="299">
        <v>-58316.290000000168</v>
      </c>
      <c r="BV35" s="299">
        <v>6177.55</v>
      </c>
      <c r="BW35" s="299">
        <v>0</v>
      </c>
      <c r="BX35" s="299">
        <v>0</v>
      </c>
      <c r="BY35" s="299">
        <v>6177.55</v>
      </c>
      <c r="BZ35" s="299">
        <v>0</v>
      </c>
      <c r="CA35" s="299">
        <v>-780.48</v>
      </c>
      <c r="CB35" s="299">
        <v>0</v>
      </c>
      <c r="CC35" s="299">
        <v>1351.11</v>
      </c>
      <c r="CD35" s="299">
        <v>570.62999999999988</v>
      </c>
      <c r="CE35" s="299">
        <v>5606.92</v>
      </c>
      <c r="CF35" s="299">
        <v>42243.51</v>
      </c>
      <c r="CG35" s="299">
        <v>47850.43</v>
      </c>
      <c r="CH35" s="299">
        <v>19151.09</v>
      </c>
      <c r="CI35" s="299">
        <v>28699.34</v>
      </c>
      <c r="CJ35" s="299">
        <v>47850.43</v>
      </c>
    </row>
    <row r="36" spans="1:88" ht="13.8">
      <c r="A36" s="252" t="s">
        <v>1377</v>
      </c>
      <c r="B36" s="288">
        <v>3308</v>
      </c>
      <c r="C36" s="288" t="s">
        <v>742</v>
      </c>
      <c r="D36" s="248" t="s">
        <v>708</v>
      </c>
      <c r="E36" s="399" t="str">
        <f t="shared" ref="E36:E67" si="1">_xlfn.CONCAT("30",IF(D36="Primary","EP",IF(D36="Nursery","EN","ES")),B36)</f>
        <v>30EP3308</v>
      </c>
      <c r="F36" s="299">
        <v>705835.01</v>
      </c>
      <c r="G36" s="299">
        <v>0</v>
      </c>
      <c r="H36" s="299">
        <v>23115.85</v>
      </c>
      <c r="I36" s="299">
        <v>0</v>
      </c>
      <c r="J36" s="299">
        <v>21167</v>
      </c>
      <c r="K36" s="299">
        <v>4171.29</v>
      </c>
      <c r="L36" s="299">
        <v>0</v>
      </c>
      <c r="M36" s="299">
        <v>0</v>
      </c>
      <c r="N36" s="299">
        <v>49208.39</v>
      </c>
      <c r="O36" s="299">
        <v>9307.39</v>
      </c>
      <c r="P36" s="299">
        <v>0</v>
      </c>
      <c r="Q36" s="299">
        <v>0</v>
      </c>
      <c r="R36" s="299">
        <v>18323.98</v>
      </c>
      <c r="S36" s="299">
        <v>1287.8800000000001</v>
      </c>
      <c r="T36" s="299">
        <v>0</v>
      </c>
      <c r="U36" s="299">
        <v>0</v>
      </c>
      <c r="V36" s="299">
        <v>0</v>
      </c>
      <c r="W36" s="299">
        <v>113.75</v>
      </c>
      <c r="X36" s="299">
        <v>37326</v>
      </c>
      <c r="Y36" s="299">
        <v>869856.54</v>
      </c>
      <c r="Z36" s="299">
        <v>433502.91</v>
      </c>
      <c r="AA36" s="299">
        <v>15915.42</v>
      </c>
      <c r="AB36" s="299">
        <v>100907.42</v>
      </c>
      <c r="AC36" s="299">
        <v>13409.33</v>
      </c>
      <c r="AD36" s="299">
        <v>51883.7</v>
      </c>
      <c r="AE36" s="299">
        <v>0</v>
      </c>
      <c r="AF36" s="299">
        <v>29653.63</v>
      </c>
      <c r="AG36" s="299">
        <v>615</v>
      </c>
      <c r="AH36" s="299">
        <v>6124.04</v>
      </c>
      <c r="AI36" s="299">
        <v>3100</v>
      </c>
      <c r="AJ36" s="299">
        <v>86.25</v>
      </c>
      <c r="AK36" s="299">
        <v>10454</v>
      </c>
      <c r="AL36" s="299">
        <v>4200</v>
      </c>
      <c r="AM36" s="299">
        <v>2014.57</v>
      </c>
      <c r="AN36" s="299">
        <v>1355.3</v>
      </c>
      <c r="AO36" s="299">
        <v>16545.61</v>
      </c>
      <c r="AP36" s="299">
        <v>3542.9</v>
      </c>
      <c r="AQ36" s="299">
        <v>2607.4699999999998</v>
      </c>
      <c r="AR36" s="299">
        <v>53907.7</v>
      </c>
      <c r="AS36" s="299">
        <v>20446.849999999999</v>
      </c>
      <c r="AT36" s="299">
        <v>0</v>
      </c>
      <c r="AU36" s="299">
        <v>4757.8</v>
      </c>
      <c r="AV36" s="299">
        <v>2643.8</v>
      </c>
      <c r="AW36" s="299">
        <v>1301.94</v>
      </c>
      <c r="AX36" s="299">
        <v>43269.599999999999</v>
      </c>
      <c r="AY36" s="299">
        <v>8322</v>
      </c>
      <c r="AZ36" s="299">
        <v>1170</v>
      </c>
      <c r="BA36" s="299">
        <v>17688.830000000002</v>
      </c>
      <c r="BB36" s="299">
        <v>0</v>
      </c>
      <c r="BC36" s="299">
        <v>0</v>
      </c>
      <c r="BD36" s="299">
        <v>7421.49</v>
      </c>
      <c r="BE36" s="299">
        <v>856847.55999999982</v>
      </c>
      <c r="BF36" s="299">
        <v>13008.980000000214</v>
      </c>
      <c r="BG36" s="299">
        <v>108620.13</v>
      </c>
      <c r="BH36" s="299">
        <v>121629.11000000022</v>
      </c>
      <c r="BI36" s="299">
        <v>0</v>
      </c>
      <c r="BJ36" s="299">
        <v>0</v>
      </c>
      <c r="BK36" s="299">
        <v>0</v>
      </c>
      <c r="BL36" s="299">
        <v>0</v>
      </c>
      <c r="BM36" s="299">
        <v>0</v>
      </c>
      <c r="BN36" s="299">
        <v>0</v>
      </c>
      <c r="BO36" s="299">
        <v>0</v>
      </c>
      <c r="BP36" s="299">
        <v>0</v>
      </c>
      <c r="BQ36" s="299">
        <v>0</v>
      </c>
      <c r="BR36" s="299">
        <v>23453.3</v>
      </c>
      <c r="BS36" s="299">
        <v>98175.810000000216</v>
      </c>
      <c r="BT36" s="299">
        <v>0</v>
      </c>
      <c r="BU36" s="299">
        <v>121629.11000000022</v>
      </c>
      <c r="BV36" s="299">
        <v>0</v>
      </c>
      <c r="BW36" s="299">
        <v>0</v>
      </c>
      <c r="BX36" s="299">
        <v>0</v>
      </c>
      <c r="BY36" s="299">
        <v>0</v>
      </c>
      <c r="BZ36" s="299">
        <v>0</v>
      </c>
      <c r="CA36" s="299">
        <v>0</v>
      </c>
      <c r="CB36" s="299">
        <v>0</v>
      </c>
      <c r="CC36" s="299">
        <v>0</v>
      </c>
      <c r="CD36" s="299">
        <v>0</v>
      </c>
      <c r="CE36" s="299">
        <v>0</v>
      </c>
      <c r="CF36" s="299">
        <v>0</v>
      </c>
      <c r="CG36" s="299">
        <v>0</v>
      </c>
      <c r="CH36" s="299">
        <v>0</v>
      </c>
      <c r="CI36" s="299">
        <v>0</v>
      </c>
      <c r="CJ36" s="299">
        <v>0</v>
      </c>
    </row>
    <row r="37" spans="1:88" ht="13.8">
      <c r="A37" s="252" t="s">
        <v>1377</v>
      </c>
      <c r="B37" s="288">
        <v>3368</v>
      </c>
      <c r="C37" s="288" t="s">
        <v>743</v>
      </c>
      <c r="D37" s="248" t="s">
        <v>708</v>
      </c>
      <c r="E37" s="399" t="str">
        <f t="shared" si="1"/>
        <v>30EP3368</v>
      </c>
      <c r="F37" s="299">
        <v>736022.19</v>
      </c>
      <c r="G37" s="299">
        <v>0</v>
      </c>
      <c r="H37" s="299">
        <v>16145.96</v>
      </c>
      <c r="I37" s="299">
        <v>0</v>
      </c>
      <c r="J37" s="299">
        <v>13270</v>
      </c>
      <c r="K37" s="299">
        <v>1211</v>
      </c>
      <c r="L37" s="299">
        <v>9820.2999999999993</v>
      </c>
      <c r="M37" s="299">
        <v>0</v>
      </c>
      <c r="N37" s="299">
        <v>1269.44</v>
      </c>
      <c r="O37" s="299">
        <v>25867.96</v>
      </c>
      <c r="P37" s="299">
        <v>6225</v>
      </c>
      <c r="Q37" s="299">
        <v>0</v>
      </c>
      <c r="R37" s="299">
        <v>20773.830000000002</v>
      </c>
      <c r="S37" s="299">
        <v>7783.71</v>
      </c>
      <c r="T37" s="299">
        <v>0</v>
      </c>
      <c r="U37" s="299">
        <v>0</v>
      </c>
      <c r="V37" s="299">
        <v>0</v>
      </c>
      <c r="W37" s="299">
        <v>-169.37</v>
      </c>
      <c r="X37" s="299">
        <v>42381</v>
      </c>
      <c r="Y37" s="299">
        <v>880601.01999999979</v>
      </c>
      <c r="Z37" s="299">
        <v>430243.26</v>
      </c>
      <c r="AA37" s="299">
        <v>0</v>
      </c>
      <c r="AB37" s="299">
        <v>179666.18</v>
      </c>
      <c r="AC37" s="299">
        <v>0</v>
      </c>
      <c r="AD37" s="299">
        <v>36414.230000000003</v>
      </c>
      <c r="AE37" s="299">
        <v>34105.68</v>
      </c>
      <c r="AF37" s="299">
        <v>7835.46</v>
      </c>
      <c r="AG37" s="299">
        <v>132.9</v>
      </c>
      <c r="AH37" s="299">
        <v>4397.7</v>
      </c>
      <c r="AI37" s="299">
        <v>1499</v>
      </c>
      <c r="AJ37" s="299">
        <v>0</v>
      </c>
      <c r="AK37" s="299">
        <v>6580.9</v>
      </c>
      <c r="AL37" s="299">
        <v>1594.92</v>
      </c>
      <c r="AM37" s="299">
        <v>19132.68</v>
      </c>
      <c r="AN37" s="299">
        <v>1813.07</v>
      </c>
      <c r="AO37" s="299">
        <v>15198.5</v>
      </c>
      <c r="AP37" s="299">
        <v>3318.35</v>
      </c>
      <c r="AQ37" s="299">
        <v>1878.1</v>
      </c>
      <c r="AR37" s="299">
        <v>43787.68</v>
      </c>
      <c r="AS37" s="299">
        <v>21352.47</v>
      </c>
      <c r="AT37" s="299">
        <v>0</v>
      </c>
      <c r="AU37" s="299">
        <v>2003.83</v>
      </c>
      <c r="AV37" s="299">
        <v>2956.23</v>
      </c>
      <c r="AW37" s="299">
        <v>0</v>
      </c>
      <c r="AX37" s="299">
        <v>15884.96</v>
      </c>
      <c r="AY37" s="299">
        <v>7424</v>
      </c>
      <c r="AZ37" s="299">
        <v>20133.47</v>
      </c>
      <c r="BA37" s="299">
        <v>11599.74</v>
      </c>
      <c r="BB37" s="299">
        <v>0</v>
      </c>
      <c r="BC37" s="299">
        <v>0</v>
      </c>
      <c r="BD37" s="299">
        <v>495.64</v>
      </c>
      <c r="BE37" s="299">
        <v>869448.94999999984</v>
      </c>
      <c r="BF37" s="299">
        <v>11152.069999999949</v>
      </c>
      <c r="BG37" s="299">
        <v>62059.49</v>
      </c>
      <c r="BH37" s="299">
        <v>73211.559999999939</v>
      </c>
      <c r="BI37" s="299">
        <v>0</v>
      </c>
      <c r="BJ37" s="299">
        <v>0</v>
      </c>
      <c r="BK37" s="299">
        <v>0</v>
      </c>
      <c r="BL37" s="299">
        <v>0</v>
      </c>
      <c r="BM37" s="299">
        <v>0</v>
      </c>
      <c r="BN37" s="299">
        <v>0</v>
      </c>
      <c r="BO37" s="299">
        <v>0</v>
      </c>
      <c r="BP37" s="299">
        <v>0</v>
      </c>
      <c r="BQ37" s="299">
        <v>0</v>
      </c>
      <c r="BR37" s="299">
        <v>13820.33</v>
      </c>
      <c r="BS37" s="299">
        <v>59391.229999999938</v>
      </c>
      <c r="BT37" s="299">
        <v>0</v>
      </c>
      <c r="BU37" s="299">
        <v>73211.559999999939</v>
      </c>
      <c r="BV37" s="299">
        <v>0</v>
      </c>
      <c r="BW37" s="299">
        <v>0</v>
      </c>
      <c r="BX37" s="299">
        <v>0</v>
      </c>
      <c r="BY37" s="299">
        <v>0</v>
      </c>
      <c r="BZ37" s="299">
        <v>0</v>
      </c>
      <c r="CA37" s="299">
        <v>0</v>
      </c>
      <c r="CB37" s="299">
        <v>0</v>
      </c>
      <c r="CC37" s="299">
        <v>0</v>
      </c>
      <c r="CD37" s="299">
        <v>0</v>
      </c>
      <c r="CE37" s="299">
        <v>0</v>
      </c>
      <c r="CF37" s="299">
        <v>0</v>
      </c>
      <c r="CG37" s="299">
        <v>0</v>
      </c>
      <c r="CH37" s="299">
        <v>0</v>
      </c>
      <c r="CI37" s="299">
        <v>0</v>
      </c>
      <c r="CJ37" s="299">
        <v>0</v>
      </c>
    </row>
    <row r="38" spans="1:88" ht="13.8">
      <c r="A38" s="252" t="s">
        <v>1377</v>
      </c>
      <c r="B38" s="288">
        <v>2444</v>
      </c>
      <c r="C38" s="288" t="s">
        <v>744</v>
      </c>
      <c r="D38" s="248" t="s">
        <v>708</v>
      </c>
      <c r="E38" s="399" t="str">
        <f t="shared" si="1"/>
        <v>30EP2444</v>
      </c>
      <c r="F38" s="299">
        <v>1848240.85</v>
      </c>
      <c r="G38" s="299">
        <v>0</v>
      </c>
      <c r="H38" s="299">
        <v>138312.68</v>
      </c>
      <c r="I38" s="299">
        <v>0</v>
      </c>
      <c r="J38" s="299">
        <v>66640</v>
      </c>
      <c r="K38" s="299">
        <v>386</v>
      </c>
      <c r="L38" s="299">
        <v>0</v>
      </c>
      <c r="M38" s="299">
        <v>17934.91</v>
      </c>
      <c r="N38" s="299">
        <v>11416.24</v>
      </c>
      <c r="O38" s="299">
        <v>41026.07</v>
      </c>
      <c r="P38" s="299">
        <v>0</v>
      </c>
      <c r="Q38" s="299">
        <v>0</v>
      </c>
      <c r="R38" s="299">
        <v>55462.65</v>
      </c>
      <c r="S38" s="299">
        <v>15389.66</v>
      </c>
      <c r="T38" s="299">
        <v>0</v>
      </c>
      <c r="U38" s="299">
        <v>0</v>
      </c>
      <c r="V38" s="299">
        <v>0</v>
      </c>
      <c r="W38" s="299">
        <v>2566.88</v>
      </c>
      <c r="X38" s="299">
        <v>92052</v>
      </c>
      <c r="Y38" s="299">
        <v>2289427.94</v>
      </c>
      <c r="Z38" s="299">
        <v>1099273.74</v>
      </c>
      <c r="AA38" s="299">
        <v>394.97</v>
      </c>
      <c r="AB38" s="299">
        <v>469402.27</v>
      </c>
      <c r="AC38" s="299">
        <v>73790.38</v>
      </c>
      <c r="AD38" s="299">
        <v>96887.49</v>
      </c>
      <c r="AE38" s="299">
        <v>0</v>
      </c>
      <c r="AF38" s="299">
        <v>36403.879999999997</v>
      </c>
      <c r="AG38" s="299">
        <v>7835.98</v>
      </c>
      <c r="AH38" s="299">
        <v>3071</v>
      </c>
      <c r="AI38" s="299">
        <v>9175</v>
      </c>
      <c r="AJ38" s="299">
        <v>306.25</v>
      </c>
      <c r="AK38" s="299">
        <v>21449.99</v>
      </c>
      <c r="AL38" s="299">
        <v>6467.33</v>
      </c>
      <c r="AM38" s="299">
        <v>5264.99</v>
      </c>
      <c r="AN38" s="299">
        <v>8562.7800000000007</v>
      </c>
      <c r="AO38" s="299">
        <v>31935.54</v>
      </c>
      <c r="AP38" s="299">
        <v>61152</v>
      </c>
      <c r="AQ38" s="299">
        <v>7553.45</v>
      </c>
      <c r="AR38" s="299">
        <v>75186.23</v>
      </c>
      <c r="AS38" s="299">
        <v>43079.22</v>
      </c>
      <c r="AT38" s="299">
        <v>0</v>
      </c>
      <c r="AU38" s="299">
        <v>9371.0400000000009</v>
      </c>
      <c r="AV38" s="299">
        <v>7368.54</v>
      </c>
      <c r="AW38" s="299">
        <v>5213.43</v>
      </c>
      <c r="AX38" s="299">
        <v>108587.5</v>
      </c>
      <c r="AY38" s="299">
        <v>18408.080000000002</v>
      </c>
      <c r="AZ38" s="299">
        <v>26174.79</v>
      </c>
      <c r="BA38" s="299">
        <v>18048.82</v>
      </c>
      <c r="BB38" s="299">
        <v>0</v>
      </c>
      <c r="BC38" s="299">
        <v>3600.55</v>
      </c>
      <c r="BD38" s="299">
        <v>7196.05</v>
      </c>
      <c r="BE38" s="299">
        <v>2261161.2899999996</v>
      </c>
      <c r="BF38" s="299">
        <v>28266.650000000373</v>
      </c>
      <c r="BG38" s="299">
        <v>18961.22</v>
      </c>
      <c r="BH38" s="299">
        <v>47227.870000000374</v>
      </c>
      <c r="BI38" s="299">
        <v>0</v>
      </c>
      <c r="BJ38" s="299">
        <v>0</v>
      </c>
      <c r="BK38" s="299">
        <v>0</v>
      </c>
      <c r="BL38" s="299">
        <v>0</v>
      </c>
      <c r="BM38" s="299">
        <v>0</v>
      </c>
      <c r="BN38" s="299">
        <v>0</v>
      </c>
      <c r="BO38" s="299">
        <v>0</v>
      </c>
      <c r="BP38" s="299">
        <v>0</v>
      </c>
      <c r="BQ38" s="299">
        <v>0</v>
      </c>
      <c r="BR38" s="299">
        <v>23520.47</v>
      </c>
      <c r="BS38" s="299">
        <v>23707.400000000373</v>
      </c>
      <c r="BT38" s="299">
        <v>0</v>
      </c>
      <c r="BU38" s="299">
        <v>47227.870000000374</v>
      </c>
      <c r="BV38" s="299">
        <v>8207.5</v>
      </c>
      <c r="BW38" s="299">
        <v>0</v>
      </c>
      <c r="BX38" s="299">
        <v>0</v>
      </c>
      <c r="BY38" s="299">
        <v>8207.5</v>
      </c>
      <c r="BZ38" s="299">
        <v>0</v>
      </c>
      <c r="CA38" s="299">
        <v>5000</v>
      </c>
      <c r="CB38" s="299">
        <v>0</v>
      </c>
      <c r="CC38" s="299">
        <v>0</v>
      </c>
      <c r="CD38" s="299">
        <v>5000</v>
      </c>
      <c r="CE38" s="299">
        <v>3207.5</v>
      </c>
      <c r="CF38" s="299">
        <v>8568.5499999999993</v>
      </c>
      <c r="CG38" s="299">
        <v>11776.05</v>
      </c>
      <c r="CH38" s="299">
        <v>11776.05</v>
      </c>
      <c r="CI38" s="299">
        <v>0</v>
      </c>
      <c r="CJ38" s="299">
        <v>11776.05</v>
      </c>
    </row>
    <row r="39" spans="1:88" ht="13.8">
      <c r="A39" s="252" t="s">
        <v>1377</v>
      </c>
      <c r="B39" s="288">
        <v>3074</v>
      </c>
      <c r="C39" s="288" t="s">
        <v>745</v>
      </c>
      <c r="D39" s="248" t="s">
        <v>708</v>
      </c>
      <c r="E39" s="399" t="str">
        <f t="shared" si="1"/>
        <v>30EP3074</v>
      </c>
      <c r="F39" s="299">
        <v>1048192.42</v>
      </c>
      <c r="G39" s="299">
        <v>0</v>
      </c>
      <c r="H39" s="299">
        <v>88872</v>
      </c>
      <c r="I39" s="299">
        <v>0</v>
      </c>
      <c r="J39" s="299">
        <v>79790</v>
      </c>
      <c r="K39" s="299">
        <v>5656.93</v>
      </c>
      <c r="L39" s="299">
        <v>0</v>
      </c>
      <c r="M39" s="299">
        <v>6259.37</v>
      </c>
      <c r="N39" s="299">
        <v>55620.12</v>
      </c>
      <c r="O39" s="299">
        <v>-180.2</v>
      </c>
      <c r="P39" s="299">
        <v>9936</v>
      </c>
      <c r="Q39" s="299">
        <v>0</v>
      </c>
      <c r="R39" s="299">
        <v>17807.310000000001</v>
      </c>
      <c r="S39" s="299">
        <v>2185.5700000000002</v>
      </c>
      <c r="T39" s="299">
        <v>0</v>
      </c>
      <c r="U39" s="299">
        <v>0</v>
      </c>
      <c r="V39" s="299">
        <v>0</v>
      </c>
      <c r="W39" s="299">
        <v>2937.5</v>
      </c>
      <c r="X39" s="299">
        <v>49703</v>
      </c>
      <c r="Y39" s="299">
        <v>1366780.0200000003</v>
      </c>
      <c r="Z39" s="299">
        <v>648522.76</v>
      </c>
      <c r="AA39" s="299">
        <v>15356.75</v>
      </c>
      <c r="AB39" s="299">
        <v>192384.65</v>
      </c>
      <c r="AC39" s="299">
        <v>33181.06</v>
      </c>
      <c r="AD39" s="299">
        <v>61906.25</v>
      </c>
      <c r="AE39" s="299">
        <v>0</v>
      </c>
      <c r="AF39" s="299">
        <v>50814.5</v>
      </c>
      <c r="AG39" s="299">
        <v>4429</v>
      </c>
      <c r="AH39" s="299">
        <v>6108.83</v>
      </c>
      <c r="AI39" s="299">
        <v>4975</v>
      </c>
      <c r="AJ39" s="299">
        <v>1683.75</v>
      </c>
      <c r="AK39" s="299">
        <v>115.44</v>
      </c>
      <c r="AL39" s="299">
        <v>4759.8900000000003</v>
      </c>
      <c r="AM39" s="299">
        <v>4979.3900000000003</v>
      </c>
      <c r="AN39" s="299">
        <v>2469.69</v>
      </c>
      <c r="AO39" s="299">
        <v>28476.12</v>
      </c>
      <c r="AP39" s="299">
        <v>22455</v>
      </c>
      <c r="AQ39" s="299">
        <v>5916.53</v>
      </c>
      <c r="AR39" s="299">
        <v>65583.179999999993</v>
      </c>
      <c r="AS39" s="299">
        <v>28632.7</v>
      </c>
      <c r="AT39" s="299">
        <v>0</v>
      </c>
      <c r="AU39" s="299">
        <v>15935.42</v>
      </c>
      <c r="AV39" s="299">
        <v>3997.64</v>
      </c>
      <c r="AW39" s="299">
        <v>1741.46</v>
      </c>
      <c r="AX39" s="299">
        <v>43479.57</v>
      </c>
      <c r="AY39" s="299">
        <v>428.4</v>
      </c>
      <c r="AZ39" s="299">
        <v>0</v>
      </c>
      <c r="BA39" s="299">
        <v>19532.07</v>
      </c>
      <c r="BB39" s="299">
        <v>0</v>
      </c>
      <c r="BC39" s="299">
        <v>0</v>
      </c>
      <c r="BD39" s="299">
        <v>0</v>
      </c>
      <c r="BE39" s="299">
        <v>1267865.0499999996</v>
      </c>
      <c r="BF39" s="299">
        <v>98914.970000000671</v>
      </c>
      <c r="BG39" s="299">
        <v>21642.86</v>
      </c>
      <c r="BH39" s="299">
        <v>120557.83000000067</v>
      </c>
      <c r="BI39" s="299">
        <v>94911.48</v>
      </c>
      <c r="BJ39" s="299">
        <v>10800.85</v>
      </c>
      <c r="BK39" s="299">
        <v>105712.33</v>
      </c>
      <c r="BL39" s="299">
        <v>127609.01</v>
      </c>
      <c r="BM39" s="299">
        <v>23243.200000000001</v>
      </c>
      <c r="BN39" s="299">
        <v>150852.21</v>
      </c>
      <c r="BO39" s="299">
        <v>-45139.87999999999</v>
      </c>
      <c r="BP39" s="299">
        <v>75982.86</v>
      </c>
      <c r="BQ39" s="299">
        <v>30842.98000000001</v>
      </c>
      <c r="BR39" s="299">
        <v>4626</v>
      </c>
      <c r="BS39" s="299">
        <v>115387.83000000044</v>
      </c>
      <c r="BT39" s="299">
        <v>31386.979999999981</v>
      </c>
      <c r="BU39" s="299">
        <v>151400.81000000041</v>
      </c>
      <c r="BV39" s="299">
        <v>6424.15</v>
      </c>
      <c r="BW39" s="299">
        <v>0</v>
      </c>
      <c r="BX39" s="299">
        <v>0</v>
      </c>
      <c r="BY39" s="299">
        <v>6424.15</v>
      </c>
      <c r="BZ39" s="299">
        <v>0</v>
      </c>
      <c r="CA39" s="299">
        <v>5116.99</v>
      </c>
      <c r="CB39" s="299">
        <v>0</v>
      </c>
      <c r="CC39" s="299">
        <v>0</v>
      </c>
      <c r="CD39" s="299">
        <v>5116.99</v>
      </c>
      <c r="CE39" s="299">
        <v>1307.1599999999999</v>
      </c>
      <c r="CF39" s="299">
        <v>7462.94</v>
      </c>
      <c r="CG39" s="299">
        <v>8770.0999999999985</v>
      </c>
      <c r="CH39" s="299">
        <v>8770.1</v>
      </c>
      <c r="CI39" s="299">
        <v>0</v>
      </c>
      <c r="CJ39" s="299">
        <v>8770.1</v>
      </c>
    </row>
    <row r="40" spans="1:88" ht="13.8">
      <c r="A40" s="252" t="s">
        <v>1377</v>
      </c>
      <c r="B40" s="288">
        <v>2336</v>
      </c>
      <c r="C40" s="288" t="s">
        <v>1378</v>
      </c>
      <c r="D40" s="248" t="s">
        <v>708</v>
      </c>
      <c r="E40" s="399" t="str">
        <f t="shared" si="1"/>
        <v>30EP2336</v>
      </c>
      <c r="F40" s="299">
        <v>2116363.34</v>
      </c>
      <c r="G40" s="299">
        <v>0</v>
      </c>
      <c r="H40" s="299">
        <v>80095.03</v>
      </c>
      <c r="I40" s="299">
        <v>0</v>
      </c>
      <c r="J40" s="299">
        <v>166850</v>
      </c>
      <c r="K40" s="299">
        <v>7858.43</v>
      </c>
      <c r="L40" s="299">
        <v>0</v>
      </c>
      <c r="M40" s="299">
        <v>42129.25</v>
      </c>
      <c r="N40" s="299">
        <v>179520.16</v>
      </c>
      <c r="O40" s="299">
        <v>28547.57</v>
      </c>
      <c r="P40" s="299">
        <v>3818</v>
      </c>
      <c r="Q40" s="299">
        <v>5257.68</v>
      </c>
      <c r="R40" s="299">
        <v>42470.97</v>
      </c>
      <c r="S40" s="299">
        <v>9271.31</v>
      </c>
      <c r="T40" s="299">
        <v>0</v>
      </c>
      <c r="U40" s="299">
        <v>0</v>
      </c>
      <c r="V40" s="299">
        <v>0</v>
      </c>
      <c r="W40" s="299">
        <v>-35</v>
      </c>
      <c r="X40" s="299">
        <v>73003</v>
      </c>
      <c r="Y40" s="299">
        <v>2755149.74</v>
      </c>
      <c r="Z40" s="299">
        <v>1153227.47</v>
      </c>
      <c r="AA40" s="299">
        <v>0</v>
      </c>
      <c r="AB40" s="299">
        <v>445188.65</v>
      </c>
      <c r="AC40" s="299">
        <v>89890.98</v>
      </c>
      <c r="AD40" s="299">
        <v>129824.09</v>
      </c>
      <c r="AE40" s="299">
        <v>0</v>
      </c>
      <c r="AF40" s="299">
        <v>78537.259999999995</v>
      </c>
      <c r="AG40" s="299">
        <v>1097.94</v>
      </c>
      <c r="AH40" s="299">
        <v>8346.7000000000007</v>
      </c>
      <c r="AI40" s="299">
        <v>10100</v>
      </c>
      <c r="AJ40" s="299">
        <v>3130</v>
      </c>
      <c r="AK40" s="299">
        <v>29661.13</v>
      </c>
      <c r="AL40" s="299">
        <v>12010</v>
      </c>
      <c r="AM40" s="299">
        <v>31271.119999999999</v>
      </c>
      <c r="AN40" s="299">
        <v>10003.040000000001</v>
      </c>
      <c r="AO40" s="299">
        <v>100290.57</v>
      </c>
      <c r="AP40" s="299">
        <v>12994.8</v>
      </c>
      <c r="AQ40" s="299">
        <v>15299.47</v>
      </c>
      <c r="AR40" s="299">
        <v>71185.33</v>
      </c>
      <c r="AS40" s="299">
        <v>37267.39</v>
      </c>
      <c r="AT40" s="299">
        <v>0</v>
      </c>
      <c r="AU40" s="299">
        <v>14042.39</v>
      </c>
      <c r="AV40" s="299">
        <v>8207.57</v>
      </c>
      <c r="AW40" s="299">
        <v>2663.64</v>
      </c>
      <c r="AX40" s="299">
        <v>125706.59</v>
      </c>
      <c r="AY40" s="299">
        <v>112977.96</v>
      </c>
      <c r="AZ40" s="299">
        <v>184125.04</v>
      </c>
      <c r="BA40" s="299">
        <v>33671.56</v>
      </c>
      <c r="BB40" s="299">
        <v>0</v>
      </c>
      <c r="BC40" s="299">
        <v>2238.91</v>
      </c>
      <c r="BD40" s="299">
        <v>7370.99</v>
      </c>
      <c r="BE40" s="299">
        <v>2730330.5900000008</v>
      </c>
      <c r="BF40" s="299">
        <v>24819.149999999441</v>
      </c>
      <c r="BG40" s="299">
        <v>177176.57</v>
      </c>
      <c r="BH40" s="299">
        <v>201995.71999999945</v>
      </c>
      <c r="BI40" s="299">
        <v>0</v>
      </c>
      <c r="BJ40" s="299">
        <v>123340.52</v>
      </c>
      <c r="BK40" s="299">
        <v>123340.52</v>
      </c>
      <c r="BL40" s="299">
        <v>53135.94</v>
      </c>
      <c r="BM40" s="299">
        <v>77844.75</v>
      </c>
      <c r="BN40" s="299">
        <v>130980.69</v>
      </c>
      <c r="BO40" s="299">
        <v>-7640.1699999999983</v>
      </c>
      <c r="BP40" s="299">
        <v>0</v>
      </c>
      <c r="BQ40" s="299">
        <v>-7640.1699999999983</v>
      </c>
      <c r="BR40" s="299">
        <v>59387</v>
      </c>
      <c r="BS40" s="299">
        <v>142608.71999999945</v>
      </c>
      <c r="BT40" s="299">
        <v>0</v>
      </c>
      <c r="BU40" s="299">
        <v>201995.71999999945</v>
      </c>
      <c r="BV40" s="299">
        <v>8374</v>
      </c>
      <c r="BW40" s="299">
        <v>0</v>
      </c>
      <c r="BX40" s="299">
        <v>0</v>
      </c>
      <c r="BY40" s="299">
        <v>8374</v>
      </c>
      <c r="BZ40" s="299">
        <v>0</v>
      </c>
      <c r="CA40" s="299">
        <v>7875</v>
      </c>
      <c r="CB40" s="299">
        <v>0</v>
      </c>
      <c r="CC40" s="299">
        <v>2382</v>
      </c>
      <c r="CD40" s="299">
        <v>10257</v>
      </c>
      <c r="CE40" s="299">
        <v>-1883</v>
      </c>
      <c r="CF40" s="299">
        <v>2426.67</v>
      </c>
      <c r="CG40" s="299">
        <v>543.67000000000007</v>
      </c>
      <c r="CH40" s="299">
        <v>543.67000000000007</v>
      </c>
      <c r="CI40" s="299">
        <v>0</v>
      </c>
      <c r="CJ40" s="299">
        <v>543.67000000000007</v>
      </c>
    </row>
    <row r="41" spans="1:88" ht="13.8">
      <c r="A41" s="252" t="s">
        <v>1377</v>
      </c>
      <c r="B41" s="288">
        <v>2010</v>
      </c>
      <c r="C41" s="288" t="s">
        <v>746</v>
      </c>
      <c r="D41" s="248" t="s">
        <v>708</v>
      </c>
      <c r="E41" s="399" t="str">
        <f t="shared" si="1"/>
        <v>30EP2010</v>
      </c>
      <c r="F41" s="299">
        <v>675415.86</v>
      </c>
      <c r="G41" s="299">
        <v>0</v>
      </c>
      <c r="H41" s="299">
        <v>69146.460000000006</v>
      </c>
      <c r="I41" s="299">
        <v>0</v>
      </c>
      <c r="J41" s="299">
        <v>33210</v>
      </c>
      <c r="K41" s="299">
        <v>220</v>
      </c>
      <c r="L41" s="299">
        <v>0</v>
      </c>
      <c r="M41" s="299">
        <v>510</v>
      </c>
      <c r="N41" s="299">
        <v>6294.37</v>
      </c>
      <c r="O41" s="299">
        <v>7348.05</v>
      </c>
      <c r="P41" s="299">
        <v>2250</v>
      </c>
      <c r="Q41" s="299">
        <v>38795.43</v>
      </c>
      <c r="R41" s="299">
        <v>6832.45</v>
      </c>
      <c r="S41" s="299">
        <v>22767.35</v>
      </c>
      <c r="T41" s="299">
        <v>0</v>
      </c>
      <c r="U41" s="299">
        <v>0</v>
      </c>
      <c r="V41" s="299">
        <v>0</v>
      </c>
      <c r="W41" s="299">
        <v>1175</v>
      </c>
      <c r="X41" s="299">
        <v>33084</v>
      </c>
      <c r="Y41" s="299">
        <v>897048.97</v>
      </c>
      <c r="Z41" s="299">
        <v>392416.85</v>
      </c>
      <c r="AA41" s="299">
        <v>5454.22</v>
      </c>
      <c r="AB41" s="299">
        <v>182151.21</v>
      </c>
      <c r="AC41" s="299">
        <v>0</v>
      </c>
      <c r="AD41" s="299">
        <v>71182.399999999994</v>
      </c>
      <c r="AE41" s="299">
        <v>0</v>
      </c>
      <c r="AF41" s="299">
        <v>17529.810000000001</v>
      </c>
      <c r="AG41" s="299">
        <v>2909</v>
      </c>
      <c r="AH41" s="299">
        <v>5020.91</v>
      </c>
      <c r="AI41" s="299">
        <v>2725</v>
      </c>
      <c r="AJ41" s="299">
        <v>0</v>
      </c>
      <c r="AK41" s="299">
        <v>6503.6</v>
      </c>
      <c r="AL41" s="299">
        <v>2400</v>
      </c>
      <c r="AM41" s="299">
        <v>19158.54</v>
      </c>
      <c r="AN41" s="299">
        <v>1985.95</v>
      </c>
      <c r="AO41" s="299">
        <v>13138.07</v>
      </c>
      <c r="AP41" s="299">
        <v>14845.25</v>
      </c>
      <c r="AQ41" s="299">
        <v>6025.05</v>
      </c>
      <c r="AR41" s="299">
        <v>34735.300000000003</v>
      </c>
      <c r="AS41" s="299">
        <v>20793.629999999997</v>
      </c>
      <c r="AT41" s="299">
        <v>0</v>
      </c>
      <c r="AU41" s="299">
        <v>11373.91</v>
      </c>
      <c r="AV41" s="299">
        <v>2373.83</v>
      </c>
      <c r="AW41" s="299">
        <v>15352.19</v>
      </c>
      <c r="AX41" s="299">
        <v>49357.22</v>
      </c>
      <c r="AY41" s="299">
        <v>7398.96</v>
      </c>
      <c r="AZ41" s="299">
        <v>20309.509999999998</v>
      </c>
      <c r="BA41" s="299">
        <v>10143.09</v>
      </c>
      <c r="BB41" s="299">
        <v>0</v>
      </c>
      <c r="BC41" s="299">
        <v>0</v>
      </c>
      <c r="BD41" s="299">
        <v>0</v>
      </c>
      <c r="BE41" s="299">
        <v>915283.49999999988</v>
      </c>
      <c r="BF41" s="299">
        <v>-18234.529999999912</v>
      </c>
      <c r="BG41" s="299">
        <v>-9120.82</v>
      </c>
      <c r="BH41" s="299">
        <v>-27355.349999999911</v>
      </c>
      <c r="BI41" s="299">
        <v>0</v>
      </c>
      <c r="BJ41" s="299">
        <v>0</v>
      </c>
      <c r="BK41" s="299">
        <v>0</v>
      </c>
      <c r="BL41" s="299">
        <v>0</v>
      </c>
      <c r="BM41" s="299">
        <v>0</v>
      </c>
      <c r="BN41" s="299">
        <v>0</v>
      </c>
      <c r="BO41" s="299">
        <v>0</v>
      </c>
      <c r="BP41" s="299">
        <v>0</v>
      </c>
      <c r="BQ41" s="299">
        <v>0</v>
      </c>
      <c r="BR41" s="299">
        <v>22817.02</v>
      </c>
      <c r="BS41" s="299">
        <v>-50172.369999999908</v>
      </c>
      <c r="BT41" s="299">
        <v>0</v>
      </c>
      <c r="BU41" s="299">
        <v>-27355.349999999908</v>
      </c>
      <c r="BV41" s="299">
        <v>5260</v>
      </c>
      <c r="BW41" s="299">
        <v>0</v>
      </c>
      <c r="BX41" s="299">
        <v>0</v>
      </c>
      <c r="BY41" s="299">
        <v>5260</v>
      </c>
      <c r="BZ41" s="299">
        <v>0</v>
      </c>
      <c r="CA41" s="299">
        <v>0</v>
      </c>
      <c r="CB41" s="299">
        <v>0</v>
      </c>
      <c r="CC41" s="299">
        <v>0</v>
      </c>
      <c r="CD41" s="299">
        <v>0</v>
      </c>
      <c r="CE41" s="299">
        <v>5260</v>
      </c>
      <c r="CF41" s="299">
        <v>2526.02</v>
      </c>
      <c r="CG41" s="299">
        <v>7786.02</v>
      </c>
      <c r="CH41" s="299">
        <v>7786.02</v>
      </c>
      <c r="CI41" s="299">
        <v>0</v>
      </c>
      <c r="CJ41" s="299">
        <v>7786.02</v>
      </c>
    </row>
    <row r="42" spans="1:88" ht="13.8">
      <c r="A42" s="252" t="s">
        <v>1377</v>
      </c>
      <c r="B42" s="288">
        <v>2208</v>
      </c>
      <c r="C42" s="288" t="s">
        <v>747</v>
      </c>
      <c r="D42" s="248" t="s">
        <v>708</v>
      </c>
      <c r="E42" s="399" t="str">
        <f t="shared" si="1"/>
        <v>30EP2208</v>
      </c>
      <c r="F42" s="299">
        <v>1067867.3799999999</v>
      </c>
      <c r="G42" s="299">
        <v>0</v>
      </c>
      <c r="H42" s="299">
        <v>45124.83</v>
      </c>
      <c r="I42" s="299">
        <v>0</v>
      </c>
      <c r="J42" s="299">
        <v>56870</v>
      </c>
      <c r="K42" s="299">
        <v>1365</v>
      </c>
      <c r="L42" s="299">
        <v>0</v>
      </c>
      <c r="M42" s="299">
        <v>14966.07</v>
      </c>
      <c r="N42" s="299">
        <v>17584.060000000001</v>
      </c>
      <c r="O42" s="299">
        <v>26248.1</v>
      </c>
      <c r="P42" s="299">
        <v>1380</v>
      </c>
      <c r="Q42" s="299">
        <v>742.1</v>
      </c>
      <c r="R42" s="299">
        <v>5857</v>
      </c>
      <c r="S42" s="299">
        <v>7751.81</v>
      </c>
      <c r="T42" s="299">
        <v>0</v>
      </c>
      <c r="U42" s="299">
        <v>0</v>
      </c>
      <c r="V42" s="299">
        <v>0</v>
      </c>
      <c r="W42" s="299">
        <v>-76.25</v>
      </c>
      <c r="X42" s="299">
        <v>37274</v>
      </c>
      <c r="Y42" s="299">
        <v>1282954.1000000003</v>
      </c>
      <c r="Z42" s="299">
        <v>592933.06999999995</v>
      </c>
      <c r="AA42" s="299">
        <v>5259.62</v>
      </c>
      <c r="AB42" s="299">
        <v>223427.41</v>
      </c>
      <c r="AC42" s="299">
        <v>34791.64</v>
      </c>
      <c r="AD42" s="299">
        <v>84271.94</v>
      </c>
      <c r="AE42" s="299">
        <v>0</v>
      </c>
      <c r="AF42" s="299">
        <v>35937.279999999999</v>
      </c>
      <c r="AG42" s="299">
        <v>3330.91</v>
      </c>
      <c r="AH42" s="299">
        <v>3371</v>
      </c>
      <c r="AI42" s="299">
        <v>5050</v>
      </c>
      <c r="AJ42" s="299">
        <v>0</v>
      </c>
      <c r="AK42" s="299">
        <v>16968.16</v>
      </c>
      <c r="AL42" s="299">
        <v>5924.16</v>
      </c>
      <c r="AM42" s="299">
        <v>30830.42</v>
      </c>
      <c r="AN42" s="299">
        <v>6458.7</v>
      </c>
      <c r="AO42" s="299">
        <v>31684.53</v>
      </c>
      <c r="AP42" s="299">
        <v>25199.5</v>
      </c>
      <c r="AQ42" s="299">
        <v>2844.28</v>
      </c>
      <c r="AR42" s="299">
        <v>21950.37</v>
      </c>
      <c r="AS42" s="299">
        <v>29849.439999999999</v>
      </c>
      <c r="AT42" s="299">
        <v>0</v>
      </c>
      <c r="AU42" s="299">
        <v>6867.82</v>
      </c>
      <c r="AV42" s="299">
        <v>4305.55</v>
      </c>
      <c r="AW42" s="299">
        <v>0</v>
      </c>
      <c r="AX42" s="299">
        <v>70249.710000000006</v>
      </c>
      <c r="AY42" s="299">
        <v>0</v>
      </c>
      <c r="AZ42" s="299">
        <v>11999.15</v>
      </c>
      <c r="BA42" s="299">
        <v>17978.310000000001</v>
      </c>
      <c r="BB42" s="299">
        <v>0</v>
      </c>
      <c r="BC42" s="299">
        <v>0</v>
      </c>
      <c r="BD42" s="299">
        <v>4983.22</v>
      </c>
      <c r="BE42" s="299">
        <v>1276466.1900000002</v>
      </c>
      <c r="BF42" s="299">
        <v>6487.910000000149</v>
      </c>
      <c r="BG42" s="299">
        <v>66615.59</v>
      </c>
      <c r="BH42" s="299">
        <v>73103.500000000146</v>
      </c>
      <c r="BI42" s="299">
        <v>115692.01</v>
      </c>
      <c r="BJ42" s="299">
        <v>10381.82</v>
      </c>
      <c r="BK42" s="299">
        <v>126073.82999999999</v>
      </c>
      <c r="BL42" s="299">
        <v>81271.039999999994</v>
      </c>
      <c r="BM42" s="299">
        <v>13973.13</v>
      </c>
      <c r="BN42" s="299">
        <v>95244.17</v>
      </c>
      <c r="BO42" s="299">
        <v>30829.659999999989</v>
      </c>
      <c r="BP42" s="299">
        <v>14248.77</v>
      </c>
      <c r="BQ42" s="299">
        <v>45078.429999999993</v>
      </c>
      <c r="BR42" s="299">
        <v>0</v>
      </c>
      <c r="BS42" s="299">
        <v>68190.499999999913</v>
      </c>
      <c r="BT42" s="299">
        <v>49991.429999999978</v>
      </c>
      <c r="BU42" s="299">
        <v>118181.92999999989</v>
      </c>
      <c r="BV42" s="299">
        <v>6504.25</v>
      </c>
      <c r="BW42" s="299">
        <v>0</v>
      </c>
      <c r="BX42" s="299">
        <v>0</v>
      </c>
      <c r="BY42" s="299">
        <v>6504.25</v>
      </c>
      <c r="BZ42" s="299">
        <v>0</v>
      </c>
      <c r="CA42" s="299">
        <v>4554.3900000000003</v>
      </c>
      <c r="CB42" s="299">
        <v>0</v>
      </c>
      <c r="CC42" s="299">
        <v>0</v>
      </c>
      <c r="CD42" s="299">
        <v>4554.3900000000003</v>
      </c>
      <c r="CE42" s="299">
        <v>1949.8599999999997</v>
      </c>
      <c r="CF42" s="299">
        <v>12994.89</v>
      </c>
      <c r="CG42" s="299">
        <v>14944.75</v>
      </c>
      <c r="CH42" s="299">
        <v>14410.32</v>
      </c>
      <c r="CI42" s="299">
        <v>534.42999999999995</v>
      </c>
      <c r="CJ42" s="299">
        <v>14944.75</v>
      </c>
    </row>
    <row r="43" spans="1:88" ht="13.8">
      <c r="A43" s="252" t="s">
        <v>1377</v>
      </c>
      <c r="B43" s="288">
        <v>3065</v>
      </c>
      <c r="C43" s="288" t="s">
        <v>748</v>
      </c>
      <c r="D43" s="248" t="s">
        <v>708</v>
      </c>
      <c r="E43" s="399" t="str">
        <f t="shared" si="1"/>
        <v>30EP3065</v>
      </c>
      <c r="F43" s="299">
        <v>543480.64</v>
      </c>
      <c r="G43" s="299">
        <v>0</v>
      </c>
      <c r="H43" s="299">
        <v>46433.08</v>
      </c>
      <c r="I43" s="299">
        <v>0</v>
      </c>
      <c r="J43" s="299">
        <v>21420</v>
      </c>
      <c r="K43" s="299">
        <v>0</v>
      </c>
      <c r="L43" s="299">
        <v>0</v>
      </c>
      <c r="M43" s="299">
        <v>2542.5</v>
      </c>
      <c r="N43" s="299">
        <v>18335.37</v>
      </c>
      <c r="O43" s="299">
        <v>8075.24</v>
      </c>
      <c r="P43" s="299">
        <v>0</v>
      </c>
      <c r="Q43" s="299">
        <v>0</v>
      </c>
      <c r="R43" s="299">
        <v>22747.35</v>
      </c>
      <c r="S43" s="299">
        <v>7875.05</v>
      </c>
      <c r="T43" s="299">
        <v>0</v>
      </c>
      <c r="U43" s="299">
        <v>0</v>
      </c>
      <c r="V43" s="299">
        <v>0</v>
      </c>
      <c r="W43" s="299">
        <v>-11.87</v>
      </c>
      <c r="X43" s="299">
        <v>30287</v>
      </c>
      <c r="Y43" s="299">
        <v>701184.36</v>
      </c>
      <c r="Z43" s="299">
        <v>342517.6</v>
      </c>
      <c r="AA43" s="299">
        <v>1427.58</v>
      </c>
      <c r="AB43" s="299">
        <v>131228.81</v>
      </c>
      <c r="AC43" s="299">
        <v>0</v>
      </c>
      <c r="AD43" s="299">
        <v>25171.919999999998</v>
      </c>
      <c r="AE43" s="299">
        <v>22231.05</v>
      </c>
      <c r="AF43" s="299">
        <v>36781.440000000002</v>
      </c>
      <c r="AG43" s="299">
        <v>2289.5</v>
      </c>
      <c r="AH43" s="299">
        <v>675</v>
      </c>
      <c r="AI43" s="299">
        <v>1071</v>
      </c>
      <c r="AJ43" s="299">
        <v>0</v>
      </c>
      <c r="AK43" s="299">
        <v>5048.4399999999996</v>
      </c>
      <c r="AL43" s="299">
        <v>3255</v>
      </c>
      <c r="AM43" s="299">
        <v>15367.88</v>
      </c>
      <c r="AN43" s="299">
        <v>3192.18</v>
      </c>
      <c r="AO43" s="299">
        <v>15691.78</v>
      </c>
      <c r="AP43" s="299">
        <v>14720.5</v>
      </c>
      <c r="AQ43" s="299">
        <v>1016.55</v>
      </c>
      <c r="AR43" s="299">
        <v>31244.54</v>
      </c>
      <c r="AS43" s="299">
        <v>14994.189999999999</v>
      </c>
      <c r="AT43" s="299">
        <v>0</v>
      </c>
      <c r="AU43" s="299">
        <v>4842.43</v>
      </c>
      <c r="AV43" s="299">
        <v>2035.27</v>
      </c>
      <c r="AW43" s="299">
        <v>7630.83</v>
      </c>
      <c r="AX43" s="299">
        <v>11183.55</v>
      </c>
      <c r="AY43" s="299">
        <v>0</v>
      </c>
      <c r="AZ43" s="299">
        <v>4099.3500000000004</v>
      </c>
      <c r="BA43" s="299">
        <v>8640.5</v>
      </c>
      <c r="BB43" s="299">
        <v>0</v>
      </c>
      <c r="BC43" s="299">
        <v>0</v>
      </c>
      <c r="BD43" s="299">
        <v>0</v>
      </c>
      <c r="BE43" s="299">
        <v>706356.89</v>
      </c>
      <c r="BF43" s="299">
        <v>-5172.5300000000279</v>
      </c>
      <c r="BG43" s="299">
        <v>158.81</v>
      </c>
      <c r="BH43" s="299">
        <v>-5013.7200000000275</v>
      </c>
      <c r="BI43" s="299">
        <v>0</v>
      </c>
      <c r="BJ43" s="299">
        <v>0</v>
      </c>
      <c r="BK43" s="299">
        <v>0</v>
      </c>
      <c r="BL43" s="299">
        <v>0</v>
      </c>
      <c r="BM43" s="299">
        <v>0</v>
      </c>
      <c r="BN43" s="299">
        <v>0</v>
      </c>
      <c r="BO43" s="299">
        <v>0</v>
      </c>
      <c r="BP43" s="299">
        <v>0</v>
      </c>
      <c r="BQ43" s="299">
        <v>0</v>
      </c>
      <c r="BR43" s="299">
        <v>0</v>
      </c>
      <c r="BS43" s="299">
        <v>-5013.720000000144</v>
      </c>
      <c r="BT43" s="299">
        <v>0</v>
      </c>
      <c r="BU43" s="299">
        <v>-5013.720000000144</v>
      </c>
      <c r="BV43" s="299">
        <v>5057.5</v>
      </c>
      <c r="BW43" s="299">
        <v>0</v>
      </c>
      <c r="BX43" s="299">
        <v>0</v>
      </c>
      <c r="BY43" s="299">
        <v>5057.5</v>
      </c>
      <c r="BZ43" s="299">
        <v>0</v>
      </c>
      <c r="CA43" s="299">
        <v>3759.2</v>
      </c>
      <c r="CB43" s="299">
        <v>0</v>
      </c>
      <c r="CC43" s="299">
        <v>1299.24</v>
      </c>
      <c r="CD43" s="299">
        <v>5058.4399999999996</v>
      </c>
      <c r="CE43" s="299">
        <v>-0.93999999999959982</v>
      </c>
      <c r="CF43" s="299">
        <v>0.94</v>
      </c>
      <c r="CG43" s="299">
        <v>4.0012437807490642E-13</v>
      </c>
      <c r="CH43" s="299">
        <v>4.0023540037736893E-13</v>
      </c>
      <c r="CI43" s="299">
        <v>0</v>
      </c>
      <c r="CJ43" s="299">
        <v>4.0023540037736893E-13</v>
      </c>
    </row>
    <row r="44" spans="1:88" ht="13.8">
      <c r="A44" s="252" t="s">
        <v>1377</v>
      </c>
      <c r="B44" s="288">
        <v>3014</v>
      </c>
      <c r="C44" s="288" t="s">
        <v>749</v>
      </c>
      <c r="D44" s="248" t="s">
        <v>708</v>
      </c>
      <c r="E44" s="399" t="str">
        <f t="shared" si="1"/>
        <v>30EP3014</v>
      </c>
      <c r="F44" s="299">
        <v>2097343.65</v>
      </c>
      <c r="G44" s="299">
        <v>0</v>
      </c>
      <c r="H44" s="299">
        <v>96270.52</v>
      </c>
      <c r="I44" s="299">
        <v>0</v>
      </c>
      <c r="J44" s="299">
        <v>109560</v>
      </c>
      <c r="K44" s="299">
        <v>110</v>
      </c>
      <c r="L44" s="299">
        <v>0</v>
      </c>
      <c r="M44" s="299">
        <v>760</v>
      </c>
      <c r="N44" s="299">
        <v>119099.3</v>
      </c>
      <c r="O44" s="299">
        <v>36197.480000000003</v>
      </c>
      <c r="P44" s="299">
        <v>11004</v>
      </c>
      <c r="Q44" s="299">
        <v>3060</v>
      </c>
      <c r="R44" s="299">
        <v>42673.41</v>
      </c>
      <c r="S44" s="299">
        <v>23867.13</v>
      </c>
      <c r="T44" s="299">
        <v>0</v>
      </c>
      <c r="U44" s="299">
        <v>0</v>
      </c>
      <c r="V44" s="299">
        <v>0</v>
      </c>
      <c r="W44" s="299">
        <v>3778.13</v>
      </c>
      <c r="X44" s="299">
        <v>88566</v>
      </c>
      <c r="Y44" s="299">
        <v>2632289.6199999996</v>
      </c>
      <c r="Z44" s="299">
        <v>1453104.44</v>
      </c>
      <c r="AA44" s="299">
        <v>0</v>
      </c>
      <c r="AB44" s="299">
        <v>535154.07999999996</v>
      </c>
      <c r="AC44" s="299">
        <v>21376.79</v>
      </c>
      <c r="AD44" s="299">
        <v>90496.02</v>
      </c>
      <c r="AE44" s="299">
        <v>0</v>
      </c>
      <c r="AF44" s="299">
        <v>93865.43</v>
      </c>
      <c r="AG44" s="299">
        <v>9243.74</v>
      </c>
      <c r="AH44" s="299">
        <v>8875.2999999999993</v>
      </c>
      <c r="AI44" s="299">
        <v>12530.21</v>
      </c>
      <c r="AJ44" s="299">
        <v>0</v>
      </c>
      <c r="AK44" s="299">
        <v>37181.26</v>
      </c>
      <c r="AL44" s="299">
        <v>139.97999999999999</v>
      </c>
      <c r="AM44" s="299">
        <v>57585.760000000002</v>
      </c>
      <c r="AN44" s="299">
        <v>6082.3</v>
      </c>
      <c r="AO44" s="299">
        <v>55357.04</v>
      </c>
      <c r="AP44" s="299">
        <v>65520</v>
      </c>
      <c r="AQ44" s="299">
        <v>23307.41</v>
      </c>
      <c r="AR44" s="299">
        <v>106196.75</v>
      </c>
      <c r="AS44" s="299">
        <v>29740.239999999998</v>
      </c>
      <c r="AT44" s="299">
        <v>0</v>
      </c>
      <c r="AU44" s="299">
        <v>14739.69</v>
      </c>
      <c r="AV44" s="299">
        <v>8239.1200000000008</v>
      </c>
      <c r="AW44" s="299">
        <v>0</v>
      </c>
      <c r="AX44" s="299">
        <v>124850.33</v>
      </c>
      <c r="AY44" s="299">
        <v>15647.88</v>
      </c>
      <c r="AZ44" s="299">
        <v>603</v>
      </c>
      <c r="BA44" s="299">
        <v>13941.65</v>
      </c>
      <c r="BB44" s="299">
        <v>0</v>
      </c>
      <c r="BC44" s="299">
        <v>0</v>
      </c>
      <c r="BD44" s="299">
        <v>0</v>
      </c>
      <c r="BE44" s="299">
        <v>2783778.42</v>
      </c>
      <c r="BF44" s="299">
        <v>-151488.80000000028</v>
      </c>
      <c r="BG44" s="299">
        <v>337408.26</v>
      </c>
      <c r="BH44" s="299">
        <v>185919.45999999973</v>
      </c>
      <c r="BI44" s="299">
        <v>0</v>
      </c>
      <c r="BJ44" s="299">
        <v>0</v>
      </c>
      <c r="BK44" s="299">
        <v>0</v>
      </c>
      <c r="BL44" s="299">
        <v>0</v>
      </c>
      <c r="BM44" s="299">
        <v>0</v>
      </c>
      <c r="BN44" s="299">
        <v>0</v>
      </c>
      <c r="BO44" s="299">
        <v>0</v>
      </c>
      <c r="BP44" s="299">
        <v>0</v>
      </c>
      <c r="BQ44" s="299">
        <v>0</v>
      </c>
      <c r="BR44" s="299">
        <v>8119.7</v>
      </c>
      <c r="BS44" s="299">
        <v>177799.75999999972</v>
      </c>
      <c r="BT44" s="299">
        <v>0</v>
      </c>
      <c r="BU44" s="299">
        <v>185919.45999999973</v>
      </c>
      <c r="BV44" s="299">
        <v>8702.5</v>
      </c>
      <c r="BW44" s="299">
        <v>0</v>
      </c>
      <c r="BX44" s="299">
        <v>0</v>
      </c>
      <c r="BY44" s="299">
        <v>8702.5</v>
      </c>
      <c r="BZ44" s="299">
        <v>0</v>
      </c>
      <c r="CA44" s="299">
        <v>0</v>
      </c>
      <c r="CB44" s="299">
        <v>0</v>
      </c>
      <c r="CC44" s="299">
        <v>12781.85</v>
      </c>
      <c r="CD44" s="299">
        <v>12781.85</v>
      </c>
      <c r="CE44" s="299">
        <v>-4079.3500000000004</v>
      </c>
      <c r="CF44" s="299">
        <v>16460.03</v>
      </c>
      <c r="CG44" s="299">
        <v>12380.679999999998</v>
      </c>
      <c r="CH44" s="299">
        <v>12380.679999999998</v>
      </c>
      <c r="CI44" s="299">
        <v>0</v>
      </c>
      <c r="CJ44" s="299">
        <v>12380.679999999998</v>
      </c>
    </row>
    <row r="45" spans="1:88" ht="13.8">
      <c r="A45" s="252" t="s">
        <v>1377</v>
      </c>
      <c r="B45" s="288">
        <v>2321</v>
      </c>
      <c r="C45" s="288" t="s">
        <v>750</v>
      </c>
      <c r="D45" s="248" t="s">
        <v>708</v>
      </c>
      <c r="E45" s="399" t="str">
        <f t="shared" si="1"/>
        <v>30EP2321</v>
      </c>
      <c r="F45" s="299">
        <v>2262585.88</v>
      </c>
      <c r="G45" s="299">
        <v>0</v>
      </c>
      <c r="H45" s="299">
        <v>238043.65</v>
      </c>
      <c r="I45" s="299">
        <v>0</v>
      </c>
      <c r="J45" s="299">
        <v>146440</v>
      </c>
      <c r="K45" s="299">
        <v>4456.93</v>
      </c>
      <c r="L45" s="299">
        <v>579</v>
      </c>
      <c r="M45" s="299">
        <v>0</v>
      </c>
      <c r="N45" s="299">
        <v>30584.240000000002</v>
      </c>
      <c r="O45" s="299">
        <v>32352.14</v>
      </c>
      <c r="P45" s="299">
        <v>7951.32</v>
      </c>
      <c r="Q45" s="299">
        <v>5154</v>
      </c>
      <c r="R45" s="299">
        <v>38651.599999999999</v>
      </c>
      <c r="S45" s="299">
        <v>5113.8599999999997</v>
      </c>
      <c r="T45" s="299">
        <v>0</v>
      </c>
      <c r="U45" s="299">
        <v>0</v>
      </c>
      <c r="V45" s="299">
        <v>0</v>
      </c>
      <c r="W45" s="299">
        <v>5915.63</v>
      </c>
      <c r="X45" s="299">
        <v>88110</v>
      </c>
      <c r="Y45" s="299">
        <v>2865938.25</v>
      </c>
      <c r="Z45" s="299">
        <v>1232281.3700000001</v>
      </c>
      <c r="AA45" s="299">
        <v>21171.5</v>
      </c>
      <c r="AB45" s="299">
        <v>731115.37</v>
      </c>
      <c r="AC45" s="299">
        <v>39031.660000000003</v>
      </c>
      <c r="AD45" s="299">
        <v>164335.38</v>
      </c>
      <c r="AE45" s="299">
        <v>86903.02</v>
      </c>
      <c r="AF45" s="299">
        <v>35280.07</v>
      </c>
      <c r="AG45" s="299">
        <v>11736.44</v>
      </c>
      <c r="AH45" s="299">
        <v>11369.66</v>
      </c>
      <c r="AI45" s="299">
        <v>0</v>
      </c>
      <c r="AJ45" s="299">
        <v>3120</v>
      </c>
      <c r="AK45" s="299">
        <v>24392.5</v>
      </c>
      <c r="AL45" s="299">
        <v>3709.91</v>
      </c>
      <c r="AM45" s="299">
        <v>49808.63</v>
      </c>
      <c r="AN45" s="299">
        <v>13284.81</v>
      </c>
      <c r="AO45" s="299">
        <v>57832.14</v>
      </c>
      <c r="AP45" s="299">
        <v>70258.75</v>
      </c>
      <c r="AQ45" s="299">
        <v>11487.31</v>
      </c>
      <c r="AR45" s="299">
        <v>113533.95</v>
      </c>
      <c r="AS45" s="299">
        <v>52629.63</v>
      </c>
      <c r="AT45" s="299">
        <v>0</v>
      </c>
      <c r="AU45" s="299">
        <v>10541.9</v>
      </c>
      <c r="AV45" s="299">
        <v>8462.4500000000007</v>
      </c>
      <c r="AW45" s="299">
        <v>0</v>
      </c>
      <c r="AX45" s="299">
        <v>47581.25</v>
      </c>
      <c r="AY45" s="299">
        <v>18092.43</v>
      </c>
      <c r="AZ45" s="299">
        <v>1800</v>
      </c>
      <c r="BA45" s="299">
        <v>12207.97</v>
      </c>
      <c r="BB45" s="299">
        <v>0</v>
      </c>
      <c r="BC45" s="299">
        <v>0</v>
      </c>
      <c r="BD45" s="299">
        <v>0</v>
      </c>
      <c r="BE45" s="299">
        <v>2831968.100000001</v>
      </c>
      <c r="BF45" s="299">
        <v>33970.149999998976</v>
      </c>
      <c r="BG45" s="299">
        <v>241330.11</v>
      </c>
      <c r="BH45" s="299">
        <v>275300.25999999896</v>
      </c>
      <c r="BI45" s="299">
        <v>0</v>
      </c>
      <c r="BJ45" s="299">
        <v>24479.23</v>
      </c>
      <c r="BK45" s="299">
        <v>24479.23</v>
      </c>
      <c r="BL45" s="299">
        <v>4336</v>
      </c>
      <c r="BM45" s="299">
        <v>21086.46</v>
      </c>
      <c r="BN45" s="299">
        <v>25422.46</v>
      </c>
      <c r="BO45" s="299">
        <v>-943.22999999999956</v>
      </c>
      <c r="BP45" s="299">
        <v>2796.43</v>
      </c>
      <c r="BQ45" s="299">
        <v>1853.2000000000003</v>
      </c>
      <c r="BR45" s="299">
        <v>2884.81</v>
      </c>
      <c r="BS45" s="299">
        <v>272415.44999999896</v>
      </c>
      <c r="BT45" s="299">
        <v>1853.2000000000003</v>
      </c>
      <c r="BU45" s="299">
        <v>277153.45999999897</v>
      </c>
      <c r="BV45" s="299">
        <v>9040</v>
      </c>
      <c r="BW45" s="299">
        <v>0</v>
      </c>
      <c r="BX45" s="299">
        <v>0</v>
      </c>
      <c r="BY45" s="299">
        <v>9040</v>
      </c>
      <c r="BZ45" s="299">
        <v>0</v>
      </c>
      <c r="CA45" s="299">
        <v>25823.88</v>
      </c>
      <c r="CB45" s="299">
        <v>0</v>
      </c>
      <c r="CC45" s="299">
        <v>0</v>
      </c>
      <c r="CD45" s="299">
        <v>25823.88</v>
      </c>
      <c r="CE45" s="299">
        <v>-16783.88</v>
      </c>
      <c r="CF45" s="299">
        <v>20741.34</v>
      </c>
      <c r="CG45" s="299">
        <v>3957.4599999999991</v>
      </c>
      <c r="CH45" s="299">
        <v>3957.4599999999991</v>
      </c>
      <c r="CI45" s="299">
        <v>0</v>
      </c>
      <c r="CJ45" s="299">
        <v>3957.4599999999991</v>
      </c>
    </row>
    <row r="46" spans="1:88" ht="13.8">
      <c r="A46" s="252" t="s">
        <v>1377</v>
      </c>
      <c r="B46" s="288">
        <v>2011</v>
      </c>
      <c r="C46" s="288" t="s">
        <v>751</v>
      </c>
      <c r="D46" s="248" t="s">
        <v>708</v>
      </c>
      <c r="E46" s="399" t="str">
        <f t="shared" si="1"/>
        <v>30EP2011</v>
      </c>
      <c r="F46" s="299">
        <v>544367.81999999995</v>
      </c>
      <c r="G46" s="299">
        <v>0</v>
      </c>
      <c r="H46" s="299">
        <v>20465.41</v>
      </c>
      <c r="I46" s="299">
        <v>0</v>
      </c>
      <c r="J46" s="299">
        <v>19890</v>
      </c>
      <c r="K46" s="299">
        <v>0</v>
      </c>
      <c r="L46" s="299">
        <v>0</v>
      </c>
      <c r="M46" s="299">
        <v>4999.92</v>
      </c>
      <c r="N46" s="299">
        <v>632</v>
      </c>
      <c r="O46" s="299">
        <v>9990.69</v>
      </c>
      <c r="P46" s="299">
        <v>0</v>
      </c>
      <c r="Q46" s="299">
        <v>0</v>
      </c>
      <c r="R46" s="299">
        <v>4135.05</v>
      </c>
      <c r="S46" s="299">
        <v>203.72</v>
      </c>
      <c r="T46" s="299">
        <v>0</v>
      </c>
      <c r="U46" s="299">
        <v>0</v>
      </c>
      <c r="V46" s="299">
        <v>0</v>
      </c>
      <c r="W46" s="299">
        <v>27.5</v>
      </c>
      <c r="X46" s="299">
        <v>28398</v>
      </c>
      <c r="Y46" s="299">
        <v>633110.11</v>
      </c>
      <c r="Z46" s="299">
        <v>279928</v>
      </c>
      <c r="AA46" s="299">
        <v>0</v>
      </c>
      <c r="AB46" s="299">
        <v>78087.12</v>
      </c>
      <c r="AC46" s="299">
        <v>4358.5200000000004</v>
      </c>
      <c r="AD46" s="299">
        <v>50995.54</v>
      </c>
      <c r="AE46" s="299">
        <v>0</v>
      </c>
      <c r="AF46" s="299">
        <v>14137.08</v>
      </c>
      <c r="AG46" s="299">
        <v>8336.2000000000007</v>
      </c>
      <c r="AH46" s="299">
        <v>3660</v>
      </c>
      <c r="AI46" s="299">
        <v>0</v>
      </c>
      <c r="AJ46" s="299">
        <v>0</v>
      </c>
      <c r="AK46" s="299">
        <v>4844.6400000000003</v>
      </c>
      <c r="AL46" s="299">
        <v>2280.13</v>
      </c>
      <c r="AM46" s="299">
        <v>15152.47</v>
      </c>
      <c r="AN46" s="299">
        <v>1805.44</v>
      </c>
      <c r="AO46" s="299">
        <v>16561.34</v>
      </c>
      <c r="AP46" s="299">
        <v>15344.25</v>
      </c>
      <c r="AQ46" s="299">
        <v>8298.58</v>
      </c>
      <c r="AR46" s="299">
        <v>24309.58</v>
      </c>
      <c r="AS46" s="299">
        <v>17364.339999999997</v>
      </c>
      <c r="AT46" s="299">
        <v>0</v>
      </c>
      <c r="AU46" s="299">
        <v>2705.22</v>
      </c>
      <c r="AV46" s="299">
        <v>2091.6999999999998</v>
      </c>
      <c r="AW46" s="299">
        <v>2728.5</v>
      </c>
      <c r="AX46" s="299">
        <v>26888.240000000002</v>
      </c>
      <c r="AY46" s="299">
        <v>34693.24</v>
      </c>
      <c r="AZ46" s="299">
        <v>12472.39</v>
      </c>
      <c r="BA46" s="299">
        <v>13220.96</v>
      </c>
      <c r="BB46" s="299">
        <v>0</v>
      </c>
      <c r="BC46" s="299">
        <v>0</v>
      </c>
      <c r="BD46" s="299">
        <v>0</v>
      </c>
      <c r="BE46" s="299">
        <v>640263.47999999986</v>
      </c>
      <c r="BF46" s="299">
        <v>-7153.3699999998789</v>
      </c>
      <c r="BG46" s="299">
        <v>36706.480000000003</v>
      </c>
      <c r="BH46" s="299">
        <v>29553.110000000124</v>
      </c>
      <c r="BI46" s="299">
        <v>0</v>
      </c>
      <c r="BJ46" s="299">
        <v>0</v>
      </c>
      <c r="BK46" s="299">
        <v>0</v>
      </c>
      <c r="BL46" s="299">
        <v>0</v>
      </c>
      <c r="BM46" s="299">
        <v>0</v>
      </c>
      <c r="BN46" s="299">
        <v>0</v>
      </c>
      <c r="BO46" s="299">
        <v>0</v>
      </c>
      <c r="BP46" s="299">
        <v>0</v>
      </c>
      <c r="BQ46" s="299">
        <v>0</v>
      </c>
      <c r="BR46" s="299">
        <v>19752.730000000003</v>
      </c>
      <c r="BS46" s="299">
        <v>9800.3800000000047</v>
      </c>
      <c r="BT46" s="299">
        <v>0</v>
      </c>
      <c r="BU46" s="299">
        <v>29553.110000000008</v>
      </c>
      <c r="BV46" s="299">
        <v>5012.5</v>
      </c>
      <c r="BW46" s="299">
        <v>0</v>
      </c>
      <c r="BX46" s="299">
        <v>0</v>
      </c>
      <c r="BY46" s="299">
        <v>5012.5</v>
      </c>
      <c r="BZ46" s="299">
        <v>0</v>
      </c>
      <c r="CA46" s="299">
        <v>6982.45</v>
      </c>
      <c r="CB46" s="299">
        <v>0</v>
      </c>
      <c r="CC46" s="299">
        <v>0</v>
      </c>
      <c r="CD46" s="299">
        <v>6982.45</v>
      </c>
      <c r="CE46" s="299">
        <v>-1969.9499999999998</v>
      </c>
      <c r="CF46" s="299">
        <v>8096.92</v>
      </c>
      <c r="CG46" s="299">
        <v>6126.97</v>
      </c>
      <c r="CH46" s="299">
        <v>6126.97</v>
      </c>
      <c r="CI46" s="299">
        <v>0</v>
      </c>
      <c r="CJ46" s="299">
        <v>6126.97</v>
      </c>
    </row>
    <row r="47" spans="1:88" ht="13.8">
      <c r="A47" s="252" t="s">
        <v>1377</v>
      </c>
      <c r="B47" s="288">
        <v>2012</v>
      </c>
      <c r="C47" s="288" t="s">
        <v>752</v>
      </c>
      <c r="D47" s="248" t="s">
        <v>708</v>
      </c>
      <c r="E47" s="399" t="str">
        <f t="shared" si="1"/>
        <v>30EP2012</v>
      </c>
      <c r="F47" s="299">
        <v>641356.38</v>
      </c>
      <c r="G47" s="299">
        <v>0</v>
      </c>
      <c r="H47" s="299">
        <v>25177.95</v>
      </c>
      <c r="I47" s="299">
        <v>0</v>
      </c>
      <c r="J47" s="299">
        <v>36714.92</v>
      </c>
      <c r="K47" s="299">
        <v>551</v>
      </c>
      <c r="L47" s="299">
        <v>0</v>
      </c>
      <c r="M47" s="299">
        <v>0</v>
      </c>
      <c r="N47" s="299">
        <v>3654.11</v>
      </c>
      <c r="O47" s="299">
        <v>10672.29</v>
      </c>
      <c r="P47" s="299">
        <v>0</v>
      </c>
      <c r="Q47" s="299">
        <v>0</v>
      </c>
      <c r="R47" s="299">
        <v>13230.84</v>
      </c>
      <c r="S47" s="299">
        <v>1370</v>
      </c>
      <c r="T47" s="299">
        <v>0</v>
      </c>
      <c r="U47" s="299">
        <v>0</v>
      </c>
      <c r="V47" s="299">
        <v>0</v>
      </c>
      <c r="W47" s="299">
        <v>-147.5</v>
      </c>
      <c r="X47" s="299">
        <v>22396</v>
      </c>
      <c r="Y47" s="299">
        <v>754975.99</v>
      </c>
      <c r="Z47" s="299">
        <v>322776.55</v>
      </c>
      <c r="AA47" s="299">
        <v>916.94</v>
      </c>
      <c r="AB47" s="299">
        <v>129441.45</v>
      </c>
      <c r="AC47" s="299">
        <v>17430.54</v>
      </c>
      <c r="AD47" s="299">
        <v>43962.559999999998</v>
      </c>
      <c r="AE47" s="299">
        <v>0</v>
      </c>
      <c r="AF47" s="299">
        <v>2202.9899999999998</v>
      </c>
      <c r="AG47" s="299">
        <v>2448.9299999999998</v>
      </c>
      <c r="AH47" s="299">
        <v>1423</v>
      </c>
      <c r="AI47" s="299">
        <v>2125</v>
      </c>
      <c r="AJ47" s="299">
        <v>100</v>
      </c>
      <c r="AK47" s="299">
        <v>1589.77</v>
      </c>
      <c r="AL47" s="299">
        <v>1991.5</v>
      </c>
      <c r="AM47" s="299">
        <v>1170.9000000000001</v>
      </c>
      <c r="AN47" s="299">
        <v>980.5</v>
      </c>
      <c r="AO47" s="299">
        <v>20131.259999999998</v>
      </c>
      <c r="AP47" s="299">
        <v>20209.5</v>
      </c>
      <c r="AQ47" s="299">
        <v>36491.019999999997</v>
      </c>
      <c r="AR47" s="299">
        <v>23314.2</v>
      </c>
      <c r="AS47" s="299">
        <v>16337.550000000001</v>
      </c>
      <c r="AT47" s="299">
        <v>0</v>
      </c>
      <c r="AU47" s="299">
        <v>3843.83</v>
      </c>
      <c r="AV47" s="299">
        <v>1941.86</v>
      </c>
      <c r="AW47" s="299">
        <v>75</v>
      </c>
      <c r="AX47" s="299">
        <v>26334.95</v>
      </c>
      <c r="AY47" s="299">
        <v>6393.94</v>
      </c>
      <c r="AZ47" s="299">
        <v>18907.060000000001</v>
      </c>
      <c r="BA47" s="299">
        <v>18051.849999999999</v>
      </c>
      <c r="BB47" s="299">
        <v>0</v>
      </c>
      <c r="BC47" s="299">
        <v>0</v>
      </c>
      <c r="BD47" s="299">
        <v>0</v>
      </c>
      <c r="BE47" s="299">
        <v>720592.64999999991</v>
      </c>
      <c r="BF47" s="299">
        <v>34383.340000000084</v>
      </c>
      <c r="BG47" s="299">
        <v>129149.02</v>
      </c>
      <c r="BH47" s="299">
        <v>163532.3600000001</v>
      </c>
      <c r="BI47" s="299">
        <v>0</v>
      </c>
      <c r="BJ47" s="299">
        <v>0</v>
      </c>
      <c r="BK47" s="299">
        <v>0</v>
      </c>
      <c r="BL47" s="299">
        <v>0</v>
      </c>
      <c r="BM47" s="299">
        <v>0</v>
      </c>
      <c r="BN47" s="299">
        <v>0</v>
      </c>
      <c r="BO47" s="299">
        <v>0</v>
      </c>
      <c r="BP47" s="299">
        <v>0</v>
      </c>
      <c r="BQ47" s="299">
        <v>0</v>
      </c>
      <c r="BR47" s="299">
        <v>25548.91</v>
      </c>
      <c r="BS47" s="299">
        <v>137983.4500000001</v>
      </c>
      <c r="BT47" s="299">
        <v>0</v>
      </c>
      <c r="BU47" s="299">
        <v>163532.3600000001</v>
      </c>
      <c r="BV47" s="299">
        <v>5023.75</v>
      </c>
      <c r="BW47" s="299">
        <v>0</v>
      </c>
      <c r="BX47" s="299">
        <v>0</v>
      </c>
      <c r="BY47" s="299">
        <v>5023.75</v>
      </c>
      <c r="BZ47" s="299">
        <v>0</v>
      </c>
      <c r="CA47" s="299">
        <v>0</v>
      </c>
      <c r="CB47" s="299">
        <v>0</v>
      </c>
      <c r="CC47" s="299">
        <v>0</v>
      </c>
      <c r="CD47" s="299">
        <v>0</v>
      </c>
      <c r="CE47" s="299">
        <v>5023.75</v>
      </c>
      <c r="CF47" s="299">
        <v>12821.94</v>
      </c>
      <c r="CG47" s="299">
        <v>17845.690000000002</v>
      </c>
      <c r="CH47" s="299">
        <v>17845.690000000002</v>
      </c>
      <c r="CI47" s="299">
        <v>0</v>
      </c>
      <c r="CJ47" s="299">
        <v>17845.690000000002</v>
      </c>
    </row>
    <row r="48" spans="1:88" ht="13.8">
      <c r="A48" s="252" t="s">
        <v>1377</v>
      </c>
      <c r="B48" s="288">
        <v>2068</v>
      </c>
      <c r="C48" s="288" t="s">
        <v>753</v>
      </c>
      <c r="D48" s="248" t="s">
        <v>708</v>
      </c>
      <c r="E48" s="399" t="str">
        <f t="shared" si="1"/>
        <v>30EP2068</v>
      </c>
      <c r="F48" s="299">
        <v>573589.54</v>
      </c>
      <c r="G48" s="299">
        <v>0</v>
      </c>
      <c r="H48" s="299">
        <v>50368.800000000003</v>
      </c>
      <c r="I48" s="299">
        <v>0</v>
      </c>
      <c r="J48" s="299">
        <v>40332</v>
      </c>
      <c r="K48" s="299">
        <v>0</v>
      </c>
      <c r="L48" s="299">
        <v>0</v>
      </c>
      <c r="M48" s="299">
        <v>6853</v>
      </c>
      <c r="N48" s="299">
        <v>35312.35</v>
      </c>
      <c r="O48" s="299">
        <v>3605.42</v>
      </c>
      <c r="P48" s="299">
        <v>15870</v>
      </c>
      <c r="Q48" s="299">
        <v>133.94999999999999</v>
      </c>
      <c r="R48" s="299">
        <v>5254</v>
      </c>
      <c r="S48" s="299">
        <v>152.75</v>
      </c>
      <c r="T48" s="299">
        <v>0</v>
      </c>
      <c r="U48" s="299">
        <v>0</v>
      </c>
      <c r="V48" s="299">
        <v>0</v>
      </c>
      <c r="W48" s="299">
        <v>-314.37</v>
      </c>
      <c r="X48" s="299">
        <v>26389</v>
      </c>
      <c r="Y48" s="299">
        <v>757546.44000000006</v>
      </c>
      <c r="Z48" s="299">
        <v>286012.39</v>
      </c>
      <c r="AA48" s="299">
        <v>48619.08</v>
      </c>
      <c r="AB48" s="299">
        <v>206407.25</v>
      </c>
      <c r="AC48" s="299">
        <v>33098.07</v>
      </c>
      <c r="AD48" s="299">
        <v>54128.27</v>
      </c>
      <c r="AE48" s="299">
        <v>0</v>
      </c>
      <c r="AF48" s="299">
        <v>5936.45</v>
      </c>
      <c r="AG48" s="299">
        <v>2962.7</v>
      </c>
      <c r="AH48" s="299">
        <v>2472</v>
      </c>
      <c r="AI48" s="299">
        <v>2075</v>
      </c>
      <c r="AJ48" s="299">
        <v>285</v>
      </c>
      <c r="AK48" s="299">
        <v>10038.32</v>
      </c>
      <c r="AL48" s="299">
        <v>1368.44</v>
      </c>
      <c r="AM48" s="299">
        <v>3211.81</v>
      </c>
      <c r="AN48" s="299">
        <v>813</v>
      </c>
      <c r="AO48" s="299">
        <v>19650.52</v>
      </c>
      <c r="AP48" s="299">
        <v>12100.75</v>
      </c>
      <c r="AQ48" s="299">
        <v>9053.43</v>
      </c>
      <c r="AR48" s="299">
        <v>56505.41</v>
      </c>
      <c r="AS48" s="299">
        <v>23102.48</v>
      </c>
      <c r="AT48" s="299">
        <v>0</v>
      </c>
      <c r="AU48" s="299">
        <v>6328.72</v>
      </c>
      <c r="AV48" s="299">
        <v>3387.89</v>
      </c>
      <c r="AW48" s="299">
        <v>3158.54</v>
      </c>
      <c r="AX48" s="299">
        <v>34370.68</v>
      </c>
      <c r="AY48" s="299">
        <v>0</v>
      </c>
      <c r="AZ48" s="299">
        <v>26992.65</v>
      </c>
      <c r="BA48" s="299">
        <v>15324.49</v>
      </c>
      <c r="BB48" s="299">
        <v>0</v>
      </c>
      <c r="BC48" s="299">
        <v>0</v>
      </c>
      <c r="BD48" s="299">
        <v>0</v>
      </c>
      <c r="BE48" s="299">
        <v>867403.34</v>
      </c>
      <c r="BF48" s="299">
        <v>-109856.89999999991</v>
      </c>
      <c r="BG48" s="299">
        <v>50880.26</v>
      </c>
      <c r="BH48" s="299">
        <v>-58976.639999999905</v>
      </c>
      <c r="BI48" s="299">
        <v>0</v>
      </c>
      <c r="BJ48" s="299">
        <v>0</v>
      </c>
      <c r="BK48" s="299">
        <v>0</v>
      </c>
      <c r="BL48" s="299">
        <v>0</v>
      </c>
      <c r="BM48" s="299">
        <v>0</v>
      </c>
      <c r="BN48" s="299">
        <v>0</v>
      </c>
      <c r="BO48" s="299">
        <v>0</v>
      </c>
      <c r="BP48" s="299">
        <v>0</v>
      </c>
      <c r="BQ48" s="299">
        <v>0</v>
      </c>
      <c r="BR48" s="299">
        <v>0</v>
      </c>
      <c r="BS48" s="299">
        <v>-58976.639999999905</v>
      </c>
      <c r="BT48" s="299">
        <v>0</v>
      </c>
      <c r="BU48" s="299">
        <v>-58976.639999999905</v>
      </c>
      <c r="BV48" s="299">
        <v>5001.25</v>
      </c>
      <c r="BW48" s="299">
        <v>0</v>
      </c>
      <c r="BX48" s="299">
        <v>0</v>
      </c>
      <c r="BY48" s="299">
        <v>5001.25</v>
      </c>
      <c r="BZ48" s="299">
        <v>0</v>
      </c>
      <c r="CA48" s="299">
        <v>12128.55</v>
      </c>
      <c r="CB48" s="299">
        <v>0</v>
      </c>
      <c r="CC48" s="299">
        <v>3139.71</v>
      </c>
      <c r="CD48" s="299">
        <v>15268.259999999998</v>
      </c>
      <c r="CE48" s="299">
        <v>-10267.009999999998</v>
      </c>
      <c r="CF48" s="299">
        <v>12899.11</v>
      </c>
      <c r="CG48" s="299">
        <v>2632.1000000000022</v>
      </c>
      <c r="CH48" s="299">
        <v>2632.1000000000022</v>
      </c>
      <c r="CI48" s="299">
        <v>0</v>
      </c>
      <c r="CJ48" s="299">
        <v>2632.1000000000022</v>
      </c>
    </row>
    <row r="49" spans="1:88" ht="13.8">
      <c r="A49" s="252" t="s">
        <v>1377</v>
      </c>
      <c r="B49" s="288">
        <v>2328</v>
      </c>
      <c r="C49" s="288" t="s">
        <v>754</v>
      </c>
      <c r="D49" s="248" t="s">
        <v>708</v>
      </c>
      <c r="E49" s="399" t="str">
        <f t="shared" si="1"/>
        <v>30EP2328</v>
      </c>
      <c r="F49" s="299">
        <v>1370475.64</v>
      </c>
      <c r="G49" s="299">
        <v>0</v>
      </c>
      <c r="H49" s="299">
        <v>102175.36</v>
      </c>
      <c r="I49" s="299">
        <v>0</v>
      </c>
      <c r="J49" s="299">
        <v>56965</v>
      </c>
      <c r="K49" s="299">
        <v>5876.93</v>
      </c>
      <c r="L49" s="299">
        <v>0</v>
      </c>
      <c r="M49" s="299">
        <v>32743.01</v>
      </c>
      <c r="N49" s="299">
        <v>30268.09</v>
      </c>
      <c r="O49" s="299">
        <v>30023.39</v>
      </c>
      <c r="P49" s="299">
        <v>8010</v>
      </c>
      <c r="Q49" s="299">
        <v>214</v>
      </c>
      <c r="R49" s="299">
        <v>55011.68</v>
      </c>
      <c r="S49" s="299">
        <v>214737.82</v>
      </c>
      <c r="T49" s="299">
        <v>0</v>
      </c>
      <c r="U49" s="299">
        <v>0</v>
      </c>
      <c r="V49" s="299">
        <v>0</v>
      </c>
      <c r="W49" s="299">
        <v>2435</v>
      </c>
      <c r="X49" s="299">
        <v>59827</v>
      </c>
      <c r="Y49" s="299">
        <v>1968762.92</v>
      </c>
      <c r="Z49" s="299">
        <v>853590.81</v>
      </c>
      <c r="AA49" s="299">
        <v>6659.46</v>
      </c>
      <c r="AB49" s="299">
        <v>405546.01</v>
      </c>
      <c r="AC49" s="299">
        <v>38272.49</v>
      </c>
      <c r="AD49" s="299">
        <v>102464.41</v>
      </c>
      <c r="AE49" s="299">
        <v>0</v>
      </c>
      <c r="AF49" s="299">
        <v>31590.49</v>
      </c>
      <c r="AG49" s="299">
        <v>8039.18</v>
      </c>
      <c r="AH49" s="299">
        <v>6471.4</v>
      </c>
      <c r="AI49" s="299">
        <v>4218.1099999999997</v>
      </c>
      <c r="AJ49" s="299">
        <v>0</v>
      </c>
      <c r="AK49" s="299">
        <v>9055.2000000000007</v>
      </c>
      <c r="AL49" s="299">
        <v>3981.66</v>
      </c>
      <c r="AM49" s="299">
        <v>47274.17</v>
      </c>
      <c r="AN49" s="299">
        <v>2068.06</v>
      </c>
      <c r="AO49" s="299">
        <v>60243.11</v>
      </c>
      <c r="AP49" s="299">
        <v>53744.65</v>
      </c>
      <c r="AQ49" s="299">
        <v>12652.38</v>
      </c>
      <c r="AR49" s="299">
        <v>183401.64</v>
      </c>
      <c r="AS49" s="299">
        <v>26379.200000000001</v>
      </c>
      <c r="AT49" s="299">
        <v>0</v>
      </c>
      <c r="AU49" s="299">
        <v>7098.83</v>
      </c>
      <c r="AV49" s="299">
        <v>6446.95</v>
      </c>
      <c r="AW49" s="299">
        <v>636.1</v>
      </c>
      <c r="AX49" s="299">
        <v>111044.34</v>
      </c>
      <c r="AY49" s="299">
        <v>15958.15</v>
      </c>
      <c r="AZ49" s="299">
        <v>10940.61</v>
      </c>
      <c r="BA49" s="299">
        <v>18040.330000000002</v>
      </c>
      <c r="BB49" s="299">
        <v>0</v>
      </c>
      <c r="BC49" s="299">
        <v>0</v>
      </c>
      <c r="BD49" s="299">
        <v>0</v>
      </c>
      <c r="BE49" s="299">
        <v>2025817.7399999998</v>
      </c>
      <c r="BF49" s="299">
        <v>-57054.819999999832</v>
      </c>
      <c r="BG49" s="299">
        <v>184541.06</v>
      </c>
      <c r="BH49" s="299">
        <v>127486.24000000017</v>
      </c>
      <c r="BI49" s="299">
        <v>0</v>
      </c>
      <c r="BJ49" s="299">
        <v>0</v>
      </c>
      <c r="BK49" s="299">
        <v>0</v>
      </c>
      <c r="BL49" s="299">
        <v>0</v>
      </c>
      <c r="BM49" s="299">
        <v>0</v>
      </c>
      <c r="BN49" s="299">
        <v>0</v>
      </c>
      <c r="BO49" s="299">
        <v>0</v>
      </c>
      <c r="BP49" s="299">
        <v>0</v>
      </c>
      <c r="BQ49" s="299">
        <v>0</v>
      </c>
      <c r="BR49" s="299">
        <v>11713</v>
      </c>
      <c r="BS49" s="299">
        <v>115773.24000000017</v>
      </c>
      <c r="BT49" s="299">
        <v>0</v>
      </c>
      <c r="BU49" s="299">
        <v>127486.24000000017</v>
      </c>
      <c r="BV49" s="299">
        <v>7161.25</v>
      </c>
      <c r="BW49" s="299">
        <v>0</v>
      </c>
      <c r="BX49" s="299">
        <v>0</v>
      </c>
      <c r="BY49" s="299">
        <v>7161.25</v>
      </c>
      <c r="BZ49" s="299">
        <v>0</v>
      </c>
      <c r="CA49" s="299">
        <v>5569.04</v>
      </c>
      <c r="CB49" s="299">
        <v>0</v>
      </c>
      <c r="CC49" s="299">
        <v>13165.21</v>
      </c>
      <c r="CD49" s="299">
        <v>18734.25</v>
      </c>
      <c r="CE49" s="299">
        <v>-11573</v>
      </c>
      <c r="CF49" s="299">
        <v>25664.76</v>
      </c>
      <c r="CG49" s="299">
        <v>14091.759999999998</v>
      </c>
      <c r="CH49" s="299">
        <v>14091.759999999998</v>
      </c>
      <c r="CI49" s="299">
        <v>0</v>
      </c>
      <c r="CJ49" s="299">
        <v>14091.759999999998</v>
      </c>
    </row>
    <row r="50" spans="1:88" ht="13.8">
      <c r="A50" s="252" t="s">
        <v>1377</v>
      </c>
      <c r="B50" s="288">
        <v>7025</v>
      </c>
      <c r="C50" s="288" t="s">
        <v>755</v>
      </c>
      <c r="D50" s="248" t="s">
        <v>730</v>
      </c>
      <c r="E50" s="399" t="str">
        <f t="shared" si="1"/>
        <v>30ES7025</v>
      </c>
      <c r="F50" s="299">
        <v>2020280.95</v>
      </c>
      <c r="G50" s="299">
        <v>405003.43</v>
      </c>
      <c r="H50" s="299">
        <v>1809534.03</v>
      </c>
      <c r="I50" s="299">
        <v>0</v>
      </c>
      <c r="J50" s="299">
        <v>85245</v>
      </c>
      <c r="K50" s="299">
        <v>0</v>
      </c>
      <c r="L50" s="299">
        <v>0</v>
      </c>
      <c r="M50" s="299">
        <v>64436.14</v>
      </c>
      <c r="N50" s="299">
        <v>14375.44</v>
      </c>
      <c r="O50" s="299">
        <v>17765.82</v>
      </c>
      <c r="P50" s="299">
        <v>0</v>
      </c>
      <c r="Q50" s="299">
        <v>0</v>
      </c>
      <c r="R50" s="299">
        <v>795.77</v>
      </c>
      <c r="S50" s="299">
        <v>12387.55</v>
      </c>
      <c r="T50" s="299">
        <v>0</v>
      </c>
      <c r="U50" s="299">
        <v>0</v>
      </c>
      <c r="V50" s="299">
        <v>0</v>
      </c>
      <c r="W50" s="299">
        <v>8605.8799999999992</v>
      </c>
      <c r="X50" s="299">
        <v>18237</v>
      </c>
      <c r="Y50" s="299">
        <v>4456667.01</v>
      </c>
      <c r="Z50" s="299">
        <v>1478892.03</v>
      </c>
      <c r="AA50" s="299">
        <v>13858.06</v>
      </c>
      <c r="AB50" s="299">
        <v>1990420.66</v>
      </c>
      <c r="AC50" s="299">
        <v>82809.19</v>
      </c>
      <c r="AD50" s="299">
        <v>203841.84</v>
      </c>
      <c r="AE50" s="299">
        <v>79236.61</v>
      </c>
      <c r="AF50" s="299">
        <v>81761.91</v>
      </c>
      <c r="AG50" s="299">
        <v>26587.37</v>
      </c>
      <c r="AH50" s="299">
        <v>18312.939999999999</v>
      </c>
      <c r="AI50" s="299">
        <v>0</v>
      </c>
      <c r="AJ50" s="299">
        <v>0</v>
      </c>
      <c r="AK50" s="299">
        <v>94841.19</v>
      </c>
      <c r="AL50" s="299">
        <v>5621.29</v>
      </c>
      <c r="AM50" s="299">
        <v>108544.6</v>
      </c>
      <c r="AN50" s="299">
        <v>4324.1400000000003</v>
      </c>
      <c r="AO50" s="299">
        <v>100928.03</v>
      </c>
      <c r="AP50" s="299">
        <v>0</v>
      </c>
      <c r="AQ50" s="299">
        <v>34495.49</v>
      </c>
      <c r="AR50" s="299">
        <v>70191.73</v>
      </c>
      <c r="AS50" s="299">
        <v>48241.05</v>
      </c>
      <c r="AT50" s="299">
        <v>3698.75</v>
      </c>
      <c r="AU50" s="299">
        <v>32090.54</v>
      </c>
      <c r="AV50" s="299">
        <v>12894.6</v>
      </c>
      <c r="AW50" s="299">
        <v>225</v>
      </c>
      <c r="AX50" s="299">
        <v>34349.78</v>
      </c>
      <c r="AY50" s="299">
        <v>111357.65</v>
      </c>
      <c r="AZ50" s="299">
        <v>325380.47999999998</v>
      </c>
      <c r="BA50" s="299">
        <v>43074.77</v>
      </c>
      <c r="BB50" s="299">
        <v>0</v>
      </c>
      <c r="BC50" s="299">
        <v>3894.04</v>
      </c>
      <c r="BD50" s="299">
        <v>8540.07</v>
      </c>
      <c r="BE50" s="299">
        <v>5018413.8100000015</v>
      </c>
      <c r="BF50" s="299">
        <v>-561746.80000000168</v>
      </c>
      <c r="BG50" s="299">
        <v>360286.92</v>
      </c>
      <c r="BH50" s="299">
        <v>-201459.88000000169</v>
      </c>
      <c r="BI50" s="299">
        <v>0</v>
      </c>
      <c r="BJ50" s="299">
        <v>0</v>
      </c>
      <c r="BK50" s="299">
        <v>0</v>
      </c>
      <c r="BL50" s="299">
        <v>0</v>
      </c>
      <c r="BM50" s="299">
        <v>0</v>
      </c>
      <c r="BN50" s="299">
        <v>0</v>
      </c>
      <c r="BO50" s="299">
        <v>0</v>
      </c>
      <c r="BP50" s="299">
        <v>0</v>
      </c>
      <c r="BQ50" s="299">
        <v>0</v>
      </c>
      <c r="BR50" s="299">
        <v>2269</v>
      </c>
      <c r="BS50" s="299">
        <v>-203728.88000000169</v>
      </c>
      <c r="BT50" s="299">
        <v>0</v>
      </c>
      <c r="BU50" s="299">
        <v>-201459.88000000169</v>
      </c>
      <c r="BV50" s="299">
        <v>13041.63</v>
      </c>
      <c r="BW50" s="299">
        <v>24876.5</v>
      </c>
      <c r="BX50" s="299">
        <v>0</v>
      </c>
      <c r="BY50" s="299">
        <v>37918.129999999997</v>
      </c>
      <c r="BZ50" s="299">
        <v>0</v>
      </c>
      <c r="CA50" s="299">
        <v>36399.5</v>
      </c>
      <c r="CB50" s="299">
        <v>0</v>
      </c>
      <c r="CC50" s="299">
        <v>0</v>
      </c>
      <c r="CD50" s="299">
        <v>36399.5</v>
      </c>
      <c r="CE50" s="299">
        <v>1518.6299999999974</v>
      </c>
      <c r="CF50" s="299">
        <v>0</v>
      </c>
      <c r="CG50" s="299">
        <v>1518.6299999999974</v>
      </c>
      <c r="CH50" s="299">
        <v>1448.6299999999992</v>
      </c>
      <c r="CI50" s="299">
        <v>70</v>
      </c>
      <c r="CJ50" s="299">
        <v>1518.6299999999992</v>
      </c>
    </row>
    <row r="51" spans="1:88" ht="13.8">
      <c r="A51" s="252" t="s">
        <v>1377</v>
      </c>
      <c r="B51" s="288">
        <v>2016</v>
      </c>
      <c r="C51" s="288" t="s">
        <v>756</v>
      </c>
      <c r="D51" s="248" t="s">
        <v>708</v>
      </c>
      <c r="E51" s="399" t="str">
        <f t="shared" si="1"/>
        <v>30EP2016</v>
      </c>
      <c r="F51" s="299">
        <v>770821.4</v>
      </c>
      <c r="G51" s="299">
        <v>0</v>
      </c>
      <c r="H51" s="299">
        <v>35702.46</v>
      </c>
      <c r="I51" s="299">
        <v>0</v>
      </c>
      <c r="J51" s="299">
        <v>42120</v>
      </c>
      <c r="K51" s="299">
        <v>0</v>
      </c>
      <c r="L51" s="299">
        <v>0</v>
      </c>
      <c r="M51" s="299">
        <v>2975</v>
      </c>
      <c r="N51" s="299">
        <v>48797.65</v>
      </c>
      <c r="O51" s="299">
        <v>18450.009999999998</v>
      </c>
      <c r="P51" s="299">
        <v>0</v>
      </c>
      <c r="Q51" s="299">
        <v>0</v>
      </c>
      <c r="R51" s="299">
        <v>13231.04</v>
      </c>
      <c r="S51" s="299">
        <v>19318.38</v>
      </c>
      <c r="T51" s="299">
        <v>0</v>
      </c>
      <c r="U51" s="299">
        <v>0</v>
      </c>
      <c r="V51" s="299">
        <v>0</v>
      </c>
      <c r="W51" s="299">
        <v>1577.5</v>
      </c>
      <c r="X51" s="299">
        <v>37744</v>
      </c>
      <c r="Y51" s="299">
        <v>990737.44000000006</v>
      </c>
      <c r="Z51" s="299">
        <v>478206.29</v>
      </c>
      <c r="AA51" s="299">
        <v>13058.97</v>
      </c>
      <c r="AB51" s="299">
        <v>179472.67</v>
      </c>
      <c r="AC51" s="299">
        <v>8442.86</v>
      </c>
      <c r="AD51" s="299">
        <v>32392.43</v>
      </c>
      <c r="AE51" s="299">
        <v>0</v>
      </c>
      <c r="AF51" s="299">
        <v>19883.240000000002</v>
      </c>
      <c r="AG51" s="299">
        <v>5123.05</v>
      </c>
      <c r="AH51" s="299">
        <v>5406</v>
      </c>
      <c r="AI51" s="299">
        <v>0</v>
      </c>
      <c r="AJ51" s="299">
        <v>0</v>
      </c>
      <c r="AK51" s="299">
        <v>26041.200000000001</v>
      </c>
      <c r="AL51" s="299">
        <v>1102.73</v>
      </c>
      <c r="AM51" s="299">
        <v>7616.83</v>
      </c>
      <c r="AN51" s="299">
        <v>3310.1</v>
      </c>
      <c r="AO51" s="299">
        <v>15729.16</v>
      </c>
      <c r="AP51" s="299">
        <v>16217.5</v>
      </c>
      <c r="AQ51" s="299">
        <v>1708.2</v>
      </c>
      <c r="AR51" s="299">
        <v>47342.01</v>
      </c>
      <c r="AS51" s="299">
        <v>19654.399999999998</v>
      </c>
      <c r="AT51" s="299">
        <v>0</v>
      </c>
      <c r="AU51" s="299">
        <v>5757.7</v>
      </c>
      <c r="AV51" s="299">
        <v>2829.72</v>
      </c>
      <c r="AW51" s="299">
        <v>1734.04</v>
      </c>
      <c r="AX51" s="299">
        <v>58726.04</v>
      </c>
      <c r="AY51" s="299">
        <v>17882.66</v>
      </c>
      <c r="AZ51" s="299">
        <v>1530</v>
      </c>
      <c r="BA51" s="299">
        <v>9893.01</v>
      </c>
      <c r="BB51" s="299">
        <v>0</v>
      </c>
      <c r="BC51" s="299">
        <v>1049.47</v>
      </c>
      <c r="BD51" s="299">
        <v>3058</v>
      </c>
      <c r="BE51" s="299">
        <v>983168.27999999991</v>
      </c>
      <c r="BF51" s="299">
        <v>7569.160000000149</v>
      </c>
      <c r="BG51" s="299">
        <v>8043.7800000000007</v>
      </c>
      <c r="BH51" s="299">
        <v>15612.94000000015</v>
      </c>
      <c r="BI51" s="299">
        <v>0</v>
      </c>
      <c r="BJ51" s="299">
        <v>0</v>
      </c>
      <c r="BK51" s="299">
        <v>0</v>
      </c>
      <c r="BL51" s="299">
        <v>0</v>
      </c>
      <c r="BM51" s="299">
        <v>0</v>
      </c>
      <c r="BN51" s="299">
        <v>0</v>
      </c>
      <c r="BO51" s="299">
        <v>0</v>
      </c>
      <c r="BP51" s="299">
        <v>0</v>
      </c>
      <c r="BQ51" s="299">
        <v>0</v>
      </c>
      <c r="BR51" s="299">
        <v>4577.8999999999996</v>
      </c>
      <c r="BS51" s="299">
        <v>11035.040000000265</v>
      </c>
      <c r="BT51" s="299">
        <v>0</v>
      </c>
      <c r="BU51" s="299">
        <v>15612.940000000264</v>
      </c>
      <c r="BV51" s="299">
        <v>5530</v>
      </c>
      <c r="BW51" s="299">
        <v>0</v>
      </c>
      <c r="BX51" s="299">
        <v>0</v>
      </c>
      <c r="BY51" s="299">
        <v>5530</v>
      </c>
      <c r="BZ51" s="299">
        <v>0</v>
      </c>
      <c r="CA51" s="299">
        <v>4503.4399999999996</v>
      </c>
      <c r="CB51" s="299">
        <v>0</v>
      </c>
      <c r="CC51" s="299">
        <v>0</v>
      </c>
      <c r="CD51" s="299">
        <v>4503.4399999999996</v>
      </c>
      <c r="CE51" s="299">
        <v>1026.5600000000004</v>
      </c>
      <c r="CF51" s="299">
        <v>22950.280000000002</v>
      </c>
      <c r="CG51" s="299">
        <v>23976.840000000004</v>
      </c>
      <c r="CH51" s="299">
        <v>21275.850000000002</v>
      </c>
      <c r="CI51" s="299">
        <v>2700.99</v>
      </c>
      <c r="CJ51" s="299">
        <v>23976.840000000004</v>
      </c>
    </row>
    <row r="52" spans="1:88" ht="13.8">
      <c r="A52" s="252" t="s">
        <v>1377</v>
      </c>
      <c r="B52" s="288">
        <v>3310</v>
      </c>
      <c r="C52" s="288" t="s">
        <v>757</v>
      </c>
      <c r="D52" s="248" t="s">
        <v>708</v>
      </c>
      <c r="E52" s="399" t="str">
        <f t="shared" si="1"/>
        <v>30EP3310</v>
      </c>
      <c r="F52" s="299">
        <v>1033907.26</v>
      </c>
      <c r="G52" s="299">
        <v>0</v>
      </c>
      <c r="H52" s="299">
        <v>60009.3</v>
      </c>
      <c r="I52" s="299">
        <v>0</v>
      </c>
      <c r="J52" s="299">
        <v>30935</v>
      </c>
      <c r="K52" s="299">
        <v>3112.5</v>
      </c>
      <c r="L52" s="299">
        <v>10000</v>
      </c>
      <c r="M52" s="299">
        <v>7505.64</v>
      </c>
      <c r="N52" s="299">
        <v>36847.22</v>
      </c>
      <c r="O52" s="299">
        <v>33182.879999999997</v>
      </c>
      <c r="P52" s="299">
        <v>0</v>
      </c>
      <c r="Q52" s="299">
        <v>0</v>
      </c>
      <c r="R52" s="299">
        <v>21852.3</v>
      </c>
      <c r="S52" s="299">
        <v>21632.33</v>
      </c>
      <c r="T52" s="299">
        <v>0</v>
      </c>
      <c r="U52" s="299">
        <v>0</v>
      </c>
      <c r="V52" s="299">
        <v>0</v>
      </c>
      <c r="W52" s="299">
        <v>1163.75</v>
      </c>
      <c r="X52" s="299">
        <v>51218</v>
      </c>
      <c r="Y52" s="299">
        <v>1311366.18</v>
      </c>
      <c r="Z52" s="299">
        <v>577692.74</v>
      </c>
      <c r="AA52" s="299">
        <v>15048.09</v>
      </c>
      <c r="AB52" s="299">
        <v>240093.72</v>
      </c>
      <c r="AC52" s="299">
        <v>35901.839999999997</v>
      </c>
      <c r="AD52" s="299">
        <v>58780.160000000003</v>
      </c>
      <c r="AE52" s="299">
        <v>0</v>
      </c>
      <c r="AF52" s="299">
        <v>22189.65</v>
      </c>
      <c r="AG52" s="299">
        <v>2428.3200000000002</v>
      </c>
      <c r="AH52" s="299">
        <v>3845.92</v>
      </c>
      <c r="AI52" s="299">
        <v>5225</v>
      </c>
      <c r="AJ52" s="299">
        <v>0</v>
      </c>
      <c r="AK52" s="299">
        <v>12378.53</v>
      </c>
      <c r="AL52" s="299">
        <v>2472.96</v>
      </c>
      <c r="AM52" s="299">
        <v>3512.82</v>
      </c>
      <c r="AN52" s="299">
        <v>6955.22</v>
      </c>
      <c r="AO52" s="299">
        <v>35050.18</v>
      </c>
      <c r="AP52" s="299">
        <v>4715.55</v>
      </c>
      <c r="AQ52" s="299">
        <v>8990.89</v>
      </c>
      <c r="AR52" s="299">
        <v>50604.46</v>
      </c>
      <c r="AS52" s="299">
        <v>33560.639999999999</v>
      </c>
      <c r="AT52" s="299">
        <v>0</v>
      </c>
      <c r="AU52" s="299">
        <v>13525.26</v>
      </c>
      <c r="AV52" s="299">
        <v>4173.67</v>
      </c>
      <c r="AW52" s="299">
        <v>14979.2</v>
      </c>
      <c r="AX52" s="299">
        <v>77808.740000000005</v>
      </c>
      <c r="AY52" s="299">
        <v>20515.240000000002</v>
      </c>
      <c r="AZ52" s="299">
        <v>20501.75</v>
      </c>
      <c r="BA52" s="299">
        <v>18392.34</v>
      </c>
      <c r="BB52" s="299">
        <v>0</v>
      </c>
      <c r="BC52" s="299">
        <v>0</v>
      </c>
      <c r="BD52" s="299">
        <v>569.45000000000005</v>
      </c>
      <c r="BE52" s="299">
        <v>1289912.3399999999</v>
      </c>
      <c r="BF52" s="299">
        <v>21453.840000000084</v>
      </c>
      <c r="BG52" s="299">
        <v>-28293.980000000003</v>
      </c>
      <c r="BH52" s="299">
        <v>-6840.1399999999194</v>
      </c>
      <c r="BI52" s="299">
        <v>82772.95</v>
      </c>
      <c r="BJ52" s="299">
        <v>43971.86</v>
      </c>
      <c r="BK52" s="299">
        <v>126744.81</v>
      </c>
      <c r="BL52" s="299">
        <v>148179.76</v>
      </c>
      <c r="BM52" s="299">
        <v>10548.39</v>
      </c>
      <c r="BN52" s="299">
        <v>158728.15000000002</v>
      </c>
      <c r="BO52" s="299">
        <v>-31983.340000000026</v>
      </c>
      <c r="BP52" s="299">
        <v>-18446.11</v>
      </c>
      <c r="BQ52" s="299">
        <v>-50429.450000000026</v>
      </c>
      <c r="BR52" s="299">
        <v>489.58</v>
      </c>
      <c r="BS52" s="299">
        <v>-28887.940000000199</v>
      </c>
      <c r="BT52" s="299">
        <v>-28871.23000000004</v>
      </c>
      <c r="BU52" s="299">
        <v>-57269.590000000237</v>
      </c>
      <c r="BV52" s="299">
        <v>0</v>
      </c>
      <c r="BW52" s="299">
        <v>0</v>
      </c>
      <c r="BX52" s="299">
        <v>0</v>
      </c>
      <c r="BY52" s="299">
        <v>0</v>
      </c>
      <c r="BZ52" s="299">
        <v>0</v>
      </c>
      <c r="CA52" s="299">
        <v>0</v>
      </c>
      <c r="CB52" s="299">
        <v>0</v>
      </c>
      <c r="CC52" s="299">
        <v>0</v>
      </c>
      <c r="CD52" s="299">
        <v>0</v>
      </c>
      <c r="CE52" s="299">
        <v>0</v>
      </c>
      <c r="CF52" s="299">
        <v>0</v>
      </c>
      <c r="CG52" s="299">
        <v>0</v>
      </c>
      <c r="CH52" s="299">
        <v>0</v>
      </c>
      <c r="CI52" s="299">
        <v>0</v>
      </c>
      <c r="CJ52" s="299">
        <v>0</v>
      </c>
    </row>
    <row r="53" spans="1:88" ht="13.8">
      <c r="A53" s="252" t="s">
        <v>1377</v>
      </c>
      <c r="B53" s="288">
        <v>3068</v>
      </c>
      <c r="C53" s="288" t="s">
        <v>758</v>
      </c>
      <c r="D53" s="248" t="s">
        <v>708</v>
      </c>
      <c r="E53" s="399" t="str">
        <f t="shared" si="1"/>
        <v>30EP3068</v>
      </c>
      <c r="F53" s="299">
        <v>627030.53</v>
      </c>
      <c r="G53" s="299">
        <v>0</v>
      </c>
      <c r="H53" s="299">
        <v>21056.400000000001</v>
      </c>
      <c r="I53" s="299">
        <v>0</v>
      </c>
      <c r="J53" s="299">
        <v>17760</v>
      </c>
      <c r="K53" s="299">
        <v>0</v>
      </c>
      <c r="L53" s="299">
        <v>0</v>
      </c>
      <c r="M53" s="299">
        <v>2474.6999999999998</v>
      </c>
      <c r="N53" s="299">
        <v>20918.43</v>
      </c>
      <c r="O53" s="299">
        <v>9496.48</v>
      </c>
      <c r="P53" s="299">
        <v>0</v>
      </c>
      <c r="Q53" s="299">
        <v>1952.5</v>
      </c>
      <c r="R53" s="299">
        <v>18925.46</v>
      </c>
      <c r="S53" s="299">
        <v>1373</v>
      </c>
      <c r="T53" s="299">
        <v>0</v>
      </c>
      <c r="U53" s="299">
        <v>0</v>
      </c>
      <c r="V53" s="299">
        <v>0</v>
      </c>
      <c r="W53" s="299">
        <v>-11.87</v>
      </c>
      <c r="X53" s="299">
        <v>30640</v>
      </c>
      <c r="Y53" s="299">
        <v>751615.63</v>
      </c>
      <c r="Z53" s="299">
        <v>373682.38</v>
      </c>
      <c r="AA53" s="299">
        <v>7409.75</v>
      </c>
      <c r="AB53" s="299">
        <v>138775.60999999999</v>
      </c>
      <c r="AC53" s="299">
        <v>32516.959999999999</v>
      </c>
      <c r="AD53" s="299">
        <v>41477.339999999997</v>
      </c>
      <c r="AE53" s="299">
        <v>0</v>
      </c>
      <c r="AF53" s="299">
        <v>3593.49</v>
      </c>
      <c r="AG53" s="299">
        <v>4260.96</v>
      </c>
      <c r="AH53" s="299">
        <v>3501</v>
      </c>
      <c r="AI53" s="299">
        <v>2475</v>
      </c>
      <c r="AJ53" s="299">
        <v>136.25</v>
      </c>
      <c r="AK53" s="299">
        <v>9091.32</v>
      </c>
      <c r="AL53" s="299">
        <v>2879.96</v>
      </c>
      <c r="AM53" s="299">
        <v>1439.73</v>
      </c>
      <c r="AN53" s="299">
        <v>1722.46</v>
      </c>
      <c r="AO53" s="299">
        <v>13413.12</v>
      </c>
      <c r="AP53" s="299">
        <v>19960</v>
      </c>
      <c r="AQ53" s="299">
        <v>2305.71</v>
      </c>
      <c r="AR53" s="299">
        <v>30364.41</v>
      </c>
      <c r="AS53" s="299">
        <v>23039.07</v>
      </c>
      <c r="AT53" s="299">
        <v>0</v>
      </c>
      <c r="AU53" s="299">
        <v>3563.72</v>
      </c>
      <c r="AV53" s="299">
        <v>2193.84</v>
      </c>
      <c r="AW53" s="299">
        <v>574.91</v>
      </c>
      <c r="AX53" s="299">
        <v>38101.06</v>
      </c>
      <c r="AY53" s="299">
        <v>0</v>
      </c>
      <c r="AZ53" s="299">
        <v>1277.67</v>
      </c>
      <c r="BA53" s="299">
        <v>8683.51</v>
      </c>
      <c r="BB53" s="299">
        <v>0</v>
      </c>
      <c r="BC53" s="299">
        <v>2998.47</v>
      </c>
      <c r="BD53" s="299">
        <v>6139.65</v>
      </c>
      <c r="BE53" s="299">
        <v>775577.34999999963</v>
      </c>
      <c r="BF53" s="299">
        <v>-23961.719999999623</v>
      </c>
      <c r="BG53" s="299">
        <v>-1506.08</v>
      </c>
      <c r="BH53" s="299">
        <v>-25467.799999999625</v>
      </c>
      <c r="BI53" s="299">
        <v>0</v>
      </c>
      <c r="BJ53" s="299">
        <v>0</v>
      </c>
      <c r="BK53" s="299">
        <v>0</v>
      </c>
      <c r="BL53" s="299">
        <v>0</v>
      </c>
      <c r="BM53" s="299">
        <v>0</v>
      </c>
      <c r="BN53" s="299">
        <v>0</v>
      </c>
      <c r="BO53" s="299">
        <v>0</v>
      </c>
      <c r="BP53" s="299">
        <v>0</v>
      </c>
      <c r="BQ53" s="299">
        <v>0</v>
      </c>
      <c r="BR53" s="299">
        <v>0</v>
      </c>
      <c r="BS53" s="299">
        <v>-25467.799999999857</v>
      </c>
      <c r="BT53" s="299">
        <v>0</v>
      </c>
      <c r="BU53" s="299">
        <v>-25467.799999999857</v>
      </c>
      <c r="BV53" s="299">
        <v>5226.25</v>
      </c>
      <c r="BW53" s="299">
        <v>0</v>
      </c>
      <c r="BX53" s="299">
        <v>0</v>
      </c>
      <c r="BY53" s="299">
        <v>5226.25</v>
      </c>
      <c r="BZ53" s="299">
        <v>0</v>
      </c>
      <c r="CA53" s="299">
        <v>0</v>
      </c>
      <c r="CB53" s="299">
        <v>0</v>
      </c>
      <c r="CC53" s="299">
        <v>0</v>
      </c>
      <c r="CD53" s="299">
        <v>0</v>
      </c>
      <c r="CE53" s="299">
        <v>5226.25</v>
      </c>
      <c r="CF53" s="299">
        <v>0</v>
      </c>
      <c r="CG53" s="299">
        <v>5226.25</v>
      </c>
      <c r="CH53" s="299">
        <v>5226.25</v>
      </c>
      <c r="CI53" s="299">
        <v>0</v>
      </c>
      <c r="CJ53" s="299">
        <v>5226.25</v>
      </c>
    </row>
    <row r="54" spans="1:88" ht="13.8">
      <c r="A54" s="252" t="s">
        <v>1377</v>
      </c>
      <c r="B54" s="288">
        <v>2315</v>
      </c>
      <c r="C54" s="288" t="s">
        <v>759</v>
      </c>
      <c r="D54" s="248" t="s">
        <v>708</v>
      </c>
      <c r="E54" s="399" t="str">
        <f t="shared" si="1"/>
        <v>30EP2315</v>
      </c>
      <c r="F54" s="299">
        <v>2796491.44</v>
      </c>
      <c r="G54" s="299">
        <v>0</v>
      </c>
      <c r="H54" s="299">
        <v>155137.82</v>
      </c>
      <c r="I54" s="299">
        <v>0</v>
      </c>
      <c r="J54" s="299">
        <v>129070</v>
      </c>
      <c r="K54" s="299">
        <v>4100.29</v>
      </c>
      <c r="L54" s="299">
        <v>0</v>
      </c>
      <c r="M54" s="299">
        <v>45933.87</v>
      </c>
      <c r="N54" s="299">
        <v>13848.76</v>
      </c>
      <c r="O54" s="299">
        <v>68491.11</v>
      </c>
      <c r="P54" s="299">
        <v>0</v>
      </c>
      <c r="Q54" s="299">
        <v>6210</v>
      </c>
      <c r="R54" s="299">
        <v>107185.19</v>
      </c>
      <c r="S54" s="299">
        <v>6840.98</v>
      </c>
      <c r="T54" s="299">
        <v>0</v>
      </c>
      <c r="U54" s="299">
        <v>0</v>
      </c>
      <c r="V54" s="299">
        <v>0</v>
      </c>
      <c r="W54" s="299">
        <v>5162.5</v>
      </c>
      <c r="X54" s="299">
        <v>94117</v>
      </c>
      <c r="Y54" s="299">
        <v>3432588.9599999995</v>
      </c>
      <c r="Z54" s="299">
        <v>1661822.17</v>
      </c>
      <c r="AA54" s="299">
        <v>41491.35</v>
      </c>
      <c r="AB54" s="299">
        <v>730732.42</v>
      </c>
      <c r="AC54" s="299">
        <v>70534.81</v>
      </c>
      <c r="AD54" s="299">
        <v>131414.65</v>
      </c>
      <c r="AE54" s="299">
        <v>0</v>
      </c>
      <c r="AF54" s="299">
        <v>80282.42</v>
      </c>
      <c r="AG54" s="299">
        <v>14956.15</v>
      </c>
      <c r="AH54" s="299">
        <v>17178.02</v>
      </c>
      <c r="AI54" s="299">
        <v>12200</v>
      </c>
      <c r="AJ54" s="299">
        <v>193.75</v>
      </c>
      <c r="AK54" s="299">
        <v>46301.760000000002</v>
      </c>
      <c r="AL54" s="299">
        <v>6753.81</v>
      </c>
      <c r="AM54" s="299">
        <v>37670.67</v>
      </c>
      <c r="AN54" s="299">
        <v>9132.66</v>
      </c>
      <c r="AO54" s="299">
        <v>90124.72</v>
      </c>
      <c r="AP54" s="299">
        <v>108364.16</v>
      </c>
      <c r="AQ54" s="299">
        <v>12843</v>
      </c>
      <c r="AR54" s="299">
        <v>92807.28</v>
      </c>
      <c r="AS54" s="299">
        <v>50914.39</v>
      </c>
      <c r="AT54" s="299">
        <v>0</v>
      </c>
      <c r="AU54" s="299">
        <v>28737.05</v>
      </c>
      <c r="AV54" s="299">
        <v>11362.46</v>
      </c>
      <c r="AW54" s="299">
        <v>273.41000000000003</v>
      </c>
      <c r="AX54" s="299">
        <v>168190.7</v>
      </c>
      <c r="AY54" s="299">
        <v>0</v>
      </c>
      <c r="AZ54" s="299">
        <v>16284.52</v>
      </c>
      <c r="BA54" s="299">
        <v>27237.59</v>
      </c>
      <c r="BB54" s="299">
        <v>0</v>
      </c>
      <c r="BC54" s="299">
        <v>0</v>
      </c>
      <c r="BD54" s="299">
        <v>0</v>
      </c>
      <c r="BE54" s="299">
        <v>3467803.92</v>
      </c>
      <c r="BF54" s="299">
        <v>-35214.960000000428</v>
      </c>
      <c r="BG54" s="299">
        <v>177930.29</v>
      </c>
      <c r="BH54" s="299">
        <v>142715.32999999958</v>
      </c>
      <c r="BI54" s="299">
        <v>0</v>
      </c>
      <c r="BJ54" s="299">
        <v>0</v>
      </c>
      <c r="BK54" s="299">
        <v>0</v>
      </c>
      <c r="BL54" s="299">
        <v>0</v>
      </c>
      <c r="BM54" s="299">
        <v>0</v>
      </c>
      <c r="BN54" s="299">
        <v>0</v>
      </c>
      <c r="BO54" s="299">
        <v>0</v>
      </c>
      <c r="BP54" s="299">
        <v>0</v>
      </c>
      <c r="BQ54" s="299">
        <v>0</v>
      </c>
      <c r="BR54" s="299">
        <v>31568</v>
      </c>
      <c r="BS54" s="299">
        <v>111147.32999999958</v>
      </c>
      <c r="BT54" s="299">
        <v>0</v>
      </c>
      <c r="BU54" s="299">
        <v>142715.32999999958</v>
      </c>
      <c r="BV54" s="299">
        <v>9525.5499999999993</v>
      </c>
      <c r="BW54" s="299">
        <v>0</v>
      </c>
      <c r="BX54" s="299">
        <v>0</v>
      </c>
      <c r="BY54" s="299">
        <v>9525.5499999999993</v>
      </c>
      <c r="BZ54" s="299">
        <v>0</v>
      </c>
      <c r="CA54" s="299">
        <v>27670.58</v>
      </c>
      <c r="CB54" s="299">
        <v>0</v>
      </c>
      <c r="CC54" s="299">
        <v>24187.78</v>
      </c>
      <c r="CD54" s="299">
        <v>51858.36</v>
      </c>
      <c r="CE54" s="299">
        <v>-42332.81</v>
      </c>
      <c r="CF54" s="299">
        <v>59428.91</v>
      </c>
      <c r="CG54" s="299">
        <v>17096.100000000006</v>
      </c>
      <c r="CH54" s="299">
        <v>17096.100000000006</v>
      </c>
      <c r="CI54" s="299">
        <v>0</v>
      </c>
      <c r="CJ54" s="299">
        <v>17096.100000000006</v>
      </c>
    </row>
    <row r="55" spans="1:88" ht="13.8">
      <c r="A55" s="252" t="s">
        <v>1377</v>
      </c>
      <c r="B55" s="288">
        <v>2018</v>
      </c>
      <c r="C55" s="288" t="s">
        <v>760</v>
      </c>
      <c r="D55" s="248" t="s">
        <v>708</v>
      </c>
      <c r="E55" s="399" t="str">
        <f t="shared" si="1"/>
        <v>30EP2018</v>
      </c>
      <c r="F55" s="299">
        <v>0</v>
      </c>
      <c r="G55" s="299">
        <v>0</v>
      </c>
      <c r="H55" s="299">
        <v>0</v>
      </c>
      <c r="I55" s="299">
        <v>0</v>
      </c>
      <c r="J55" s="299">
        <v>0</v>
      </c>
      <c r="K55" s="299">
        <v>0</v>
      </c>
      <c r="L55" s="299">
        <v>0</v>
      </c>
      <c r="M55" s="299">
        <v>0</v>
      </c>
      <c r="N55" s="299">
        <v>0</v>
      </c>
      <c r="O55" s="299">
        <v>0</v>
      </c>
      <c r="P55" s="299">
        <v>0</v>
      </c>
      <c r="Q55" s="299">
        <v>0</v>
      </c>
      <c r="R55" s="299">
        <v>0</v>
      </c>
      <c r="S55" s="299">
        <v>0</v>
      </c>
      <c r="T55" s="299">
        <v>0</v>
      </c>
      <c r="U55" s="299">
        <v>0</v>
      </c>
      <c r="V55" s="299">
        <v>0</v>
      </c>
      <c r="W55" s="299">
        <v>0</v>
      </c>
      <c r="X55" s="299">
        <v>0</v>
      </c>
      <c r="Y55" s="299">
        <v>0</v>
      </c>
      <c r="Z55" s="299">
        <v>0</v>
      </c>
      <c r="AA55" s="299">
        <v>0</v>
      </c>
      <c r="AB55" s="299">
        <v>0</v>
      </c>
      <c r="AC55" s="299">
        <v>0</v>
      </c>
      <c r="AD55" s="299">
        <v>0</v>
      </c>
      <c r="AE55" s="299">
        <v>0</v>
      </c>
      <c r="AF55" s="299">
        <v>0</v>
      </c>
      <c r="AG55" s="299">
        <v>0</v>
      </c>
      <c r="AH55" s="299">
        <v>0</v>
      </c>
      <c r="AI55" s="299">
        <v>0</v>
      </c>
      <c r="AJ55" s="299">
        <v>0</v>
      </c>
      <c r="AK55" s="299">
        <v>0</v>
      </c>
      <c r="AL55" s="299">
        <v>0</v>
      </c>
      <c r="AM55" s="299">
        <v>0</v>
      </c>
      <c r="AN55" s="299">
        <v>0</v>
      </c>
      <c r="AO55" s="299">
        <v>0</v>
      </c>
      <c r="AP55" s="299">
        <v>0</v>
      </c>
      <c r="AQ55" s="299">
        <v>0</v>
      </c>
      <c r="AR55" s="299">
        <v>0</v>
      </c>
      <c r="AS55" s="299">
        <v>0</v>
      </c>
      <c r="AT55" s="299">
        <v>0</v>
      </c>
      <c r="AU55" s="299">
        <v>0</v>
      </c>
      <c r="AV55" s="299">
        <v>0</v>
      </c>
      <c r="AW55" s="299">
        <v>0</v>
      </c>
      <c r="AX55" s="299">
        <v>0</v>
      </c>
      <c r="AY55" s="299">
        <v>0</v>
      </c>
      <c r="AZ55" s="299">
        <v>0</v>
      </c>
      <c r="BA55" s="299">
        <v>0</v>
      </c>
      <c r="BB55" s="299">
        <v>0</v>
      </c>
      <c r="BC55" s="299">
        <v>0</v>
      </c>
      <c r="BD55" s="299">
        <v>0</v>
      </c>
      <c r="BE55" s="299">
        <v>0</v>
      </c>
      <c r="BF55" s="299">
        <v>0</v>
      </c>
      <c r="BG55" s="299">
        <v>0</v>
      </c>
      <c r="BH55" s="299">
        <v>0</v>
      </c>
      <c r="BI55" s="299">
        <v>0</v>
      </c>
      <c r="BJ55" s="299">
        <v>0</v>
      </c>
      <c r="BK55" s="299">
        <v>0</v>
      </c>
      <c r="BL55" s="299">
        <v>0</v>
      </c>
      <c r="BM55" s="299">
        <v>0</v>
      </c>
      <c r="BN55" s="299">
        <v>0</v>
      </c>
      <c r="BO55" s="299">
        <v>0</v>
      </c>
      <c r="BP55" s="299">
        <v>0</v>
      </c>
      <c r="BQ55" s="299">
        <v>0</v>
      </c>
      <c r="BR55" s="299">
        <v>0</v>
      </c>
      <c r="BS55" s="299">
        <v>0</v>
      </c>
      <c r="BT55" s="299">
        <v>0</v>
      </c>
      <c r="BU55" s="299">
        <v>0</v>
      </c>
      <c r="BV55" s="299">
        <v>0</v>
      </c>
      <c r="BW55" s="299">
        <v>0</v>
      </c>
      <c r="BX55" s="299">
        <v>0</v>
      </c>
      <c r="BY55" s="299">
        <v>0</v>
      </c>
      <c r="BZ55" s="299">
        <v>0</v>
      </c>
      <c r="CA55" s="299">
        <v>0</v>
      </c>
      <c r="CB55" s="299">
        <v>0</v>
      </c>
      <c r="CC55" s="299">
        <v>0</v>
      </c>
      <c r="CD55" s="299">
        <v>0</v>
      </c>
      <c r="CE55" s="299">
        <v>0</v>
      </c>
      <c r="CF55" s="299">
        <v>0</v>
      </c>
      <c r="CG55" s="299">
        <v>0</v>
      </c>
      <c r="CH55" s="299">
        <v>0</v>
      </c>
      <c r="CI55" s="299">
        <v>0</v>
      </c>
      <c r="CJ55" s="299">
        <v>0</v>
      </c>
    </row>
    <row r="56" spans="1:88" ht="13.8">
      <c r="A56" s="252" t="s">
        <v>1377</v>
      </c>
      <c r="B56" s="288">
        <v>3035</v>
      </c>
      <c r="C56" s="288" t="s">
        <v>761</v>
      </c>
      <c r="D56" s="248" t="s">
        <v>708</v>
      </c>
      <c r="E56" s="399" t="str">
        <f t="shared" si="1"/>
        <v>30EP3035</v>
      </c>
      <c r="F56" s="299">
        <v>731145.42</v>
      </c>
      <c r="G56" s="299">
        <v>0</v>
      </c>
      <c r="H56" s="299">
        <v>14477.69</v>
      </c>
      <c r="I56" s="299">
        <v>0</v>
      </c>
      <c r="J56" s="299">
        <v>23680</v>
      </c>
      <c r="K56" s="299">
        <v>899</v>
      </c>
      <c r="L56" s="299">
        <v>0</v>
      </c>
      <c r="M56" s="299">
        <v>0</v>
      </c>
      <c r="N56" s="299">
        <v>16531.13</v>
      </c>
      <c r="O56" s="299">
        <v>0</v>
      </c>
      <c r="P56" s="299">
        <v>4230</v>
      </c>
      <c r="Q56" s="299">
        <v>0</v>
      </c>
      <c r="R56" s="299">
        <v>17036.79</v>
      </c>
      <c r="S56" s="299">
        <v>10566.07</v>
      </c>
      <c r="T56" s="299">
        <v>0</v>
      </c>
      <c r="U56" s="299">
        <v>0</v>
      </c>
      <c r="V56" s="299">
        <v>0</v>
      </c>
      <c r="W56" s="299">
        <v>-168.12</v>
      </c>
      <c r="X56" s="299">
        <v>34133</v>
      </c>
      <c r="Y56" s="299">
        <v>852530.98</v>
      </c>
      <c r="Z56" s="299">
        <v>366354.44</v>
      </c>
      <c r="AA56" s="299">
        <v>49218.22</v>
      </c>
      <c r="AB56" s="299">
        <v>155593.66</v>
      </c>
      <c r="AC56" s="299">
        <v>10714.83</v>
      </c>
      <c r="AD56" s="299">
        <v>63082.19</v>
      </c>
      <c r="AE56" s="299">
        <v>0</v>
      </c>
      <c r="AF56" s="299">
        <v>25311.93</v>
      </c>
      <c r="AG56" s="299">
        <v>3925.1</v>
      </c>
      <c r="AH56" s="299">
        <v>7774.23</v>
      </c>
      <c r="AI56" s="299">
        <v>3368.19</v>
      </c>
      <c r="AJ56" s="299">
        <v>0</v>
      </c>
      <c r="AK56" s="299">
        <v>11249.1</v>
      </c>
      <c r="AL56" s="299">
        <v>1466.5</v>
      </c>
      <c r="AM56" s="299">
        <v>19500.57</v>
      </c>
      <c r="AN56" s="299">
        <v>9120.9699999999993</v>
      </c>
      <c r="AO56" s="299">
        <v>24391.94</v>
      </c>
      <c r="AP56" s="299">
        <v>18088.75</v>
      </c>
      <c r="AQ56" s="299">
        <v>3985.23</v>
      </c>
      <c r="AR56" s="299">
        <v>49066.14</v>
      </c>
      <c r="AS56" s="299">
        <v>21889.410000000003</v>
      </c>
      <c r="AT56" s="299">
        <v>0</v>
      </c>
      <c r="AU56" s="299">
        <v>6844.33</v>
      </c>
      <c r="AV56" s="299">
        <v>2814.24</v>
      </c>
      <c r="AW56" s="299">
        <v>0</v>
      </c>
      <c r="AX56" s="299">
        <v>27823.32</v>
      </c>
      <c r="AY56" s="299">
        <v>0</v>
      </c>
      <c r="AZ56" s="299">
        <v>8181.65</v>
      </c>
      <c r="BA56" s="299">
        <v>17836.45</v>
      </c>
      <c r="BB56" s="299">
        <v>0</v>
      </c>
      <c r="BC56" s="299">
        <v>0</v>
      </c>
      <c r="BD56" s="299">
        <v>1757.66</v>
      </c>
      <c r="BE56" s="299">
        <v>909359.04999999981</v>
      </c>
      <c r="BF56" s="299">
        <v>-56828.069999999832</v>
      </c>
      <c r="BG56" s="299">
        <v>168266.49</v>
      </c>
      <c r="BH56" s="299">
        <v>111438.42000000016</v>
      </c>
      <c r="BI56" s="299">
        <v>0</v>
      </c>
      <c r="BJ56" s="299">
        <v>0</v>
      </c>
      <c r="BK56" s="299">
        <v>0</v>
      </c>
      <c r="BL56" s="299">
        <v>0</v>
      </c>
      <c r="BM56" s="299">
        <v>0</v>
      </c>
      <c r="BN56" s="299">
        <v>0</v>
      </c>
      <c r="BO56" s="299">
        <v>0</v>
      </c>
      <c r="BP56" s="299">
        <v>0</v>
      </c>
      <c r="BQ56" s="299">
        <v>0</v>
      </c>
      <c r="BR56" s="299">
        <v>5665.92</v>
      </c>
      <c r="BS56" s="299">
        <v>105772.50000000028</v>
      </c>
      <c r="BT56" s="299">
        <v>0</v>
      </c>
      <c r="BU56" s="299">
        <v>111438.42000000027</v>
      </c>
      <c r="BV56" s="299">
        <v>5608.75</v>
      </c>
      <c r="BW56" s="299">
        <v>0</v>
      </c>
      <c r="BX56" s="299">
        <v>0</v>
      </c>
      <c r="BY56" s="299">
        <v>5608.75</v>
      </c>
      <c r="BZ56" s="299">
        <v>0</v>
      </c>
      <c r="CA56" s="299">
        <v>4454.33</v>
      </c>
      <c r="CB56" s="299">
        <v>0</v>
      </c>
      <c r="CC56" s="299">
        <v>2724.81</v>
      </c>
      <c r="CD56" s="299">
        <v>7179.1399999999994</v>
      </c>
      <c r="CE56" s="299">
        <v>-1570.3899999999994</v>
      </c>
      <c r="CF56" s="299">
        <v>4247.2299999999996</v>
      </c>
      <c r="CG56" s="299">
        <v>2676.84</v>
      </c>
      <c r="CH56" s="299">
        <v>2676.84</v>
      </c>
      <c r="CI56" s="299">
        <v>0</v>
      </c>
      <c r="CJ56" s="299">
        <v>2676.84</v>
      </c>
    </row>
    <row r="57" spans="1:88" ht="13.8">
      <c r="A57" s="252" t="s">
        <v>1377</v>
      </c>
      <c r="B57" s="288">
        <v>2205</v>
      </c>
      <c r="C57" s="288" t="s">
        <v>762</v>
      </c>
      <c r="D57" s="248" t="s">
        <v>708</v>
      </c>
      <c r="E57" s="399" t="str">
        <f t="shared" si="1"/>
        <v>30EP2205</v>
      </c>
      <c r="F57" s="299">
        <v>569662.97</v>
      </c>
      <c r="G57" s="299">
        <v>0</v>
      </c>
      <c r="H57" s="299">
        <v>40841.4</v>
      </c>
      <c r="I57" s="299">
        <v>0</v>
      </c>
      <c r="J57" s="299">
        <v>26980</v>
      </c>
      <c r="K57" s="299">
        <v>1076.93</v>
      </c>
      <c r="L57" s="299">
        <v>12431.68</v>
      </c>
      <c r="M57" s="299">
        <v>3230</v>
      </c>
      <c r="N57" s="299">
        <v>3524.67</v>
      </c>
      <c r="O57" s="299">
        <v>11515.16</v>
      </c>
      <c r="P57" s="299">
        <v>0</v>
      </c>
      <c r="Q57" s="299">
        <v>0</v>
      </c>
      <c r="R57" s="299">
        <v>7247.04</v>
      </c>
      <c r="S57" s="299">
        <v>5494.25</v>
      </c>
      <c r="T57" s="299">
        <v>0</v>
      </c>
      <c r="U57" s="299">
        <v>0</v>
      </c>
      <c r="V57" s="299">
        <v>0</v>
      </c>
      <c r="W57" s="299">
        <v>-16.87</v>
      </c>
      <c r="X57" s="299">
        <v>29173</v>
      </c>
      <c r="Y57" s="299">
        <v>711160.23000000021</v>
      </c>
      <c r="Z57" s="299">
        <v>276794.58</v>
      </c>
      <c r="AA57" s="299">
        <v>1962.25</v>
      </c>
      <c r="AB57" s="299">
        <v>181075.13</v>
      </c>
      <c r="AC57" s="299">
        <v>0</v>
      </c>
      <c r="AD57" s="299">
        <v>40019.279999999999</v>
      </c>
      <c r="AE57" s="299">
        <v>0</v>
      </c>
      <c r="AF57" s="299">
        <v>1766.64</v>
      </c>
      <c r="AG57" s="299">
        <v>3140</v>
      </c>
      <c r="AH57" s="299">
        <v>1644.27</v>
      </c>
      <c r="AI57" s="299">
        <v>1290.95</v>
      </c>
      <c r="AJ57" s="299">
        <v>0</v>
      </c>
      <c r="AK57" s="299">
        <v>10185.11</v>
      </c>
      <c r="AL57" s="299">
        <v>2685.76</v>
      </c>
      <c r="AM57" s="299">
        <v>16053.51</v>
      </c>
      <c r="AN57" s="299">
        <v>2791.5</v>
      </c>
      <c r="AO57" s="299">
        <v>18142.97</v>
      </c>
      <c r="AP57" s="299">
        <v>19367.439999999999</v>
      </c>
      <c r="AQ57" s="299">
        <v>2720.31</v>
      </c>
      <c r="AR57" s="299">
        <v>36385.57</v>
      </c>
      <c r="AS57" s="299">
        <v>19859.120000000003</v>
      </c>
      <c r="AT57" s="299">
        <v>0</v>
      </c>
      <c r="AU57" s="299">
        <v>5594.97</v>
      </c>
      <c r="AV57" s="299">
        <v>2049.85</v>
      </c>
      <c r="AW57" s="299">
        <v>47.58</v>
      </c>
      <c r="AX57" s="299">
        <v>25241.18</v>
      </c>
      <c r="AY57" s="299">
        <v>0</v>
      </c>
      <c r="AZ57" s="299">
        <v>7130</v>
      </c>
      <c r="BA57" s="299">
        <v>37518.120000000003</v>
      </c>
      <c r="BB57" s="299">
        <v>0</v>
      </c>
      <c r="BC57" s="299">
        <v>0</v>
      </c>
      <c r="BD57" s="299">
        <v>0</v>
      </c>
      <c r="BE57" s="299">
        <v>713466.08999999985</v>
      </c>
      <c r="BF57" s="299">
        <v>-2305.8599999996368</v>
      </c>
      <c r="BG57" s="299">
        <v>-12765.75</v>
      </c>
      <c r="BH57" s="299">
        <v>-15071.609999999637</v>
      </c>
      <c r="BI57" s="299">
        <v>0</v>
      </c>
      <c r="BJ57" s="299">
        <v>0</v>
      </c>
      <c r="BK57" s="299">
        <v>0</v>
      </c>
      <c r="BL57" s="299">
        <v>0</v>
      </c>
      <c r="BM57" s="299">
        <v>0</v>
      </c>
      <c r="BN57" s="299">
        <v>0</v>
      </c>
      <c r="BO57" s="299">
        <v>0</v>
      </c>
      <c r="BP57" s="299">
        <v>0</v>
      </c>
      <c r="BQ57" s="299">
        <v>0</v>
      </c>
      <c r="BR57" s="299">
        <v>17312.02</v>
      </c>
      <c r="BS57" s="299">
        <v>-32383.629999999637</v>
      </c>
      <c r="BT57" s="299">
        <v>0</v>
      </c>
      <c r="BU57" s="299">
        <v>-15071.609999999637</v>
      </c>
      <c r="BV57" s="299">
        <v>5080</v>
      </c>
      <c r="BW57" s="299">
        <v>0</v>
      </c>
      <c r="BX57" s="299">
        <v>0</v>
      </c>
      <c r="BY57" s="299">
        <v>5080</v>
      </c>
      <c r="BZ57" s="299">
        <v>0</v>
      </c>
      <c r="CA57" s="299">
        <v>17594.38</v>
      </c>
      <c r="CB57" s="299">
        <v>0</v>
      </c>
      <c r="CC57" s="299">
        <v>8837.7900000000009</v>
      </c>
      <c r="CD57" s="299">
        <v>26432.170000000002</v>
      </c>
      <c r="CE57" s="299">
        <v>-21352.170000000002</v>
      </c>
      <c r="CF57" s="299">
        <v>45334.12</v>
      </c>
      <c r="CG57" s="299">
        <v>23981.95</v>
      </c>
      <c r="CH57" s="299">
        <v>23981.940000000002</v>
      </c>
      <c r="CI57" s="299">
        <v>1.0000000000218279E-2</v>
      </c>
      <c r="CJ57" s="299">
        <v>23981.950000000004</v>
      </c>
    </row>
    <row r="58" spans="1:88" ht="13.8">
      <c r="A58" s="252" t="s">
        <v>1377</v>
      </c>
      <c r="B58" s="288">
        <v>2211</v>
      </c>
      <c r="C58" s="288" t="s">
        <v>763</v>
      </c>
      <c r="D58" s="248" t="s">
        <v>708</v>
      </c>
      <c r="E58" s="399" t="str">
        <f t="shared" si="1"/>
        <v>30EP2211</v>
      </c>
      <c r="F58" s="299">
        <v>1407396.67</v>
      </c>
      <c r="G58" s="299">
        <v>0</v>
      </c>
      <c r="H58" s="299">
        <v>39680.18</v>
      </c>
      <c r="I58" s="299">
        <v>0</v>
      </c>
      <c r="J58" s="299">
        <v>66672</v>
      </c>
      <c r="K58" s="299">
        <v>165</v>
      </c>
      <c r="L58" s="299">
        <v>9955.89</v>
      </c>
      <c r="M58" s="299">
        <v>24097.5</v>
      </c>
      <c r="N58" s="299">
        <v>8445.99</v>
      </c>
      <c r="O58" s="299">
        <v>0</v>
      </c>
      <c r="P58" s="299">
        <v>24431</v>
      </c>
      <c r="Q58" s="299">
        <v>2981.8</v>
      </c>
      <c r="R58" s="299">
        <v>21622.87</v>
      </c>
      <c r="S58" s="299">
        <v>5766.42</v>
      </c>
      <c r="T58" s="299">
        <v>0</v>
      </c>
      <c r="U58" s="299">
        <v>0</v>
      </c>
      <c r="V58" s="299">
        <v>0</v>
      </c>
      <c r="W58" s="299">
        <v>-325</v>
      </c>
      <c r="X58" s="299">
        <v>70736</v>
      </c>
      <c r="Y58" s="299">
        <v>1681626.3199999998</v>
      </c>
      <c r="Z58" s="299">
        <v>847711.33</v>
      </c>
      <c r="AA58" s="299">
        <v>26910.17</v>
      </c>
      <c r="AB58" s="299">
        <v>299505.33</v>
      </c>
      <c r="AC58" s="299">
        <v>35421.58</v>
      </c>
      <c r="AD58" s="299">
        <v>65161.55</v>
      </c>
      <c r="AE58" s="299">
        <v>0</v>
      </c>
      <c r="AF58" s="299">
        <v>0</v>
      </c>
      <c r="AG58" s="299">
        <v>6669</v>
      </c>
      <c r="AH58" s="299">
        <v>4220.8999999999996</v>
      </c>
      <c r="AI58" s="299">
        <v>7000</v>
      </c>
      <c r="AJ58" s="299">
        <v>902.5</v>
      </c>
      <c r="AK58" s="299">
        <v>7504.91</v>
      </c>
      <c r="AL58" s="299">
        <v>1591.9</v>
      </c>
      <c r="AM58" s="299">
        <v>29998.43</v>
      </c>
      <c r="AN58" s="299">
        <v>5068.67</v>
      </c>
      <c r="AO58" s="299">
        <v>35702.269999999997</v>
      </c>
      <c r="AP58" s="299">
        <v>34734.25</v>
      </c>
      <c r="AQ58" s="299">
        <v>7014.92</v>
      </c>
      <c r="AR58" s="299">
        <v>48575.35</v>
      </c>
      <c r="AS58" s="299">
        <v>49042.74</v>
      </c>
      <c r="AT58" s="299">
        <v>0</v>
      </c>
      <c r="AU58" s="299">
        <v>9014.7800000000007</v>
      </c>
      <c r="AV58" s="299">
        <v>5556.5</v>
      </c>
      <c r="AW58" s="299">
        <v>0</v>
      </c>
      <c r="AX58" s="299">
        <v>69686.81</v>
      </c>
      <c r="AY58" s="299">
        <v>28579.38</v>
      </c>
      <c r="AZ58" s="299">
        <v>26953.01</v>
      </c>
      <c r="BA58" s="299">
        <v>15798.71</v>
      </c>
      <c r="BB58" s="299">
        <v>0</v>
      </c>
      <c r="BC58" s="299">
        <v>0</v>
      </c>
      <c r="BD58" s="299">
        <v>0</v>
      </c>
      <c r="BE58" s="299">
        <v>1668324.9899999998</v>
      </c>
      <c r="BF58" s="299">
        <v>13301.330000000075</v>
      </c>
      <c r="BG58" s="299">
        <v>81507.33</v>
      </c>
      <c r="BH58" s="299">
        <v>94808.660000000076</v>
      </c>
      <c r="BI58" s="299">
        <v>77529.119999999995</v>
      </c>
      <c r="BJ58" s="299">
        <v>11807.68</v>
      </c>
      <c r="BK58" s="299">
        <v>89336.799999999988</v>
      </c>
      <c r="BL58" s="299">
        <v>72329.279999999999</v>
      </c>
      <c r="BM58" s="299">
        <v>15454.34</v>
      </c>
      <c r="BN58" s="299">
        <v>87783.62</v>
      </c>
      <c r="BO58" s="299">
        <v>1553.179999999993</v>
      </c>
      <c r="BP58" s="299">
        <v>-45508.179999999993</v>
      </c>
      <c r="BQ58" s="299">
        <v>-43955</v>
      </c>
      <c r="BR58" s="299">
        <v>21044</v>
      </c>
      <c r="BS58" s="299">
        <v>51666.490000000311</v>
      </c>
      <c r="BT58" s="299">
        <v>-21856.83</v>
      </c>
      <c r="BU58" s="299">
        <v>50853.660000000309</v>
      </c>
      <c r="BV58" s="299">
        <v>7183.75</v>
      </c>
      <c r="BW58" s="299">
        <v>0</v>
      </c>
      <c r="BX58" s="299">
        <v>0</v>
      </c>
      <c r="BY58" s="299">
        <v>7183.75</v>
      </c>
      <c r="BZ58" s="299">
        <v>0</v>
      </c>
      <c r="CA58" s="299">
        <v>15998</v>
      </c>
      <c r="CB58" s="299">
        <v>0</v>
      </c>
      <c r="CC58" s="299">
        <v>5923.78</v>
      </c>
      <c r="CD58" s="299">
        <v>21921.78</v>
      </c>
      <c r="CE58" s="299">
        <v>-14738.029999999999</v>
      </c>
      <c r="CF58" s="299">
        <v>15997.69</v>
      </c>
      <c r="CG58" s="299">
        <v>1259.6600000000017</v>
      </c>
      <c r="CH58" s="299">
        <v>1259.6600000000017</v>
      </c>
      <c r="CI58" s="299">
        <v>0</v>
      </c>
      <c r="CJ58" s="299">
        <v>1259.6600000000017</v>
      </c>
    </row>
    <row r="59" spans="1:88" ht="13.8">
      <c r="A59" s="252" t="s">
        <v>1377</v>
      </c>
      <c r="B59" s="288">
        <v>1003</v>
      </c>
      <c r="C59" s="288" t="s">
        <v>764</v>
      </c>
      <c r="D59" s="248" t="s">
        <v>724</v>
      </c>
      <c r="E59" s="399" t="str">
        <f t="shared" si="1"/>
        <v>30EN1003</v>
      </c>
      <c r="F59" s="299">
        <v>496192</v>
      </c>
      <c r="G59" s="299">
        <v>0</v>
      </c>
      <c r="H59" s="299">
        <v>7654.62</v>
      </c>
      <c r="I59" s="299">
        <v>0</v>
      </c>
      <c r="J59" s="299">
        <v>0</v>
      </c>
      <c r="K59" s="299">
        <v>0</v>
      </c>
      <c r="L59" s="299">
        <v>0</v>
      </c>
      <c r="M59" s="299">
        <v>0</v>
      </c>
      <c r="N59" s="299">
        <v>20160.84</v>
      </c>
      <c r="O59" s="299">
        <v>16082.35</v>
      </c>
      <c r="P59" s="299">
        <v>0</v>
      </c>
      <c r="Q59" s="299">
        <v>0</v>
      </c>
      <c r="R59" s="299">
        <v>0</v>
      </c>
      <c r="S59" s="299">
        <v>0</v>
      </c>
      <c r="T59" s="299">
        <v>0</v>
      </c>
      <c r="U59" s="299">
        <v>0</v>
      </c>
      <c r="V59" s="299">
        <v>0</v>
      </c>
      <c r="W59" s="299">
        <v>0</v>
      </c>
      <c r="X59" s="299">
        <v>0</v>
      </c>
      <c r="Y59" s="299">
        <v>540089.81000000006</v>
      </c>
      <c r="Z59" s="299">
        <v>236461.06</v>
      </c>
      <c r="AA59" s="299">
        <v>0</v>
      </c>
      <c r="AB59" s="299">
        <v>158002.73000000001</v>
      </c>
      <c r="AC59" s="299">
        <v>8442.09</v>
      </c>
      <c r="AD59" s="299">
        <v>24949.4</v>
      </c>
      <c r="AE59" s="299">
        <v>0</v>
      </c>
      <c r="AF59" s="299">
        <v>21806.91</v>
      </c>
      <c r="AG59" s="299">
        <v>2293.86</v>
      </c>
      <c r="AH59" s="299">
        <v>2451.9899999999998</v>
      </c>
      <c r="AI59" s="299">
        <v>0</v>
      </c>
      <c r="AJ59" s="299">
        <v>0</v>
      </c>
      <c r="AK59" s="299">
        <v>8829.99</v>
      </c>
      <c r="AL59" s="299">
        <v>3336.34</v>
      </c>
      <c r="AM59" s="299">
        <v>13701.36</v>
      </c>
      <c r="AN59" s="299">
        <v>1481.59</v>
      </c>
      <c r="AO59" s="299">
        <v>10349.030000000001</v>
      </c>
      <c r="AP59" s="299">
        <v>14471</v>
      </c>
      <c r="AQ59" s="299">
        <v>8168.96</v>
      </c>
      <c r="AR59" s="299">
        <v>1864.8</v>
      </c>
      <c r="AS59" s="299">
        <v>3044.26</v>
      </c>
      <c r="AT59" s="299">
        <v>0</v>
      </c>
      <c r="AU59" s="299">
        <v>9195.52</v>
      </c>
      <c r="AV59" s="299">
        <v>1955.5</v>
      </c>
      <c r="AW59" s="299">
        <v>0</v>
      </c>
      <c r="AX59" s="299">
        <v>8942.2199999999993</v>
      </c>
      <c r="AY59" s="299">
        <v>0</v>
      </c>
      <c r="AZ59" s="299">
        <v>0</v>
      </c>
      <c r="BA59" s="299">
        <v>9281.65</v>
      </c>
      <c r="BB59" s="299">
        <v>0</v>
      </c>
      <c r="BC59" s="299">
        <v>0</v>
      </c>
      <c r="BD59" s="299">
        <v>0</v>
      </c>
      <c r="BE59" s="299">
        <v>549030.26000000013</v>
      </c>
      <c r="BF59" s="299">
        <v>-8940.4500000000698</v>
      </c>
      <c r="BG59" s="299">
        <v>-44681.72</v>
      </c>
      <c r="BH59" s="299">
        <v>-53622.170000000071</v>
      </c>
      <c r="BI59" s="299">
        <v>0</v>
      </c>
      <c r="BJ59" s="299">
        <v>703134.16</v>
      </c>
      <c r="BK59" s="299">
        <v>703134.16</v>
      </c>
      <c r="BL59" s="299">
        <v>593358.55000000005</v>
      </c>
      <c r="BM59" s="299">
        <v>93768.76</v>
      </c>
      <c r="BN59" s="299">
        <v>687127.31</v>
      </c>
      <c r="BO59" s="299">
        <v>16006.849999999977</v>
      </c>
      <c r="BP59" s="299">
        <v>450396.52</v>
      </c>
      <c r="BQ59" s="299">
        <v>466403.37</v>
      </c>
      <c r="BR59" s="299">
        <v>0</v>
      </c>
      <c r="BS59" s="299">
        <v>-53622.170000000071</v>
      </c>
      <c r="BT59" s="299">
        <v>466403.37</v>
      </c>
      <c r="BU59" s="299">
        <v>412781.19999999995</v>
      </c>
      <c r="BV59" s="299">
        <v>4658.3500000000004</v>
      </c>
      <c r="BW59" s="299">
        <v>0</v>
      </c>
      <c r="BX59" s="299">
        <v>0</v>
      </c>
      <c r="BY59" s="299">
        <v>4658.3500000000004</v>
      </c>
      <c r="BZ59" s="299">
        <v>0</v>
      </c>
      <c r="CA59" s="299">
        <v>0</v>
      </c>
      <c r="CB59" s="299">
        <v>0</v>
      </c>
      <c r="CC59" s="299">
        <v>0</v>
      </c>
      <c r="CD59" s="299">
        <v>0</v>
      </c>
      <c r="CE59" s="299">
        <v>4658.3500000000004</v>
      </c>
      <c r="CF59" s="299">
        <v>22695</v>
      </c>
      <c r="CG59" s="299">
        <v>27353.35</v>
      </c>
      <c r="CH59" s="299">
        <v>27353.35</v>
      </c>
      <c r="CI59" s="299">
        <v>0</v>
      </c>
      <c r="CJ59" s="299">
        <v>27353.35</v>
      </c>
    </row>
    <row r="60" spans="1:88" ht="13.8">
      <c r="A60" s="252" t="s">
        <v>1377</v>
      </c>
      <c r="B60" s="288">
        <v>3071</v>
      </c>
      <c r="C60" s="288" t="s">
        <v>765</v>
      </c>
      <c r="D60" s="248" t="s">
        <v>708</v>
      </c>
      <c r="E60" s="399" t="str">
        <f t="shared" si="1"/>
        <v>30EP3071</v>
      </c>
      <c r="F60" s="299">
        <v>1013364.36</v>
      </c>
      <c r="G60" s="299">
        <v>0</v>
      </c>
      <c r="H60" s="299">
        <v>66154.62</v>
      </c>
      <c r="I60" s="299">
        <v>0</v>
      </c>
      <c r="J60" s="299">
        <v>30690</v>
      </c>
      <c r="K60" s="299">
        <v>0</v>
      </c>
      <c r="L60" s="299">
        <v>0</v>
      </c>
      <c r="M60" s="299">
        <v>6008.22</v>
      </c>
      <c r="N60" s="299">
        <v>71145.440000000002</v>
      </c>
      <c r="O60" s="299">
        <v>519.45000000000005</v>
      </c>
      <c r="P60" s="299">
        <v>21018.799999999999</v>
      </c>
      <c r="Q60" s="299">
        <v>2751.17</v>
      </c>
      <c r="R60" s="299">
        <v>27620.39</v>
      </c>
      <c r="S60" s="299">
        <v>0</v>
      </c>
      <c r="T60" s="299">
        <v>0</v>
      </c>
      <c r="U60" s="299">
        <v>0</v>
      </c>
      <c r="V60" s="299">
        <v>0</v>
      </c>
      <c r="W60" s="299">
        <v>1126.8800000000001</v>
      </c>
      <c r="X60" s="299">
        <v>46326</v>
      </c>
      <c r="Y60" s="299">
        <v>1286725.3299999996</v>
      </c>
      <c r="Z60" s="299">
        <v>671214.72</v>
      </c>
      <c r="AA60" s="299">
        <v>3826.87</v>
      </c>
      <c r="AB60" s="299">
        <v>268777.25</v>
      </c>
      <c r="AC60" s="299">
        <v>35063.410000000003</v>
      </c>
      <c r="AD60" s="299">
        <v>34344.199999999997</v>
      </c>
      <c r="AE60" s="299">
        <v>0</v>
      </c>
      <c r="AF60" s="299">
        <v>47529.47</v>
      </c>
      <c r="AG60" s="299">
        <v>4818.41</v>
      </c>
      <c r="AH60" s="299">
        <v>956.67</v>
      </c>
      <c r="AI60" s="299">
        <v>5050</v>
      </c>
      <c r="AJ60" s="299">
        <v>0</v>
      </c>
      <c r="AK60" s="299">
        <v>21710.07</v>
      </c>
      <c r="AL60" s="299">
        <v>787.58</v>
      </c>
      <c r="AM60" s="299">
        <v>1621.75</v>
      </c>
      <c r="AN60" s="299">
        <v>2166.42</v>
      </c>
      <c r="AO60" s="299">
        <v>18761.14</v>
      </c>
      <c r="AP60" s="299">
        <v>22330.25</v>
      </c>
      <c r="AQ60" s="299">
        <v>4068.84</v>
      </c>
      <c r="AR60" s="299">
        <v>53623.79</v>
      </c>
      <c r="AS60" s="299">
        <v>34132.089999999997</v>
      </c>
      <c r="AT60" s="299">
        <v>0</v>
      </c>
      <c r="AU60" s="299">
        <v>11534.82</v>
      </c>
      <c r="AV60" s="299">
        <v>4343.5</v>
      </c>
      <c r="AW60" s="299">
        <v>1560.51</v>
      </c>
      <c r="AX60" s="299">
        <v>43017.51</v>
      </c>
      <c r="AY60" s="299">
        <v>408.99</v>
      </c>
      <c r="AZ60" s="299">
        <v>4278.25</v>
      </c>
      <c r="BA60" s="299">
        <v>11960.73</v>
      </c>
      <c r="BB60" s="299">
        <v>0</v>
      </c>
      <c r="BC60" s="299">
        <v>0</v>
      </c>
      <c r="BD60" s="299">
        <v>0</v>
      </c>
      <c r="BE60" s="299">
        <v>1307887.24</v>
      </c>
      <c r="BF60" s="299">
        <v>-21161.910000000382</v>
      </c>
      <c r="BG60" s="299">
        <v>-8194.4599999999991</v>
      </c>
      <c r="BH60" s="299">
        <v>-29356.370000000381</v>
      </c>
      <c r="BI60" s="299">
        <v>0</v>
      </c>
      <c r="BJ60" s="299">
        <v>0</v>
      </c>
      <c r="BK60" s="299">
        <v>0</v>
      </c>
      <c r="BL60" s="299">
        <v>0</v>
      </c>
      <c r="BM60" s="299">
        <v>0</v>
      </c>
      <c r="BN60" s="299">
        <v>0</v>
      </c>
      <c r="BO60" s="299">
        <v>0</v>
      </c>
      <c r="BP60" s="299">
        <v>0</v>
      </c>
      <c r="BQ60" s="299">
        <v>0</v>
      </c>
      <c r="BR60" s="299">
        <v>0</v>
      </c>
      <c r="BS60" s="299">
        <v>-29356.370000000381</v>
      </c>
      <c r="BT60" s="299">
        <v>0</v>
      </c>
      <c r="BU60" s="299">
        <v>-29356.370000000381</v>
      </c>
      <c r="BV60" s="299">
        <v>6306.25</v>
      </c>
      <c r="BW60" s="299">
        <v>10000</v>
      </c>
      <c r="BX60" s="299">
        <v>0</v>
      </c>
      <c r="BY60" s="299">
        <v>16306.25</v>
      </c>
      <c r="BZ60" s="299">
        <v>0</v>
      </c>
      <c r="CA60" s="299">
        <v>7782.25</v>
      </c>
      <c r="CB60" s="299">
        <v>0</v>
      </c>
      <c r="CC60" s="299">
        <v>0</v>
      </c>
      <c r="CD60" s="299">
        <v>7782.25</v>
      </c>
      <c r="CE60" s="299">
        <v>8524</v>
      </c>
      <c r="CF60" s="299">
        <v>3.24</v>
      </c>
      <c r="CG60" s="299">
        <v>8527.24</v>
      </c>
      <c r="CH60" s="299">
        <v>97.139999999999631</v>
      </c>
      <c r="CI60" s="299">
        <v>8430.1</v>
      </c>
      <c r="CJ60" s="299">
        <v>8527.24</v>
      </c>
    </row>
    <row r="61" spans="1:88" ht="13.8">
      <c r="A61" s="252" t="s">
        <v>1377</v>
      </c>
      <c r="B61" s="288">
        <v>1002</v>
      </c>
      <c r="C61" s="288" t="s">
        <v>766</v>
      </c>
      <c r="D61" s="248" t="s">
        <v>724</v>
      </c>
      <c r="E61" s="399" t="str">
        <f t="shared" si="1"/>
        <v>30EN1002</v>
      </c>
      <c r="F61" s="299">
        <v>545228.35</v>
      </c>
      <c r="G61" s="299">
        <v>0</v>
      </c>
      <c r="H61" s="299">
        <v>4097.3900000000003</v>
      </c>
      <c r="I61" s="299">
        <v>0</v>
      </c>
      <c r="J61" s="299">
        <v>0</v>
      </c>
      <c r="K61" s="299">
        <v>0</v>
      </c>
      <c r="L61" s="299">
        <v>0</v>
      </c>
      <c r="M61" s="299">
        <v>0</v>
      </c>
      <c r="N61" s="299">
        <v>2872.75</v>
      </c>
      <c r="O61" s="299">
        <v>0</v>
      </c>
      <c r="P61" s="299">
        <v>0</v>
      </c>
      <c r="Q61" s="299">
        <v>0</v>
      </c>
      <c r="R61" s="299">
        <v>196119.17</v>
      </c>
      <c r="S61" s="299">
        <v>15449.62</v>
      </c>
      <c r="T61" s="299">
        <v>0</v>
      </c>
      <c r="U61" s="299">
        <v>0</v>
      </c>
      <c r="V61" s="299">
        <v>0</v>
      </c>
      <c r="W61" s="299">
        <v>0</v>
      </c>
      <c r="X61" s="299">
        <v>0</v>
      </c>
      <c r="Y61" s="299">
        <v>763767.28</v>
      </c>
      <c r="Z61" s="299">
        <v>302074.84000000003</v>
      </c>
      <c r="AA61" s="299">
        <v>0</v>
      </c>
      <c r="AB61" s="299">
        <v>199918.63</v>
      </c>
      <c r="AC61" s="299">
        <v>12299.45</v>
      </c>
      <c r="AD61" s="299">
        <v>36998.050000000003</v>
      </c>
      <c r="AE61" s="299">
        <v>0</v>
      </c>
      <c r="AF61" s="299">
        <v>58774.19</v>
      </c>
      <c r="AG61" s="299">
        <v>3570</v>
      </c>
      <c r="AH61" s="299">
        <v>5862.2</v>
      </c>
      <c r="AI61" s="299">
        <v>0</v>
      </c>
      <c r="AJ61" s="299">
        <v>0</v>
      </c>
      <c r="AK61" s="299">
        <v>10873.52</v>
      </c>
      <c r="AL61" s="299">
        <v>1358.77</v>
      </c>
      <c r="AM61" s="299">
        <v>19419.919999999998</v>
      </c>
      <c r="AN61" s="299">
        <v>1352.05</v>
      </c>
      <c r="AO61" s="299">
        <v>9964.5300000000007</v>
      </c>
      <c r="AP61" s="299">
        <v>10603.75</v>
      </c>
      <c r="AQ61" s="299">
        <v>3625.89</v>
      </c>
      <c r="AR61" s="299">
        <v>6962.59</v>
      </c>
      <c r="AS61" s="299">
        <v>13343.760000000002</v>
      </c>
      <c r="AT61" s="299">
        <v>0</v>
      </c>
      <c r="AU61" s="299">
        <v>7140.86</v>
      </c>
      <c r="AV61" s="299">
        <v>2549.94</v>
      </c>
      <c r="AW61" s="299">
        <v>0</v>
      </c>
      <c r="AX61" s="299">
        <v>436.04</v>
      </c>
      <c r="AY61" s="299">
        <v>0</v>
      </c>
      <c r="AZ61" s="299">
        <v>0</v>
      </c>
      <c r="BA61" s="299">
        <v>8627.0300000000007</v>
      </c>
      <c r="BB61" s="299">
        <v>0</v>
      </c>
      <c r="BC61" s="299">
        <v>0</v>
      </c>
      <c r="BD61" s="299">
        <v>3218.52</v>
      </c>
      <c r="BE61" s="299">
        <v>718974.53000000026</v>
      </c>
      <c r="BF61" s="299">
        <v>44792.749999999767</v>
      </c>
      <c r="BG61" s="299">
        <v>49188.7</v>
      </c>
      <c r="BH61" s="299">
        <v>93981.449999999764</v>
      </c>
      <c r="BI61" s="299">
        <v>0</v>
      </c>
      <c r="BJ61" s="299">
        <v>252481.73</v>
      </c>
      <c r="BK61" s="299">
        <v>252481.73</v>
      </c>
      <c r="BL61" s="299">
        <v>271323.75</v>
      </c>
      <c r="BM61" s="299">
        <v>60054.8</v>
      </c>
      <c r="BN61" s="299">
        <v>331378.55</v>
      </c>
      <c r="BO61" s="299">
        <v>-78896.819999999978</v>
      </c>
      <c r="BP61" s="299">
        <v>95325.65</v>
      </c>
      <c r="BQ61" s="299">
        <v>16428.830000000016</v>
      </c>
      <c r="BR61" s="299">
        <v>0</v>
      </c>
      <c r="BS61" s="299">
        <v>59582.049999999857</v>
      </c>
      <c r="BT61" s="299">
        <v>50828.229999999952</v>
      </c>
      <c r="BU61" s="299">
        <v>110410.27999999981</v>
      </c>
      <c r="BV61" s="299">
        <v>4730.3500000000004</v>
      </c>
      <c r="BW61" s="299">
        <v>0</v>
      </c>
      <c r="BX61" s="299">
        <v>0</v>
      </c>
      <c r="BY61" s="299">
        <v>4730.3500000000004</v>
      </c>
      <c r="BZ61" s="299">
        <v>0</v>
      </c>
      <c r="CA61" s="299">
        <v>5970.04</v>
      </c>
      <c r="CB61" s="299">
        <v>0</v>
      </c>
      <c r="CC61" s="299">
        <v>0</v>
      </c>
      <c r="CD61" s="299">
        <v>5970.04</v>
      </c>
      <c r="CE61" s="299">
        <v>-1239.6899999999996</v>
      </c>
      <c r="CF61" s="299">
        <v>57972.39</v>
      </c>
      <c r="CG61" s="299">
        <v>56732.7</v>
      </c>
      <c r="CH61" s="299">
        <v>11799.53</v>
      </c>
      <c r="CI61" s="299">
        <v>44933.170000000006</v>
      </c>
      <c r="CJ61" s="299">
        <v>56732.700000000004</v>
      </c>
    </row>
    <row r="62" spans="1:88" ht="13.8">
      <c r="A62" s="252" t="s">
        <v>1377</v>
      </c>
      <c r="B62" s="288">
        <v>2212</v>
      </c>
      <c r="C62" s="288" t="s">
        <v>767</v>
      </c>
      <c r="D62" s="248" t="s">
        <v>708</v>
      </c>
      <c r="E62" s="399" t="str">
        <f t="shared" si="1"/>
        <v>30EP2212</v>
      </c>
      <c r="F62" s="299">
        <v>943399.9</v>
      </c>
      <c r="G62" s="299">
        <v>0</v>
      </c>
      <c r="H62" s="299">
        <v>76330.2</v>
      </c>
      <c r="I62" s="299">
        <v>0</v>
      </c>
      <c r="J62" s="299">
        <v>29090</v>
      </c>
      <c r="K62" s="299">
        <v>1200</v>
      </c>
      <c r="L62" s="299">
        <v>0</v>
      </c>
      <c r="M62" s="299">
        <v>7970</v>
      </c>
      <c r="N62" s="299">
        <v>15555.58</v>
      </c>
      <c r="O62" s="299">
        <v>35511.53</v>
      </c>
      <c r="P62" s="299">
        <v>0</v>
      </c>
      <c r="Q62" s="299">
        <v>14089</v>
      </c>
      <c r="R62" s="299">
        <v>12269.47</v>
      </c>
      <c r="S62" s="299">
        <v>5109.2299999999996</v>
      </c>
      <c r="T62" s="299">
        <v>0</v>
      </c>
      <c r="U62" s="299">
        <v>0</v>
      </c>
      <c r="V62" s="299">
        <v>0</v>
      </c>
      <c r="W62" s="299">
        <v>74.38</v>
      </c>
      <c r="X62" s="299">
        <v>52891</v>
      </c>
      <c r="Y62" s="299">
        <v>1193490.29</v>
      </c>
      <c r="Z62" s="299">
        <v>557601.54</v>
      </c>
      <c r="AA62" s="299">
        <v>0</v>
      </c>
      <c r="AB62" s="299">
        <v>229357.56</v>
      </c>
      <c r="AC62" s="299">
        <v>45335.07</v>
      </c>
      <c r="AD62" s="299">
        <v>67111.09</v>
      </c>
      <c r="AE62" s="299">
        <v>45947.08</v>
      </c>
      <c r="AF62" s="299">
        <v>25389.599999999999</v>
      </c>
      <c r="AG62" s="299">
        <v>25677.83</v>
      </c>
      <c r="AH62" s="299">
        <v>681</v>
      </c>
      <c r="AI62" s="299">
        <v>4500</v>
      </c>
      <c r="AJ62" s="299">
        <v>0</v>
      </c>
      <c r="AK62" s="299">
        <v>2677.71</v>
      </c>
      <c r="AL62" s="299">
        <v>2869.92</v>
      </c>
      <c r="AM62" s="299">
        <v>4186.24</v>
      </c>
      <c r="AN62" s="299">
        <v>5987.49</v>
      </c>
      <c r="AO62" s="299">
        <v>41207.440000000002</v>
      </c>
      <c r="AP62" s="299">
        <v>37947</v>
      </c>
      <c r="AQ62" s="299">
        <v>7719.14</v>
      </c>
      <c r="AR62" s="299">
        <v>25284.47</v>
      </c>
      <c r="AS62" s="299">
        <v>20371.870000000003</v>
      </c>
      <c r="AT62" s="299">
        <v>0</v>
      </c>
      <c r="AU62" s="299">
        <v>4792.6099999999997</v>
      </c>
      <c r="AV62" s="299">
        <v>4196.95</v>
      </c>
      <c r="AW62" s="299">
        <v>0</v>
      </c>
      <c r="AX62" s="299">
        <v>29177.05</v>
      </c>
      <c r="AY62" s="299">
        <v>3002.64</v>
      </c>
      <c r="AZ62" s="299">
        <v>240.83</v>
      </c>
      <c r="BA62" s="299">
        <v>17748</v>
      </c>
      <c r="BB62" s="299">
        <v>0</v>
      </c>
      <c r="BC62" s="299">
        <v>0</v>
      </c>
      <c r="BD62" s="299">
        <v>0</v>
      </c>
      <c r="BE62" s="299">
        <v>1209010.1299999999</v>
      </c>
      <c r="BF62" s="299">
        <v>-15519.839999999851</v>
      </c>
      <c r="BG62" s="299">
        <v>-30906.53</v>
      </c>
      <c r="BH62" s="299">
        <v>-46426.36999999985</v>
      </c>
      <c r="BI62" s="299">
        <v>0</v>
      </c>
      <c r="BJ62" s="299">
        <v>0</v>
      </c>
      <c r="BK62" s="299">
        <v>0</v>
      </c>
      <c r="BL62" s="299">
        <v>0</v>
      </c>
      <c r="BM62" s="299">
        <v>0</v>
      </c>
      <c r="BN62" s="299">
        <v>0</v>
      </c>
      <c r="BO62" s="299">
        <v>0</v>
      </c>
      <c r="BP62" s="299">
        <v>0</v>
      </c>
      <c r="BQ62" s="299">
        <v>0</v>
      </c>
      <c r="BR62" s="299">
        <v>8189</v>
      </c>
      <c r="BS62" s="299">
        <v>-54615.36999999985</v>
      </c>
      <c r="BT62" s="299">
        <v>0</v>
      </c>
      <c r="BU62" s="299">
        <v>-46426.36999999985</v>
      </c>
      <c r="BV62" s="299">
        <v>5991.25</v>
      </c>
      <c r="BW62" s="299">
        <v>0</v>
      </c>
      <c r="BX62" s="299">
        <v>0</v>
      </c>
      <c r="BY62" s="299">
        <v>5991.25</v>
      </c>
      <c r="BZ62" s="299">
        <v>0</v>
      </c>
      <c r="CA62" s="299">
        <v>23515.16</v>
      </c>
      <c r="CB62" s="299">
        <v>0</v>
      </c>
      <c r="CC62" s="299">
        <v>1354</v>
      </c>
      <c r="CD62" s="299">
        <v>24869.16</v>
      </c>
      <c r="CE62" s="299">
        <v>-18877.91</v>
      </c>
      <c r="CF62" s="299">
        <v>29422.720000000001</v>
      </c>
      <c r="CG62" s="299">
        <v>10544.810000000001</v>
      </c>
      <c r="CH62" s="299">
        <v>10544.810000000001</v>
      </c>
      <c r="CI62" s="299">
        <v>0</v>
      </c>
      <c r="CJ62" s="299">
        <v>10544.810000000001</v>
      </c>
    </row>
    <row r="63" spans="1:88" ht="13.8">
      <c r="A63" s="252" t="s">
        <v>1377</v>
      </c>
      <c r="B63" s="288">
        <v>1007</v>
      </c>
      <c r="C63" s="288" t="s">
        <v>768</v>
      </c>
      <c r="D63" s="248" t="s">
        <v>724</v>
      </c>
      <c r="E63" s="399" t="str">
        <f t="shared" si="1"/>
        <v>30EN1007</v>
      </c>
      <c r="F63" s="299">
        <v>628964.35</v>
      </c>
      <c r="G63" s="299">
        <v>0</v>
      </c>
      <c r="H63" s="299">
        <v>13377.52</v>
      </c>
      <c r="I63" s="299">
        <v>0</v>
      </c>
      <c r="J63" s="299">
        <v>0</v>
      </c>
      <c r="K63" s="299">
        <v>0</v>
      </c>
      <c r="L63" s="299">
        <v>46500</v>
      </c>
      <c r="M63" s="299">
        <v>0</v>
      </c>
      <c r="N63" s="299">
        <v>862.6</v>
      </c>
      <c r="O63" s="299">
        <v>0</v>
      </c>
      <c r="P63" s="299">
        <v>0</v>
      </c>
      <c r="Q63" s="299">
        <v>0</v>
      </c>
      <c r="R63" s="299">
        <v>36049.56</v>
      </c>
      <c r="S63" s="299">
        <v>71124.100000000006</v>
      </c>
      <c r="T63" s="299">
        <v>0</v>
      </c>
      <c r="U63" s="299">
        <v>0</v>
      </c>
      <c r="V63" s="299">
        <v>0</v>
      </c>
      <c r="W63" s="299">
        <v>0</v>
      </c>
      <c r="X63" s="299">
        <v>0</v>
      </c>
      <c r="Y63" s="299">
        <v>796878.13</v>
      </c>
      <c r="Z63" s="299">
        <v>206181.07</v>
      </c>
      <c r="AA63" s="299">
        <v>0</v>
      </c>
      <c r="AB63" s="299">
        <v>414597.38</v>
      </c>
      <c r="AC63" s="299">
        <v>20267.32</v>
      </c>
      <c r="AD63" s="299">
        <v>79855.820000000007</v>
      </c>
      <c r="AE63" s="299">
        <v>0</v>
      </c>
      <c r="AF63" s="299">
        <v>0</v>
      </c>
      <c r="AG63" s="299">
        <v>2468.8000000000002</v>
      </c>
      <c r="AH63" s="299">
        <v>5227.7</v>
      </c>
      <c r="AI63" s="299">
        <v>0</v>
      </c>
      <c r="AJ63" s="299">
        <v>0</v>
      </c>
      <c r="AK63" s="299">
        <v>7393.06</v>
      </c>
      <c r="AL63" s="299">
        <v>0</v>
      </c>
      <c r="AM63" s="299">
        <v>3734.18</v>
      </c>
      <c r="AN63" s="299">
        <v>1743.25</v>
      </c>
      <c r="AO63" s="299">
        <v>14070.63</v>
      </c>
      <c r="AP63" s="299">
        <v>15968</v>
      </c>
      <c r="AQ63" s="299">
        <v>8141.37</v>
      </c>
      <c r="AR63" s="299">
        <v>9406.59</v>
      </c>
      <c r="AS63" s="299">
        <v>10975.06</v>
      </c>
      <c r="AT63" s="299">
        <v>0</v>
      </c>
      <c r="AU63" s="299">
        <v>4771.37</v>
      </c>
      <c r="AV63" s="299">
        <v>1469.35</v>
      </c>
      <c r="AW63" s="299">
        <v>0</v>
      </c>
      <c r="AX63" s="299">
        <v>0</v>
      </c>
      <c r="AY63" s="299">
        <v>0</v>
      </c>
      <c r="AZ63" s="299">
        <v>0</v>
      </c>
      <c r="BA63" s="299">
        <v>12063.22</v>
      </c>
      <c r="BB63" s="299">
        <v>0</v>
      </c>
      <c r="BC63" s="299">
        <v>0</v>
      </c>
      <c r="BD63" s="299">
        <v>0</v>
      </c>
      <c r="BE63" s="299">
        <v>818334.16999999993</v>
      </c>
      <c r="BF63" s="299">
        <v>-21456.039999999921</v>
      </c>
      <c r="BG63" s="299">
        <v>-268432.92</v>
      </c>
      <c r="BH63" s="299">
        <v>-289888.9599999999</v>
      </c>
      <c r="BI63" s="299">
        <v>169000</v>
      </c>
      <c r="BJ63" s="299">
        <v>23838.12</v>
      </c>
      <c r="BK63" s="299">
        <v>192838.12</v>
      </c>
      <c r="BL63" s="299">
        <v>145447.48000000001</v>
      </c>
      <c r="BM63" s="299">
        <v>50916.67</v>
      </c>
      <c r="BN63" s="299">
        <v>196364.15000000002</v>
      </c>
      <c r="BO63" s="299">
        <v>-3526.0300000000279</v>
      </c>
      <c r="BP63" s="299">
        <v>19714.23</v>
      </c>
      <c r="BQ63" s="299">
        <v>16188.199999999972</v>
      </c>
      <c r="BR63" s="299">
        <v>57464.66</v>
      </c>
      <c r="BS63" s="299">
        <v>-347353.61999999976</v>
      </c>
      <c r="BT63" s="299">
        <v>16188.20000000003</v>
      </c>
      <c r="BU63" s="299">
        <v>-273700.75999999978</v>
      </c>
      <c r="BV63" s="299">
        <v>340056.19</v>
      </c>
      <c r="BW63" s="299">
        <v>0</v>
      </c>
      <c r="BX63" s="299">
        <v>0</v>
      </c>
      <c r="BY63" s="299">
        <v>340056.19</v>
      </c>
      <c r="BZ63" s="299">
        <v>0</v>
      </c>
      <c r="CA63" s="299">
        <v>138757.95000000001</v>
      </c>
      <c r="CB63" s="299">
        <v>0</v>
      </c>
      <c r="CC63" s="299">
        <v>4311.68</v>
      </c>
      <c r="CD63" s="299">
        <v>143069.63</v>
      </c>
      <c r="CE63" s="299">
        <v>196986.56</v>
      </c>
      <c r="CF63" s="299">
        <v>28196.29</v>
      </c>
      <c r="CG63" s="299">
        <v>225182.85</v>
      </c>
      <c r="CH63" s="299">
        <v>28519.11</v>
      </c>
      <c r="CI63" s="299">
        <v>196663.74</v>
      </c>
      <c r="CJ63" s="299">
        <v>225182.84999999998</v>
      </c>
    </row>
    <row r="64" spans="1:88" ht="13.8">
      <c r="A64" s="252" t="s">
        <v>1377</v>
      </c>
      <c r="B64" s="288">
        <v>3945</v>
      </c>
      <c r="C64" s="288" t="s">
        <v>769</v>
      </c>
      <c r="D64" s="248" t="s">
        <v>708</v>
      </c>
      <c r="E64" s="399" t="str">
        <f t="shared" si="1"/>
        <v>30EP3945</v>
      </c>
      <c r="F64" s="299">
        <v>2293655.65</v>
      </c>
      <c r="G64" s="299">
        <v>0</v>
      </c>
      <c r="H64" s="299">
        <v>218724.12</v>
      </c>
      <c r="I64" s="299">
        <v>0</v>
      </c>
      <c r="J64" s="299">
        <v>197590</v>
      </c>
      <c r="K64" s="299">
        <v>27984.5</v>
      </c>
      <c r="L64" s="299">
        <v>7488</v>
      </c>
      <c r="M64" s="299">
        <v>0</v>
      </c>
      <c r="N64" s="299">
        <v>37789.660000000003</v>
      </c>
      <c r="O64" s="299">
        <v>29767.33</v>
      </c>
      <c r="P64" s="299">
        <v>1800</v>
      </c>
      <c r="Q64" s="299">
        <v>0</v>
      </c>
      <c r="R64" s="299">
        <v>19292.28</v>
      </c>
      <c r="S64" s="299">
        <v>2025.25</v>
      </c>
      <c r="T64" s="299">
        <v>0</v>
      </c>
      <c r="U64" s="299">
        <v>0</v>
      </c>
      <c r="V64" s="299">
        <v>0</v>
      </c>
      <c r="W64" s="299">
        <v>8019.38</v>
      </c>
      <c r="X64" s="299">
        <v>85641</v>
      </c>
      <c r="Y64" s="299">
        <v>2929777.17</v>
      </c>
      <c r="Z64" s="299">
        <v>1246021.75</v>
      </c>
      <c r="AA64" s="299">
        <v>2718.22</v>
      </c>
      <c r="AB64" s="299">
        <v>662478.01</v>
      </c>
      <c r="AC64" s="299">
        <v>58976.31</v>
      </c>
      <c r="AD64" s="299">
        <v>141751.1</v>
      </c>
      <c r="AE64" s="299">
        <v>0</v>
      </c>
      <c r="AF64" s="299">
        <v>132805.20000000001</v>
      </c>
      <c r="AG64" s="299">
        <v>10075.86</v>
      </c>
      <c r="AH64" s="299">
        <v>6099</v>
      </c>
      <c r="AI64" s="299">
        <v>10150</v>
      </c>
      <c r="AJ64" s="299">
        <v>430</v>
      </c>
      <c r="AK64" s="299">
        <v>23840.39</v>
      </c>
      <c r="AL64" s="299">
        <v>5749.25</v>
      </c>
      <c r="AM64" s="299">
        <v>42037.57</v>
      </c>
      <c r="AN64" s="299">
        <v>18607.57</v>
      </c>
      <c r="AO64" s="299">
        <v>65751.55</v>
      </c>
      <c r="AP64" s="299">
        <v>38493</v>
      </c>
      <c r="AQ64" s="299">
        <v>24127.85</v>
      </c>
      <c r="AR64" s="299">
        <v>47713.34</v>
      </c>
      <c r="AS64" s="299">
        <v>51185.630000000005</v>
      </c>
      <c r="AT64" s="299">
        <v>0</v>
      </c>
      <c r="AU64" s="299">
        <v>24869.279999999999</v>
      </c>
      <c r="AV64" s="299">
        <v>8613.82</v>
      </c>
      <c r="AW64" s="299">
        <v>13016.89</v>
      </c>
      <c r="AX64" s="299">
        <v>147748.73000000001</v>
      </c>
      <c r="AY64" s="299">
        <v>24556.02</v>
      </c>
      <c r="AZ64" s="299">
        <v>45025.14</v>
      </c>
      <c r="BA64" s="299">
        <v>18193.45</v>
      </c>
      <c r="BB64" s="299">
        <v>0</v>
      </c>
      <c r="BC64" s="299">
        <v>0</v>
      </c>
      <c r="BD64" s="299">
        <v>3962.66</v>
      </c>
      <c r="BE64" s="299">
        <v>2874997.59</v>
      </c>
      <c r="BF64" s="299">
        <v>54779.580000000075</v>
      </c>
      <c r="BG64" s="299">
        <v>4956.3999999999996</v>
      </c>
      <c r="BH64" s="299">
        <v>59735.980000000076</v>
      </c>
      <c r="BI64" s="299">
        <v>0</v>
      </c>
      <c r="BJ64" s="299">
        <v>0</v>
      </c>
      <c r="BK64" s="299">
        <v>0</v>
      </c>
      <c r="BL64" s="299">
        <v>0</v>
      </c>
      <c r="BM64" s="299">
        <v>0</v>
      </c>
      <c r="BN64" s="299">
        <v>0</v>
      </c>
      <c r="BO64" s="299">
        <v>0</v>
      </c>
      <c r="BP64" s="299">
        <v>0</v>
      </c>
      <c r="BQ64" s="299">
        <v>0</v>
      </c>
      <c r="BR64" s="299">
        <v>21733</v>
      </c>
      <c r="BS64" s="299">
        <v>38002.980000000076</v>
      </c>
      <c r="BT64" s="299">
        <v>0</v>
      </c>
      <c r="BU64" s="299">
        <v>59735.980000000076</v>
      </c>
      <c r="BV64" s="299">
        <v>8443.75</v>
      </c>
      <c r="BW64" s="299">
        <v>39386.230000000003</v>
      </c>
      <c r="BX64" s="299">
        <v>3962.66</v>
      </c>
      <c r="BY64" s="299">
        <v>51792.639999999999</v>
      </c>
      <c r="BZ64" s="299">
        <v>0</v>
      </c>
      <c r="CA64" s="299">
        <v>52572.74</v>
      </c>
      <c r="CB64" s="299">
        <v>0</v>
      </c>
      <c r="CC64" s="299">
        <v>0</v>
      </c>
      <c r="CD64" s="299">
        <v>52572.74</v>
      </c>
      <c r="CE64" s="299">
        <v>-780.09999999999854</v>
      </c>
      <c r="CF64" s="299">
        <v>941.5</v>
      </c>
      <c r="CG64" s="299">
        <v>161.40000000000146</v>
      </c>
      <c r="CH64" s="299">
        <v>0</v>
      </c>
      <c r="CI64" s="299">
        <v>161.40000000000146</v>
      </c>
      <c r="CJ64" s="299">
        <v>161.40000000000146</v>
      </c>
    </row>
    <row r="65" spans="1:88" ht="13.8">
      <c r="A65" s="252" t="s">
        <v>1377</v>
      </c>
      <c r="B65" s="288">
        <v>3022</v>
      </c>
      <c r="C65" s="288" t="s">
        <v>770</v>
      </c>
      <c r="D65" s="248" t="s">
        <v>708</v>
      </c>
      <c r="E65" s="399" t="str">
        <f t="shared" si="1"/>
        <v>30EP3022</v>
      </c>
      <c r="F65" s="299">
        <v>1079206.43</v>
      </c>
      <c r="G65" s="299">
        <v>0</v>
      </c>
      <c r="H65" s="299">
        <v>27335.119999999999</v>
      </c>
      <c r="I65" s="299">
        <v>0</v>
      </c>
      <c r="J65" s="299">
        <v>32270</v>
      </c>
      <c r="K65" s="299">
        <v>0</v>
      </c>
      <c r="L65" s="299">
        <v>0</v>
      </c>
      <c r="M65" s="299">
        <v>0</v>
      </c>
      <c r="N65" s="299">
        <v>43005.19</v>
      </c>
      <c r="O65" s="299">
        <v>20680.21</v>
      </c>
      <c r="P65" s="299">
        <v>7284</v>
      </c>
      <c r="Q65" s="299">
        <v>0</v>
      </c>
      <c r="R65" s="299">
        <v>21833.59</v>
      </c>
      <c r="S65" s="299">
        <v>4937.22</v>
      </c>
      <c r="T65" s="299">
        <v>0</v>
      </c>
      <c r="U65" s="299">
        <v>0</v>
      </c>
      <c r="V65" s="299">
        <v>0</v>
      </c>
      <c r="W65" s="299">
        <v>-335</v>
      </c>
      <c r="X65" s="299">
        <v>52399</v>
      </c>
      <c r="Y65" s="299">
        <v>1288615.76</v>
      </c>
      <c r="Z65" s="299">
        <v>709916.43</v>
      </c>
      <c r="AA65" s="299">
        <v>1288.96</v>
      </c>
      <c r="AB65" s="299">
        <v>206966.7</v>
      </c>
      <c r="AC65" s="299">
        <v>31083.61</v>
      </c>
      <c r="AD65" s="299">
        <v>69047.8</v>
      </c>
      <c r="AE65" s="299">
        <v>37051.08</v>
      </c>
      <c r="AF65" s="299">
        <v>11138.49</v>
      </c>
      <c r="AG65" s="299">
        <v>5674.9</v>
      </c>
      <c r="AH65" s="299">
        <v>4781.7700000000004</v>
      </c>
      <c r="AI65" s="299">
        <v>5350</v>
      </c>
      <c r="AJ65" s="299">
        <v>0</v>
      </c>
      <c r="AK65" s="299">
        <v>10028.379999999999</v>
      </c>
      <c r="AL65" s="299">
        <v>2090.62</v>
      </c>
      <c r="AM65" s="299">
        <v>1931.85</v>
      </c>
      <c r="AN65" s="299">
        <v>5021.92</v>
      </c>
      <c r="AO65" s="299">
        <v>37230.82</v>
      </c>
      <c r="AP65" s="299">
        <v>23702.5</v>
      </c>
      <c r="AQ65" s="299">
        <v>2078.7399999999998</v>
      </c>
      <c r="AR65" s="299">
        <v>44959.66</v>
      </c>
      <c r="AS65" s="299">
        <v>20886.740000000002</v>
      </c>
      <c r="AT65" s="299">
        <v>0</v>
      </c>
      <c r="AU65" s="299">
        <v>21464.27</v>
      </c>
      <c r="AV65" s="299">
        <v>4295.29</v>
      </c>
      <c r="AW65" s="299">
        <v>302.16000000000003</v>
      </c>
      <c r="AX65" s="299">
        <v>26318.61</v>
      </c>
      <c r="AY65" s="299">
        <v>2766.61</v>
      </c>
      <c r="AZ65" s="299">
        <v>3162.5</v>
      </c>
      <c r="BA65" s="299">
        <v>13176.45</v>
      </c>
      <c r="BB65" s="299">
        <v>0</v>
      </c>
      <c r="BC65" s="299">
        <v>0</v>
      </c>
      <c r="BD65" s="299">
        <v>0</v>
      </c>
      <c r="BE65" s="299">
        <v>1301716.8600000001</v>
      </c>
      <c r="BF65" s="299">
        <v>-13101.100000000093</v>
      </c>
      <c r="BG65" s="299">
        <v>30170.7</v>
      </c>
      <c r="BH65" s="299">
        <v>17069.599999999908</v>
      </c>
      <c r="BI65" s="299">
        <v>0</v>
      </c>
      <c r="BJ65" s="299">
        <v>0</v>
      </c>
      <c r="BK65" s="299">
        <v>0</v>
      </c>
      <c r="BL65" s="299">
        <v>0</v>
      </c>
      <c r="BM65" s="299">
        <v>0</v>
      </c>
      <c r="BN65" s="299">
        <v>0</v>
      </c>
      <c r="BO65" s="299">
        <v>0</v>
      </c>
      <c r="BP65" s="299">
        <v>0</v>
      </c>
      <c r="BQ65" s="299">
        <v>0</v>
      </c>
      <c r="BR65" s="299">
        <v>0</v>
      </c>
      <c r="BS65" s="299">
        <v>17069.60000000014</v>
      </c>
      <c r="BT65" s="299">
        <v>0</v>
      </c>
      <c r="BU65" s="299">
        <v>17069.60000000014</v>
      </c>
      <c r="BV65" s="299">
        <v>6328.75</v>
      </c>
      <c r="BW65" s="299">
        <v>2366.7199999999998</v>
      </c>
      <c r="BX65" s="299">
        <v>0</v>
      </c>
      <c r="BY65" s="299">
        <v>8695.4699999999993</v>
      </c>
      <c r="BZ65" s="299">
        <v>0</v>
      </c>
      <c r="CA65" s="299">
        <v>0</v>
      </c>
      <c r="CB65" s="299">
        <v>0</v>
      </c>
      <c r="CC65" s="299">
        <v>6424.23</v>
      </c>
      <c r="CD65" s="299">
        <v>6424.23</v>
      </c>
      <c r="CE65" s="299">
        <v>2271.2399999999998</v>
      </c>
      <c r="CF65" s="299">
        <v>6608.46</v>
      </c>
      <c r="CG65" s="299">
        <v>8879.7000000000007</v>
      </c>
      <c r="CH65" s="299">
        <v>8879.7000000000007</v>
      </c>
      <c r="CI65" s="299">
        <v>0</v>
      </c>
      <c r="CJ65" s="299">
        <v>8879.7000000000007</v>
      </c>
    </row>
    <row r="66" spans="1:88" ht="13.8">
      <c r="A66" s="252" t="s">
        <v>1377</v>
      </c>
      <c r="B66" s="288">
        <v>2442</v>
      </c>
      <c r="C66" s="288" t="s">
        <v>771</v>
      </c>
      <c r="D66" s="248" t="s">
        <v>708</v>
      </c>
      <c r="E66" s="399" t="str">
        <f t="shared" si="1"/>
        <v>30EP2442</v>
      </c>
      <c r="F66" s="299">
        <v>725371.83</v>
      </c>
      <c r="G66" s="299">
        <v>0</v>
      </c>
      <c r="H66" s="299">
        <v>33537.99</v>
      </c>
      <c r="I66" s="299">
        <v>0</v>
      </c>
      <c r="J66" s="299">
        <v>18440</v>
      </c>
      <c r="K66" s="299">
        <v>165</v>
      </c>
      <c r="L66" s="299">
        <v>0</v>
      </c>
      <c r="M66" s="299">
        <v>320</v>
      </c>
      <c r="N66" s="299">
        <v>1640.75</v>
      </c>
      <c r="O66" s="299">
        <v>15621.58</v>
      </c>
      <c r="P66" s="299">
        <v>0</v>
      </c>
      <c r="Q66" s="299">
        <v>0</v>
      </c>
      <c r="R66" s="299">
        <v>49985.760000000002</v>
      </c>
      <c r="S66" s="299">
        <v>18112.2</v>
      </c>
      <c r="T66" s="299">
        <v>0</v>
      </c>
      <c r="U66" s="299">
        <v>0</v>
      </c>
      <c r="V66" s="299">
        <v>0</v>
      </c>
      <c r="W66" s="299">
        <v>809.38</v>
      </c>
      <c r="X66" s="299">
        <v>44888</v>
      </c>
      <c r="Y66" s="299">
        <v>908892.48999999987</v>
      </c>
      <c r="Z66" s="299">
        <v>427607.35</v>
      </c>
      <c r="AA66" s="299">
        <v>0</v>
      </c>
      <c r="AB66" s="299">
        <v>162437.51999999999</v>
      </c>
      <c r="AC66" s="299">
        <v>12530.16</v>
      </c>
      <c r="AD66" s="299">
        <v>51951.97</v>
      </c>
      <c r="AE66" s="299">
        <v>0</v>
      </c>
      <c r="AF66" s="299">
        <v>7647.85</v>
      </c>
      <c r="AG66" s="299">
        <v>2763.64</v>
      </c>
      <c r="AH66" s="299">
        <v>2845.5</v>
      </c>
      <c r="AI66" s="299">
        <v>3149.59</v>
      </c>
      <c r="AJ66" s="299">
        <v>0</v>
      </c>
      <c r="AK66" s="299">
        <v>5961.59</v>
      </c>
      <c r="AL66" s="299">
        <v>4153.46</v>
      </c>
      <c r="AM66" s="299">
        <v>13154.32</v>
      </c>
      <c r="AN66" s="299">
        <v>3175.31</v>
      </c>
      <c r="AO66" s="299">
        <v>10716.75</v>
      </c>
      <c r="AP66" s="299">
        <v>20459</v>
      </c>
      <c r="AQ66" s="299">
        <v>5328.07</v>
      </c>
      <c r="AR66" s="299">
        <v>52989.93</v>
      </c>
      <c r="AS66" s="299">
        <v>22036.66</v>
      </c>
      <c r="AT66" s="299">
        <v>0</v>
      </c>
      <c r="AU66" s="299">
        <v>10386.450000000001</v>
      </c>
      <c r="AV66" s="299">
        <v>2665.8</v>
      </c>
      <c r="AW66" s="299">
        <v>2631.33</v>
      </c>
      <c r="AX66" s="299">
        <v>52630.69</v>
      </c>
      <c r="AY66" s="299">
        <v>0</v>
      </c>
      <c r="AZ66" s="299">
        <v>2833</v>
      </c>
      <c r="BA66" s="299">
        <v>16740.53</v>
      </c>
      <c r="BB66" s="299">
        <v>0</v>
      </c>
      <c r="BC66" s="299">
        <v>0</v>
      </c>
      <c r="BD66" s="299">
        <v>4905.99</v>
      </c>
      <c r="BE66" s="299">
        <v>901702.46</v>
      </c>
      <c r="BF66" s="299">
        <v>7190.0299999999115</v>
      </c>
      <c r="BG66" s="299">
        <v>124989.73</v>
      </c>
      <c r="BH66" s="299">
        <v>132179.75999999989</v>
      </c>
      <c r="BI66" s="299">
        <v>0</v>
      </c>
      <c r="BJ66" s="299">
        <v>0</v>
      </c>
      <c r="BK66" s="299">
        <v>0</v>
      </c>
      <c r="BL66" s="299">
        <v>0</v>
      </c>
      <c r="BM66" s="299">
        <v>0</v>
      </c>
      <c r="BN66" s="299">
        <v>0</v>
      </c>
      <c r="BO66" s="299">
        <v>0</v>
      </c>
      <c r="BP66" s="299">
        <v>0</v>
      </c>
      <c r="BQ66" s="299">
        <v>0</v>
      </c>
      <c r="BR66" s="299">
        <v>62</v>
      </c>
      <c r="BS66" s="299">
        <v>132117.76000000001</v>
      </c>
      <c r="BT66" s="299">
        <v>0</v>
      </c>
      <c r="BU66" s="299">
        <v>132179.76</v>
      </c>
      <c r="BV66" s="299">
        <v>5203.75</v>
      </c>
      <c r="BW66" s="299">
        <v>19500</v>
      </c>
      <c r="BX66" s="299">
        <v>4905.99</v>
      </c>
      <c r="BY66" s="299">
        <v>29609.739999999998</v>
      </c>
      <c r="BZ66" s="299">
        <v>0</v>
      </c>
      <c r="CA66" s="299">
        <v>7029.51</v>
      </c>
      <c r="CB66" s="299">
        <v>19500</v>
      </c>
      <c r="CC66" s="299">
        <v>3080.23</v>
      </c>
      <c r="CD66" s="299">
        <v>29609.74</v>
      </c>
      <c r="CE66" s="299">
        <v>0</v>
      </c>
      <c r="CF66" s="299">
        <v>0</v>
      </c>
      <c r="CG66" s="299">
        <v>0</v>
      </c>
      <c r="CH66" s="299">
        <v>0</v>
      </c>
      <c r="CI66" s="299">
        <v>0</v>
      </c>
      <c r="CJ66" s="299">
        <v>0</v>
      </c>
    </row>
    <row r="67" spans="1:88" ht="13.8">
      <c r="A67" s="252" t="s">
        <v>1377</v>
      </c>
      <c r="B67" s="288">
        <v>2331</v>
      </c>
      <c r="C67" s="288" t="s">
        <v>772</v>
      </c>
      <c r="D67" s="248" t="s">
        <v>708</v>
      </c>
      <c r="E67" s="399" t="str">
        <f t="shared" si="1"/>
        <v>30EP2331</v>
      </c>
      <c r="F67" s="299">
        <v>606463.71</v>
      </c>
      <c r="G67" s="299">
        <v>0</v>
      </c>
      <c r="H67" s="299">
        <v>57919.61</v>
      </c>
      <c r="I67" s="299">
        <v>0</v>
      </c>
      <c r="J67" s="299">
        <v>48575</v>
      </c>
      <c r="K67" s="299">
        <v>1641</v>
      </c>
      <c r="L67" s="299">
        <v>0</v>
      </c>
      <c r="M67" s="299">
        <v>0</v>
      </c>
      <c r="N67" s="299">
        <v>2934.18</v>
      </c>
      <c r="O67" s="299">
        <v>3441.75</v>
      </c>
      <c r="P67" s="299">
        <v>0</v>
      </c>
      <c r="Q67" s="299">
        <v>0</v>
      </c>
      <c r="R67" s="299">
        <v>5499.74</v>
      </c>
      <c r="S67" s="299">
        <v>34308.94</v>
      </c>
      <c r="T67" s="299">
        <v>0</v>
      </c>
      <c r="U67" s="299">
        <v>0</v>
      </c>
      <c r="V67" s="299">
        <v>0</v>
      </c>
      <c r="W67" s="299">
        <v>3488.7</v>
      </c>
      <c r="X67" s="299">
        <v>26382</v>
      </c>
      <c r="Y67" s="299">
        <v>790654.62999999989</v>
      </c>
      <c r="Z67" s="299">
        <v>294358.26</v>
      </c>
      <c r="AA67" s="299">
        <v>20968.25</v>
      </c>
      <c r="AB67" s="299">
        <v>182674.79</v>
      </c>
      <c r="AC67" s="299">
        <v>0</v>
      </c>
      <c r="AD67" s="299">
        <v>32481.99</v>
      </c>
      <c r="AE67" s="299">
        <v>17596.099999999999</v>
      </c>
      <c r="AF67" s="299">
        <v>12593.6</v>
      </c>
      <c r="AG67" s="299">
        <v>2596.5500000000002</v>
      </c>
      <c r="AH67" s="299">
        <v>4687.3999999999996</v>
      </c>
      <c r="AI67" s="299">
        <v>1950</v>
      </c>
      <c r="AJ67" s="299">
        <v>890</v>
      </c>
      <c r="AK67" s="299">
        <v>2950.23</v>
      </c>
      <c r="AL67" s="299">
        <v>3036.2</v>
      </c>
      <c r="AM67" s="299">
        <v>28050.68</v>
      </c>
      <c r="AN67" s="299">
        <v>903.02</v>
      </c>
      <c r="AO67" s="299">
        <v>13743.54</v>
      </c>
      <c r="AP67" s="299">
        <v>13090.95</v>
      </c>
      <c r="AQ67" s="299">
        <v>6820.54</v>
      </c>
      <c r="AR67" s="299">
        <v>47875.95</v>
      </c>
      <c r="AS67" s="299">
        <v>19383.62</v>
      </c>
      <c r="AT67" s="299">
        <v>0</v>
      </c>
      <c r="AU67" s="299">
        <v>5877.04</v>
      </c>
      <c r="AV67" s="299">
        <v>1815.88</v>
      </c>
      <c r="AW67" s="299">
        <v>0</v>
      </c>
      <c r="AX67" s="299">
        <v>13546.91</v>
      </c>
      <c r="AY67" s="299">
        <v>0</v>
      </c>
      <c r="AZ67" s="299">
        <v>17900.62</v>
      </c>
      <c r="BA67" s="299">
        <v>9540.24</v>
      </c>
      <c r="BB67" s="299">
        <v>0</v>
      </c>
      <c r="BC67" s="299">
        <v>0</v>
      </c>
      <c r="BD67" s="299">
        <v>0</v>
      </c>
      <c r="BE67" s="299">
        <v>755332.3600000001</v>
      </c>
      <c r="BF67" s="299">
        <v>35322.269999999786</v>
      </c>
      <c r="BG67" s="299">
        <v>49908.59</v>
      </c>
      <c r="BH67" s="299">
        <v>85230.859999999782</v>
      </c>
      <c r="BI67" s="299">
        <v>0</v>
      </c>
      <c r="BJ67" s="299">
        <v>0</v>
      </c>
      <c r="BK67" s="299">
        <v>0</v>
      </c>
      <c r="BL67" s="299">
        <v>0</v>
      </c>
      <c r="BM67" s="299">
        <v>0</v>
      </c>
      <c r="BN67" s="299">
        <v>0</v>
      </c>
      <c r="BO67" s="299">
        <v>0</v>
      </c>
      <c r="BP67" s="299">
        <v>0</v>
      </c>
      <c r="BQ67" s="299">
        <v>0</v>
      </c>
      <c r="BR67" s="299">
        <v>23089.840000000004</v>
      </c>
      <c r="BS67" s="299">
        <v>62141.019999999662</v>
      </c>
      <c r="BT67" s="299">
        <v>0</v>
      </c>
      <c r="BU67" s="299">
        <v>85230.859999999666</v>
      </c>
      <c r="BV67" s="299">
        <v>4900</v>
      </c>
      <c r="BW67" s="299">
        <v>0</v>
      </c>
      <c r="BX67" s="299">
        <v>0</v>
      </c>
      <c r="BY67" s="299">
        <v>4900</v>
      </c>
      <c r="BZ67" s="299">
        <v>0</v>
      </c>
      <c r="CA67" s="299">
        <v>14851.54</v>
      </c>
      <c r="CB67" s="299">
        <v>0</v>
      </c>
      <c r="CC67" s="299">
        <v>0</v>
      </c>
      <c r="CD67" s="299">
        <v>14851.54</v>
      </c>
      <c r="CE67" s="299">
        <v>-9951.5400000000009</v>
      </c>
      <c r="CF67" s="299">
        <v>10922.69</v>
      </c>
      <c r="CG67" s="299">
        <v>971.14999999999964</v>
      </c>
      <c r="CH67" s="299">
        <v>971.14999999999964</v>
      </c>
      <c r="CI67" s="299">
        <v>0</v>
      </c>
      <c r="CJ67" s="299">
        <v>971.14999999999964</v>
      </c>
    </row>
    <row r="68" spans="1:88" ht="13.8">
      <c r="A68" s="252" t="s">
        <v>1377</v>
      </c>
      <c r="B68" s="288">
        <v>1000</v>
      </c>
      <c r="C68" s="288" t="s">
        <v>1379</v>
      </c>
      <c r="D68" s="248" t="s">
        <v>724</v>
      </c>
      <c r="E68" s="399" t="str">
        <f t="shared" ref="E68:E100" si="2">_xlfn.CONCAT("30",IF(D68="Primary","EP",IF(D68="Nursery","EN","ES")),B68)</f>
        <v>30EN1000</v>
      </c>
      <c r="F68" s="299">
        <v>399082.82</v>
      </c>
      <c r="G68" s="299">
        <v>0</v>
      </c>
      <c r="H68" s="299">
        <v>8368.82</v>
      </c>
      <c r="I68" s="299">
        <v>0</v>
      </c>
      <c r="J68" s="299">
        <v>117</v>
      </c>
      <c r="K68" s="299">
        <v>2400</v>
      </c>
      <c r="L68" s="299">
        <v>0</v>
      </c>
      <c r="M68" s="299">
        <v>0</v>
      </c>
      <c r="N68" s="299">
        <v>0</v>
      </c>
      <c r="O68" s="299">
        <v>10521.1</v>
      </c>
      <c r="P68" s="299">
        <v>0</v>
      </c>
      <c r="Q68" s="299">
        <v>0</v>
      </c>
      <c r="R68" s="299">
        <v>246</v>
      </c>
      <c r="S68" s="299">
        <v>0</v>
      </c>
      <c r="T68" s="299">
        <v>0</v>
      </c>
      <c r="U68" s="299">
        <v>0</v>
      </c>
      <c r="V68" s="299">
        <v>0</v>
      </c>
      <c r="W68" s="299">
        <v>0</v>
      </c>
      <c r="X68" s="299">
        <v>0</v>
      </c>
      <c r="Y68" s="299">
        <v>420735.74</v>
      </c>
      <c r="Z68" s="299">
        <v>181321.74</v>
      </c>
      <c r="AA68" s="299">
        <v>0</v>
      </c>
      <c r="AB68" s="299">
        <v>93642.27</v>
      </c>
      <c r="AC68" s="299">
        <v>3139.9</v>
      </c>
      <c r="AD68" s="299">
        <v>35782.9</v>
      </c>
      <c r="AE68" s="299">
        <v>7652.82</v>
      </c>
      <c r="AF68" s="299">
        <v>0</v>
      </c>
      <c r="AG68" s="299">
        <v>1383.06</v>
      </c>
      <c r="AH68" s="299">
        <v>0</v>
      </c>
      <c r="AI68" s="299">
        <v>1225</v>
      </c>
      <c r="AJ68" s="299">
        <v>0</v>
      </c>
      <c r="AK68" s="299">
        <v>2846.61</v>
      </c>
      <c r="AL68" s="299">
        <v>136.44</v>
      </c>
      <c r="AM68" s="299">
        <v>9571.41</v>
      </c>
      <c r="AN68" s="299">
        <v>470.72</v>
      </c>
      <c r="AO68" s="299">
        <v>8167.95</v>
      </c>
      <c r="AP68" s="299">
        <v>0</v>
      </c>
      <c r="AQ68" s="299">
        <v>1572.93</v>
      </c>
      <c r="AR68" s="299">
        <v>1416.93</v>
      </c>
      <c r="AS68" s="299">
        <v>4441.92</v>
      </c>
      <c r="AT68" s="299">
        <v>0</v>
      </c>
      <c r="AU68" s="299">
        <v>2527.15</v>
      </c>
      <c r="AV68" s="299">
        <v>0</v>
      </c>
      <c r="AW68" s="299">
        <v>0</v>
      </c>
      <c r="AX68" s="299">
        <v>3497.2</v>
      </c>
      <c r="AY68" s="299">
        <v>0</v>
      </c>
      <c r="AZ68" s="299">
        <v>0</v>
      </c>
      <c r="BA68" s="299">
        <v>4527.9399999999996</v>
      </c>
      <c r="BB68" s="299">
        <v>0</v>
      </c>
      <c r="BC68" s="299">
        <v>0</v>
      </c>
      <c r="BD68" s="299">
        <v>0</v>
      </c>
      <c r="BE68" s="299">
        <v>363324.89</v>
      </c>
      <c r="BF68" s="299">
        <v>57410.849999999977</v>
      </c>
      <c r="BG68" s="299">
        <v>149267.85</v>
      </c>
      <c r="BH68" s="299">
        <v>206678.69999999998</v>
      </c>
      <c r="BI68" s="299">
        <v>0</v>
      </c>
      <c r="BJ68" s="299">
        <v>0</v>
      </c>
      <c r="BK68" s="299">
        <v>0</v>
      </c>
      <c r="BL68" s="299">
        <v>0</v>
      </c>
      <c r="BM68" s="299">
        <v>0</v>
      </c>
      <c r="BN68" s="299">
        <v>0</v>
      </c>
      <c r="BO68" s="299">
        <v>0</v>
      </c>
      <c r="BP68" s="299">
        <v>0</v>
      </c>
      <c r="BQ68" s="299">
        <v>0</v>
      </c>
      <c r="BR68" s="299">
        <v>0</v>
      </c>
      <c r="BS68" s="299">
        <v>206678.69999999998</v>
      </c>
      <c r="BT68" s="299">
        <v>0</v>
      </c>
      <c r="BU68" s="299">
        <v>206678.69999999998</v>
      </c>
      <c r="BV68" s="299">
        <v>4513</v>
      </c>
      <c r="BW68" s="299">
        <v>0</v>
      </c>
      <c r="BX68" s="299">
        <v>0</v>
      </c>
      <c r="BY68" s="299">
        <v>4513</v>
      </c>
      <c r="BZ68" s="299">
        <v>0</v>
      </c>
      <c r="CA68" s="299">
        <v>0</v>
      </c>
      <c r="CB68" s="299">
        <v>0</v>
      </c>
      <c r="CC68" s="299">
        <v>0</v>
      </c>
      <c r="CD68" s="299">
        <v>0</v>
      </c>
      <c r="CE68" s="299">
        <v>4513</v>
      </c>
      <c r="CF68" s="299">
        <v>0.09</v>
      </c>
      <c r="CG68" s="299">
        <v>4513.09</v>
      </c>
      <c r="CH68" s="299">
        <v>4513.09</v>
      </c>
      <c r="CI68" s="299">
        <v>0</v>
      </c>
      <c r="CJ68" s="299">
        <v>4513.09</v>
      </c>
    </row>
    <row r="69" spans="1:88" ht="13.8">
      <c r="A69" s="252" t="s">
        <v>1377</v>
      </c>
      <c r="B69" s="288">
        <v>3000</v>
      </c>
      <c r="C69" s="288" t="s">
        <v>1380</v>
      </c>
      <c r="D69" s="248" t="s">
        <v>708</v>
      </c>
      <c r="E69" s="399" t="str">
        <f t="shared" si="2"/>
        <v>30EP3000</v>
      </c>
      <c r="F69" s="299">
        <v>2236881.1</v>
      </c>
      <c r="G69" s="299">
        <v>0</v>
      </c>
      <c r="H69" s="299">
        <v>78389.3</v>
      </c>
      <c r="I69" s="299">
        <v>0</v>
      </c>
      <c r="J69" s="299">
        <v>224130</v>
      </c>
      <c r="K69" s="299">
        <v>9723.86</v>
      </c>
      <c r="L69" s="299">
        <v>3150</v>
      </c>
      <c r="M69" s="299">
        <v>0</v>
      </c>
      <c r="N69" s="299">
        <v>73270.64</v>
      </c>
      <c r="O69" s="299">
        <v>33661.56</v>
      </c>
      <c r="P69" s="299">
        <v>2250</v>
      </c>
      <c r="Q69" s="299">
        <v>5768.44</v>
      </c>
      <c r="R69" s="299">
        <v>16892.419999999998</v>
      </c>
      <c r="S69" s="299">
        <v>0</v>
      </c>
      <c r="T69" s="299">
        <v>0</v>
      </c>
      <c r="U69" s="299">
        <v>0</v>
      </c>
      <c r="V69" s="299">
        <v>0</v>
      </c>
      <c r="W69" s="299">
        <v>9760.6299999999992</v>
      </c>
      <c r="X69" s="299">
        <v>72576</v>
      </c>
      <c r="Y69" s="299">
        <v>2766453.9499999997</v>
      </c>
      <c r="Z69" s="299">
        <v>1378595.11</v>
      </c>
      <c r="AA69" s="299">
        <v>0</v>
      </c>
      <c r="AB69" s="299">
        <v>548581.26</v>
      </c>
      <c r="AC69" s="299">
        <v>19833.78</v>
      </c>
      <c r="AD69" s="299">
        <v>178849.08</v>
      </c>
      <c r="AE69" s="299">
        <v>78335.289999999994</v>
      </c>
      <c r="AF69" s="299">
        <v>93743.8</v>
      </c>
      <c r="AG69" s="299">
        <v>10860.11</v>
      </c>
      <c r="AH69" s="299">
        <v>7461.81</v>
      </c>
      <c r="AI69" s="299">
        <v>9825</v>
      </c>
      <c r="AJ69" s="299">
        <v>2493.75</v>
      </c>
      <c r="AK69" s="299">
        <v>61542.42</v>
      </c>
      <c r="AL69" s="299">
        <v>3494.31</v>
      </c>
      <c r="AM69" s="299">
        <v>61080.47</v>
      </c>
      <c r="AN69" s="299">
        <v>4466.28</v>
      </c>
      <c r="AO69" s="299">
        <v>53730.48</v>
      </c>
      <c r="AP69" s="299">
        <v>60060</v>
      </c>
      <c r="AQ69" s="299">
        <v>18215.080000000002</v>
      </c>
      <c r="AR69" s="299">
        <v>59484.18</v>
      </c>
      <c r="AS69" s="299">
        <v>56506.350000000006</v>
      </c>
      <c r="AT69" s="299">
        <v>0</v>
      </c>
      <c r="AU69" s="299">
        <v>31113.66</v>
      </c>
      <c r="AV69" s="299">
        <v>9179.3700000000008</v>
      </c>
      <c r="AW69" s="299">
        <v>8659.0400000000009</v>
      </c>
      <c r="AX69" s="299">
        <v>77676.460000000006</v>
      </c>
      <c r="AY69" s="299">
        <v>0</v>
      </c>
      <c r="AZ69" s="299">
        <v>0</v>
      </c>
      <c r="BA69" s="299">
        <v>47903.62</v>
      </c>
      <c r="BB69" s="299">
        <v>0</v>
      </c>
      <c r="BC69" s="299">
        <v>0</v>
      </c>
      <c r="BD69" s="299">
        <v>0</v>
      </c>
      <c r="BE69" s="299">
        <v>2881690.7100000004</v>
      </c>
      <c r="BF69" s="299">
        <v>-115236.76000000071</v>
      </c>
      <c r="BG69" s="299">
        <v>681686.33</v>
      </c>
      <c r="BH69" s="299">
        <v>566449.56999999925</v>
      </c>
      <c r="BI69" s="299">
        <v>0</v>
      </c>
      <c r="BJ69" s="299">
        <v>0</v>
      </c>
      <c r="BK69" s="299">
        <v>0</v>
      </c>
      <c r="BL69" s="299">
        <v>0</v>
      </c>
      <c r="BM69" s="299">
        <v>0</v>
      </c>
      <c r="BN69" s="299">
        <v>0</v>
      </c>
      <c r="BO69" s="299">
        <v>0</v>
      </c>
      <c r="BP69" s="299">
        <v>0</v>
      </c>
      <c r="BQ69" s="299">
        <v>0</v>
      </c>
      <c r="BR69" s="299">
        <v>212000</v>
      </c>
      <c r="BS69" s="299">
        <v>354449.56999999972</v>
      </c>
      <c r="BT69" s="299">
        <v>0</v>
      </c>
      <c r="BU69" s="299">
        <v>566449.56999999972</v>
      </c>
      <c r="BV69" s="299">
        <v>8331.25</v>
      </c>
      <c r="BW69" s="299">
        <v>0</v>
      </c>
      <c r="BX69" s="299">
        <v>0</v>
      </c>
      <c r="BY69" s="299">
        <v>8331.25</v>
      </c>
      <c r="BZ69" s="299">
        <v>0</v>
      </c>
      <c r="CA69" s="299">
        <v>2425.08</v>
      </c>
      <c r="CB69" s="299">
        <v>0</v>
      </c>
      <c r="CC69" s="299">
        <v>2742.95</v>
      </c>
      <c r="CD69" s="299">
        <v>5168.03</v>
      </c>
      <c r="CE69" s="299">
        <v>3163.2200000000003</v>
      </c>
      <c r="CF69" s="299">
        <v>-0.49</v>
      </c>
      <c r="CG69" s="299">
        <v>3162.7300000000005</v>
      </c>
      <c r="CH69" s="299">
        <v>3162.7300000000005</v>
      </c>
      <c r="CI69" s="299">
        <v>0.03</v>
      </c>
      <c r="CJ69" s="299">
        <v>3162.7600000000007</v>
      </c>
    </row>
    <row r="70" spans="1:88" ht="13.8">
      <c r="A70" s="252"/>
      <c r="B70" s="288">
        <v>2446</v>
      </c>
      <c r="C70" s="288"/>
      <c r="D70" s="248" t="s">
        <v>708</v>
      </c>
      <c r="E70" s="399" t="str">
        <f t="shared" si="2"/>
        <v>30EP2446</v>
      </c>
      <c r="F70" s="299">
        <f>F69+F68</f>
        <v>2635963.92</v>
      </c>
      <c r="G70" s="299">
        <f t="shared" ref="G70:BR70" si="3">G69+G68</f>
        <v>0</v>
      </c>
      <c r="H70" s="299">
        <f t="shared" si="3"/>
        <v>86758.12</v>
      </c>
      <c r="I70" s="299">
        <f t="shared" si="3"/>
        <v>0</v>
      </c>
      <c r="J70" s="299">
        <f t="shared" si="3"/>
        <v>224247</v>
      </c>
      <c r="K70" s="299">
        <f t="shared" si="3"/>
        <v>12123.86</v>
      </c>
      <c r="L70" s="299">
        <f t="shared" si="3"/>
        <v>3150</v>
      </c>
      <c r="M70" s="299">
        <f t="shared" si="3"/>
        <v>0</v>
      </c>
      <c r="N70" s="299">
        <f t="shared" si="3"/>
        <v>73270.64</v>
      </c>
      <c r="O70" s="299">
        <f t="shared" si="3"/>
        <v>44182.659999999996</v>
      </c>
      <c r="P70" s="299">
        <f t="shared" si="3"/>
        <v>2250</v>
      </c>
      <c r="Q70" s="299">
        <f t="shared" si="3"/>
        <v>5768.44</v>
      </c>
      <c r="R70" s="299">
        <f t="shared" si="3"/>
        <v>17138.419999999998</v>
      </c>
      <c r="S70" s="299">
        <f t="shared" si="3"/>
        <v>0</v>
      </c>
      <c r="T70" s="299">
        <f t="shared" si="3"/>
        <v>0</v>
      </c>
      <c r="U70" s="299">
        <f t="shared" si="3"/>
        <v>0</v>
      </c>
      <c r="V70" s="299">
        <f t="shared" si="3"/>
        <v>0</v>
      </c>
      <c r="W70" s="299">
        <f t="shared" si="3"/>
        <v>9760.6299999999992</v>
      </c>
      <c r="X70" s="299">
        <f t="shared" si="3"/>
        <v>72576</v>
      </c>
      <c r="Y70" s="299">
        <f t="shared" si="3"/>
        <v>3187189.6899999995</v>
      </c>
      <c r="Z70" s="299">
        <f t="shared" si="3"/>
        <v>1559916.85</v>
      </c>
      <c r="AA70" s="299">
        <f t="shared" si="3"/>
        <v>0</v>
      </c>
      <c r="AB70" s="299">
        <f t="shared" si="3"/>
        <v>642223.53</v>
      </c>
      <c r="AC70" s="299">
        <f t="shared" si="3"/>
        <v>22973.68</v>
      </c>
      <c r="AD70" s="299">
        <f t="shared" si="3"/>
        <v>214631.97999999998</v>
      </c>
      <c r="AE70" s="299">
        <f t="shared" si="3"/>
        <v>85988.109999999986</v>
      </c>
      <c r="AF70" s="299">
        <f t="shared" si="3"/>
        <v>93743.8</v>
      </c>
      <c r="AG70" s="299">
        <f t="shared" si="3"/>
        <v>12243.17</v>
      </c>
      <c r="AH70" s="299">
        <f t="shared" si="3"/>
        <v>7461.81</v>
      </c>
      <c r="AI70" s="299">
        <f t="shared" si="3"/>
        <v>11050</v>
      </c>
      <c r="AJ70" s="299">
        <f t="shared" si="3"/>
        <v>2493.75</v>
      </c>
      <c r="AK70" s="299">
        <f t="shared" si="3"/>
        <v>64389.03</v>
      </c>
      <c r="AL70" s="299">
        <f t="shared" si="3"/>
        <v>3630.75</v>
      </c>
      <c r="AM70" s="299">
        <f t="shared" si="3"/>
        <v>70651.88</v>
      </c>
      <c r="AN70" s="299">
        <f t="shared" si="3"/>
        <v>4937</v>
      </c>
      <c r="AO70" s="299">
        <f t="shared" si="3"/>
        <v>61898.43</v>
      </c>
      <c r="AP70" s="299">
        <f t="shared" si="3"/>
        <v>60060</v>
      </c>
      <c r="AQ70" s="299">
        <f t="shared" si="3"/>
        <v>19788.010000000002</v>
      </c>
      <c r="AR70" s="299">
        <f t="shared" si="3"/>
        <v>60901.11</v>
      </c>
      <c r="AS70" s="299">
        <f t="shared" si="3"/>
        <v>60948.270000000004</v>
      </c>
      <c r="AT70" s="299">
        <f t="shared" si="3"/>
        <v>0</v>
      </c>
      <c r="AU70" s="299">
        <f t="shared" si="3"/>
        <v>33640.81</v>
      </c>
      <c r="AV70" s="299">
        <f t="shared" si="3"/>
        <v>9179.3700000000008</v>
      </c>
      <c r="AW70" s="299">
        <f t="shared" si="3"/>
        <v>8659.0400000000009</v>
      </c>
      <c r="AX70" s="299">
        <f t="shared" si="3"/>
        <v>81173.66</v>
      </c>
      <c r="AY70" s="299">
        <f t="shared" si="3"/>
        <v>0</v>
      </c>
      <c r="AZ70" s="299">
        <f t="shared" si="3"/>
        <v>0</v>
      </c>
      <c r="BA70" s="299">
        <f t="shared" si="3"/>
        <v>52431.560000000005</v>
      </c>
      <c r="BB70" s="299">
        <f t="shared" si="3"/>
        <v>0</v>
      </c>
      <c r="BC70" s="299">
        <f t="shared" si="3"/>
        <v>0</v>
      </c>
      <c r="BD70" s="299">
        <f t="shared" si="3"/>
        <v>0</v>
      </c>
      <c r="BE70" s="299">
        <f t="shared" si="3"/>
        <v>3245015.6000000006</v>
      </c>
      <c r="BF70" s="299">
        <f t="shared" si="3"/>
        <v>-57825.910000000731</v>
      </c>
      <c r="BG70" s="299">
        <f t="shared" si="3"/>
        <v>830954.17999999993</v>
      </c>
      <c r="BH70" s="299">
        <f t="shared" si="3"/>
        <v>773128.2699999992</v>
      </c>
      <c r="BI70" s="299">
        <f t="shared" si="3"/>
        <v>0</v>
      </c>
      <c r="BJ70" s="299">
        <f t="shared" si="3"/>
        <v>0</v>
      </c>
      <c r="BK70" s="299">
        <f t="shared" si="3"/>
        <v>0</v>
      </c>
      <c r="BL70" s="299">
        <f t="shared" si="3"/>
        <v>0</v>
      </c>
      <c r="BM70" s="299">
        <f t="shared" si="3"/>
        <v>0</v>
      </c>
      <c r="BN70" s="299">
        <f t="shared" si="3"/>
        <v>0</v>
      </c>
      <c r="BO70" s="299">
        <f t="shared" si="3"/>
        <v>0</v>
      </c>
      <c r="BP70" s="299">
        <f t="shared" si="3"/>
        <v>0</v>
      </c>
      <c r="BQ70" s="299">
        <f t="shared" si="3"/>
        <v>0</v>
      </c>
      <c r="BR70" s="299">
        <f t="shared" si="3"/>
        <v>212000</v>
      </c>
      <c r="BS70" s="299">
        <f t="shared" ref="BS70:CJ70" si="4">BS69+BS68</f>
        <v>561128.26999999967</v>
      </c>
      <c r="BT70" s="299">
        <f t="shared" si="4"/>
        <v>0</v>
      </c>
      <c r="BU70" s="299">
        <f t="shared" si="4"/>
        <v>773128.26999999967</v>
      </c>
      <c r="BV70" s="299">
        <f t="shared" si="4"/>
        <v>12844.25</v>
      </c>
      <c r="BW70" s="299">
        <f t="shared" si="4"/>
        <v>0</v>
      </c>
      <c r="BX70" s="299">
        <f t="shared" si="4"/>
        <v>0</v>
      </c>
      <c r="BY70" s="299">
        <f t="shared" si="4"/>
        <v>12844.25</v>
      </c>
      <c r="BZ70" s="299">
        <f t="shared" si="4"/>
        <v>0</v>
      </c>
      <c r="CA70" s="299">
        <f t="shared" si="4"/>
        <v>2425.08</v>
      </c>
      <c r="CB70" s="299">
        <f t="shared" si="4"/>
        <v>0</v>
      </c>
      <c r="CC70" s="299">
        <f t="shared" si="4"/>
        <v>2742.95</v>
      </c>
      <c r="CD70" s="299">
        <f t="shared" si="4"/>
        <v>5168.03</v>
      </c>
      <c r="CE70" s="299">
        <f t="shared" si="4"/>
        <v>7676.22</v>
      </c>
      <c r="CF70" s="299">
        <f t="shared" si="4"/>
        <v>-0.4</v>
      </c>
      <c r="CG70" s="299">
        <f t="shared" si="4"/>
        <v>7675.8200000000006</v>
      </c>
      <c r="CH70" s="299">
        <f t="shared" si="4"/>
        <v>7675.8200000000006</v>
      </c>
      <c r="CI70" s="299">
        <f t="shared" si="4"/>
        <v>0.03</v>
      </c>
      <c r="CJ70" s="299">
        <f t="shared" si="4"/>
        <v>7675.85</v>
      </c>
    </row>
    <row r="71" spans="1:88" ht="13.8">
      <c r="A71" s="252" t="s">
        <v>1377</v>
      </c>
      <c r="B71" s="288">
        <v>3317</v>
      </c>
      <c r="C71" s="288" t="s">
        <v>773</v>
      </c>
      <c r="D71" s="248" t="s">
        <v>708</v>
      </c>
      <c r="E71" s="399" t="str">
        <f t="shared" si="2"/>
        <v>30EP3317</v>
      </c>
      <c r="F71" s="299">
        <v>800693.46</v>
      </c>
      <c r="G71" s="299">
        <v>0</v>
      </c>
      <c r="H71" s="299">
        <v>28145.64</v>
      </c>
      <c r="I71" s="299">
        <v>0</v>
      </c>
      <c r="J71" s="299">
        <v>38770</v>
      </c>
      <c r="K71" s="299">
        <v>386</v>
      </c>
      <c r="L71" s="299">
        <v>0</v>
      </c>
      <c r="M71" s="299">
        <v>2921.93</v>
      </c>
      <c r="N71" s="299">
        <v>10</v>
      </c>
      <c r="O71" s="299">
        <v>699.63</v>
      </c>
      <c r="P71" s="299">
        <v>920</v>
      </c>
      <c r="Q71" s="299">
        <v>0</v>
      </c>
      <c r="R71" s="299">
        <v>89530.14</v>
      </c>
      <c r="S71" s="299">
        <v>13236.78</v>
      </c>
      <c r="T71" s="299">
        <v>0</v>
      </c>
      <c r="U71" s="299">
        <v>0</v>
      </c>
      <c r="V71" s="299">
        <v>0</v>
      </c>
      <c r="W71" s="299">
        <v>79.38</v>
      </c>
      <c r="X71" s="299">
        <v>72533</v>
      </c>
      <c r="Y71" s="299">
        <v>1047925.9600000001</v>
      </c>
      <c r="Z71" s="299">
        <v>529963.06000000006</v>
      </c>
      <c r="AA71" s="299">
        <v>0</v>
      </c>
      <c r="AB71" s="299">
        <v>304479.7</v>
      </c>
      <c r="AC71" s="299">
        <v>26984.58</v>
      </c>
      <c r="AD71" s="299">
        <v>56601.58</v>
      </c>
      <c r="AE71" s="299">
        <v>48168.12</v>
      </c>
      <c r="AF71" s="299">
        <v>21408.31</v>
      </c>
      <c r="AG71" s="299">
        <v>404.5</v>
      </c>
      <c r="AH71" s="299">
        <v>4099.1099999999997</v>
      </c>
      <c r="AI71" s="299">
        <v>3675</v>
      </c>
      <c r="AJ71" s="299">
        <v>58.48</v>
      </c>
      <c r="AK71" s="299">
        <v>3994.24</v>
      </c>
      <c r="AL71" s="299">
        <v>348.95</v>
      </c>
      <c r="AM71" s="299">
        <v>4326.8</v>
      </c>
      <c r="AN71" s="299">
        <v>2479.88</v>
      </c>
      <c r="AO71" s="299">
        <v>22142.53</v>
      </c>
      <c r="AP71" s="299">
        <v>3143.7</v>
      </c>
      <c r="AQ71" s="299">
        <v>4339.9799999999996</v>
      </c>
      <c r="AR71" s="299">
        <v>25828.91</v>
      </c>
      <c r="AS71" s="299">
        <v>18191.349999999999</v>
      </c>
      <c r="AT71" s="299">
        <v>0</v>
      </c>
      <c r="AU71" s="299">
        <v>4935.8599999999997</v>
      </c>
      <c r="AV71" s="299">
        <v>3231.23</v>
      </c>
      <c r="AW71" s="299">
        <v>0</v>
      </c>
      <c r="AX71" s="299">
        <v>30555.7</v>
      </c>
      <c r="AY71" s="299">
        <v>0</v>
      </c>
      <c r="AZ71" s="299">
        <v>17919</v>
      </c>
      <c r="BA71" s="299">
        <v>12308.17</v>
      </c>
      <c r="BB71" s="299">
        <v>0</v>
      </c>
      <c r="BC71" s="299">
        <v>50.88</v>
      </c>
      <c r="BD71" s="299">
        <v>0</v>
      </c>
      <c r="BE71" s="299">
        <v>1149639.6199999999</v>
      </c>
      <c r="BF71" s="299">
        <v>-101713.6599999998</v>
      </c>
      <c r="BG71" s="299">
        <v>-112680.65</v>
      </c>
      <c r="BH71" s="299">
        <v>-214394.30999999979</v>
      </c>
      <c r="BI71" s="299">
        <v>0</v>
      </c>
      <c r="BJ71" s="299">
        <v>0</v>
      </c>
      <c r="BK71" s="299">
        <v>0</v>
      </c>
      <c r="BL71" s="299">
        <v>0</v>
      </c>
      <c r="BM71" s="299">
        <v>0</v>
      </c>
      <c r="BN71" s="299">
        <v>0</v>
      </c>
      <c r="BO71" s="299">
        <v>0</v>
      </c>
      <c r="BP71" s="299">
        <v>0</v>
      </c>
      <c r="BQ71" s="299">
        <v>0</v>
      </c>
      <c r="BR71" s="299">
        <v>0</v>
      </c>
      <c r="BS71" s="299">
        <v>-214394.30999999979</v>
      </c>
      <c r="BT71" s="299">
        <v>0</v>
      </c>
      <c r="BU71" s="299">
        <v>-214394.30999999979</v>
      </c>
      <c r="BV71" s="299">
        <v>0</v>
      </c>
      <c r="BW71" s="299">
        <v>0</v>
      </c>
      <c r="BX71" s="299">
        <v>0</v>
      </c>
      <c r="BY71" s="299">
        <v>0</v>
      </c>
      <c r="BZ71" s="299">
        <v>0</v>
      </c>
      <c r="CA71" s="299">
        <v>0</v>
      </c>
      <c r="CB71" s="299">
        <v>0</v>
      </c>
      <c r="CC71" s="299">
        <v>0</v>
      </c>
      <c r="CD71" s="299">
        <v>0</v>
      </c>
      <c r="CE71" s="299">
        <v>0</v>
      </c>
      <c r="CF71" s="299">
        <v>0</v>
      </c>
      <c r="CG71" s="299">
        <v>0</v>
      </c>
      <c r="CH71" s="299">
        <v>0</v>
      </c>
      <c r="CI71" s="299">
        <v>0</v>
      </c>
      <c r="CJ71" s="299">
        <v>0</v>
      </c>
    </row>
    <row r="72" spans="1:88" ht="13.8">
      <c r="A72" s="252" t="s">
        <v>1377</v>
      </c>
      <c r="B72" s="290">
        <v>2066</v>
      </c>
      <c r="C72" s="290" t="s">
        <v>774</v>
      </c>
      <c r="D72" s="248" t="s">
        <v>708</v>
      </c>
      <c r="E72" s="399" t="str">
        <f t="shared" si="2"/>
        <v>30EP2066</v>
      </c>
      <c r="F72" s="299">
        <v>1072973.95</v>
      </c>
      <c r="G72" s="299">
        <v>0</v>
      </c>
      <c r="H72" s="299">
        <v>27927.06</v>
      </c>
      <c r="I72" s="299">
        <v>0</v>
      </c>
      <c r="J72" s="299">
        <v>55806.79</v>
      </c>
      <c r="K72" s="299">
        <v>3421.93</v>
      </c>
      <c r="L72" s="299">
        <v>14470.71</v>
      </c>
      <c r="M72" s="299">
        <v>9500</v>
      </c>
      <c r="N72" s="299">
        <v>6710.03</v>
      </c>
      <c r="O72" s="299">
        <v>24800.77</v>
      </c>
      <c r="P72" s="299">
        <v>2250</v>
      </c>
      <c r="Q72" s="299">
        <v>39.520000000000003</v>
      </c>
      <c r="R72" s="299">
        <v>16310</v>
      </c>
      <c r="S72" s="299">
        <v>2927.92</v>
      </c>
      <c r="T72" s="299">
        <v>0</v>
      </c>
      <c r="U72" s="299">
        <v>0</v>
      </c>
      <c r="V72" s="299">
        <v>0</v>
      </c>
      <c r="W72" s="299">
        <v>1975.63</v>
      </c>
      <c r="X72" s="299">
        <v>54348</v>
      </c>
      <c r="Y72" s="299">
        <v>1293462.3099999998</v>
      </c>
      <c r="Z72" s="299">
        <v>651441.04</v>
      </c>
      <c r="AA72" s="299">
        <v>640</v>
      </c>
      <c r="AB72" s="299">
        <v>302822.15000000002</v>
      </c>
      <c r="AC72" s="299">
        <v>34123.26</v>
      </c>
      <c r="AD72" s="299">
        <v>40509.51</v>
      </c>
      <c r="AE72" s="299">
        <v>39062.93</v>
      </c>
      <c r="AF72" s="299">
        <v>27755.86</v>
      </c>
      <c r="AG72" s="299">
        <v>4651.5</v>
      </c>
      <c r="AH72" s="299">
        <v>7126.53</v>
      </c>
      <c r="AI72" s="299">
        <v>5300</v>
      </c>
      <c r="AJ72" s="299">
        <v>1858.13</v>
      </c>
      <c r="AK72" s="299">
        <v>3900.5</v>
      </c>
      <c r="AL72" s="299">
        <v>2375</v>
      </c>
      <c r="AM72" s="299">
        <v>2708.14</v>
      </c>
      <c r="AN72" s="299">
        <v>4708.7700000000004</v>
      </c>
      <c r="AO72" s="299">
        <v>30709.62</v>
      </c>
      <c r="AP72" s="299">
        <v>35763</v>
      </c>
      <c r="AQ72" s="299">
        <v>4344.84</v>
      </c>
      <c r="AR72" s="299">
        <v>61031.97</v>
      </c>
      <c r="AS72" s="299">
        <v>18962.34</v>
      </c>
      <c r="AT72" s="299">
        <v>0</v>
      </c>
      <c r="AU72" s="299">
        <v>6555.87</v>
      </c>
      <c r="AV72" s="299">
        <v>0</v>
      </c>
      <c r="AW72" s="299">
        <v>0</v>
      </c>
      <c r="AX72" s="299">
        <v>25039.33</v>
      </c>
      <c r="AY72" s="299">
        <v>0</v>
      </c>
      <c r="AZ72" s="299">
        <v>6922</v>
      </c>
      <c r="BA72" s="299">
        <v>7792.67</v>
      </c>
      <c r="BB72" s="299">
        <v>0</v>
      </c>
      <c r="BC72" s="299">
        <v>0</v>
      </c>
      <c r="BD72" s="299">
        <v>0</v>
      </c>
      <c r="BE72" s="299">
        <v>1326104.9600000004</v>
      </c>
      <c r="BF72" s="299">
        <v>-32642.650000000605</v>
      </c>
      <c r="BG72" s="299">
        <v>-19356.079999999998</v>
      </c>
      <c r="BH72" s="299">
        <v>-51998.730000000607</v>
      </c>
      <c r="BI72" s="299">
        <v>0</v>
      </c>
      <c r="BJ72" s="299">
        <v>113642.34</v>
      </c>
      <c r="BK72" s="299">
        <v>113642.34</v>
      </c>
      <c r="BL72" s="299">
        <v>106997.64</v>
      </c>
      <c r="BM72" s="299">
        <v>9234.32</v>
      </c>
      <c r="BN72" s="299">
        <v>116231.95999999999</v>
      </c>
      <c r="BO72" s="299">
        <v>-2589.6199999999953</v>
      </c>
      <c r="BP72" s="299">
        <v>-1448.0500000000002</v>
      </c>
      <c r="BQ72" s="299">
        <v>-4037.6699999999955</v>
      </c>
      <c r="BR72" s="299">
        <v>2547</v>
      </c>
      <c r="BS72" s="299">
        <v>-59041.410000000367</v>
      </c>
      <c r="BT72" s="299">
        <v>458.01000000000477</v>
      </c>
      <c r="BU72" s="299">
        <v>-56036.400000000365</v>
      </c>
      <c r="BV72" s="299">
        <v>6340</v>
      </c>
      <c r="BW72" s="299">
        <v>0</v>
      </c>
      <c r="BX72" s="299">
        <v>0</v>
      </c>
      <c r="BY72" s="299">
        <v>6340</v>
      </c>
      <c r="BZ72" s="299">
        <v>0</v>
      </c>
      <c r="CA72" s="299">
        <v>924</v>
      </c>
      <c r="CB72" s="299">
        <v>0</v>
      </c>
      <c r="CC72" s="299">
        <v>12485.16</v>
      </c>
      <c r="CD72" s="299">
        <v>13409.16</v>
      </c>
      <c r="CE72" s="299">
        <v>-7069.16</v>
      </c>
      <c r="CF72" s="299">
        <v>41723.199999999997</v>
      </c>
      <c r="CG72" s="299">
        <v>34654.039999999994</v>
      </c>
      <c r="CH72" s="299">
        <v>34654.039999999994</v>
      </c>
      <c r="CI72" s="299">
        <v>0</v>
      </c>
      <c r="CJ72" s="299">
        <v>34654.039999999994</v>
      </c>
    </row>
    <row r="73" spans="1:88" ht="13.8">
      <c r="A73" s="252" t="s">
        <v>1377</v>
      </c>
      <c r="B73" s="288">
        <v>2293</v>
      </c>
      <c r="C73" s="288" t="s">
        <v>775</v>
      </c>
      <c r="D73" s="248" t="s">
        <v>708</v>
      </c>
      <c r="E73" s="399" t="str">
        <f t="shared" si="2"/>
        <v>30EP2293</v>
      </c>
      <c r="F73" s="299">
        <v>1503406.79</v>
      </c>
      <c r="G73" s="299">
        <v>0</v>
      </c>
      <c r="H73" s="299">
        <v>128432.24</v>
      </c>
      <c r="I73" s="299">
        <v>0</v>
      </c>
      <c r="J73" s="299">
        <v>75720</v>
      </c>
      <c r="K73" s="299">
        <v>2932.57</v>
      </c>
      <c r="L73" s="299">
        <v>0</v>
      </c>
      <c r="M73" s="299">
        <v>33730.769999999997</v>
      </c>
      <c r="N73" s="299">
        <v>5682.47</v>
      </c>
      <c r="O73" s="299">
        <v>15232.71</v>
      </c>
      <c r="P73" s="299">
        <v>6777</v>
      </c>
      <c r="Q73" s="299">
        <v>0</v>
      </c>
      <c r="R73" s="299">
        <v>32783.620000000003</v>
      </c>
      <c r="S73" s="299">
        <v>18380.12</v>
      </c>
      <c r="T73" s="299">
        <v>0</v>
      </c>
      <c r="U73" s="299">
        <v>0</v>
      </c>
      <c r="V73" s="299">
        <v>0</v>
      </c>
      <c r="W73" s="299">
        <v>-468.12</v>
      </c>
      <c r="X73" s="299">
        <v>49246</v>
      </c>
      <c r="Y73" s="299">
        <v>1871856.1700000002</v>
      </c>
      <c r="Z73" s="299">
        <v>906011.17</v>
      </c>
      <c r="AA73" s="299">
        <v>2541.9299999999998</v>
      </c>
      <c r="AB73" s="299">
        <v>470777.92</v>
      </c>
      <c r="AC73" s="299">
        <v>50804.44</v>
      </c>
      <c r="AD73" s="299">
        <v>134362.5</v>
      </c>
      <c r="AE73" s="299">
        <v>0</v>
      </c>
      <c r="AF73" s="299">
        <v>0</v>
      </c>
      <c r="AG73" s="299">
        <v>6393.54</v>
      </c>
      <c r="AH73" s="299">
        <v>3776.97</v>
      </c>
      <c r="AI73" s="299">
        <v>7400</v>
      </c>
      <c r="AJ73" s="299">
        <v>82.01</v>
      </c>
      <c r="AK73" s="299">
        <v>9687.98</v>
      </c>
      <c r="AL73" s="299">
        <v>3266.44</v>
      </c>
      <c r="AM73" s="299">
        <v>2824.44</v>
      </c>
      <c r="AN73" s="299">
        <v>5765.08</v>
      </c>
      <c r="AO73" s="299">
        <v>40462.01</v>
      </c>
      <c r="AP73" s="299">
        <v>52143</v>
      </c>
      <c r="AQ73" s="299">
        <v>7149.62</v>
      </c>
      <c r="AR73" s="299">
        <v>62186.59</v>
      </c>
      <c r="AS73" s="299">
        <v>36416.03</v>
      </c>
      <c r="AT73" s="299">
        <v>0</v>
      </c>
      <c r="AU73" s="299">
        <v>7498.98</v>
      </c>
      <c r="AV73" s="299">
        <v>6190.02</v>
      </c>
      <c r="AW73" s="299">
        <v>0</v>
      </c>
      <c r="AX73" s="299">
        <v>64654.69</v>
      </c>
      <c r="AY73" s="299">
        <v>16541.79</v>
      </c>
      <c r="AZ73" s="299">
        <v>13484.41</v>
      </c>
      <c r="BA73" s="299">
        <v>15716.07</v>
      </c>
      <c r="BB73" s="299">
        <v>0</v>
      </c>
      <c r="BC73" s="299">
        <v>0</v>
      </c>
      <c r="BD73" s="299">
        <v>0</v>
      </c>
      <c r="BE73" s="299">
        <v>1926137.6300000001</v>
      </c>
      <c r="BF73" s="299">
        <v>-54281.459999999963</v>
      </c>
      <c r="BG73" s="299">
        <v>157017.51999999999</v>
      </c>
      <c r="BH73" s="299">
        <v>102736.06000000003</v>
      </c>
      <c r="BI73" s="299">
        <v>0</v>
      </c>
      <c r="BJ73" s="299">
        <v>0</v>
      </c>
      <c r="BK73" s="299">
        <v>0</v>
      </c>
      <c r="BL73" s="299">
        <v>0</v>
      </c>
      <c r="BM73" s="299">
        <v>0</v>
      </c>
      <c r="BN73" s="299">
        <v>0</v>
      </c>
      <c r="BO73" s="299">
        <v>0</v>
      </c>
      <c r="BP73" s="299">
        <v>0</v>
      </c>
      <c r="BQ73" s="299">
        <v>0</v>
      </c>
      <c r="BR73" s="299">
        <v>243.97</v>
      </c>
      <c r="BS73" s="299">
        <v>102492.09000000003</v>
      </c>
      <c r="BT73" s="299">
        <v>0</v>
      </c>
      <c r="BU73" s="299">
        <v>102736.06000000003</v>
      </c>
      <c r="BV73" s="299">
        <v>7639.38</v>
      </c>
      <c r="BW73" s="299">
        <v>0</v>
      </c>
      <c r="BX73" s="299">
        <v>0</v>
      </c>
      <c r="BY73" s="299">
        <v>7639.38</v>
      </c>
      <c r="BZ73" s="299">
        <v>0</v>
      </c>
      <c r="CA73" s="299">
        <v>0</v>
      </c>
      <c r="CB73" s="299">
        <v>0</v>
      </c>
      <c r="CC73" s="299">
        <v>10946.44</v>
      </c>
      <c r="CD73" s="299">
        <v>10946.44</v>
      </c>
      <c r="CE73" s="299">
        <v>-3307.0600000000004</v>
      </c>
      <c r="CF73" s="299">
        <v>30626.09</v>
      </c>
      <c r="CG73" s="299">
        <v>27319.03</v>
      </c>
      <c r="CH73" s="299">
        <v>27319.03</v>
      </c>
      <c r="CI73" s="299">
        <v>0</v>
      </c>
      <c r="CJ73" s="299">
        <v>27319.03</v>
      </c>
    </row>
    <row r="74" spans="1:88" ht="13.8">
      <c r="A74" s="252" t="s">
        <v>1377</v>
      </c>
      <c r="B74" s="288">
        <v>2074</v>
      </c>
      <c r="C74" s="288" t="s">
        <v>776</v>
      </c>
      <c r="D74" s="248" t="s">
        <v>708</v>
      </c>
      <c r="E74" s="399" t="str">
        <f t="shared" si="2"/>
        <v>30EP2074</v>
      </c>
      <c r="F74" s="299">
        <v>2042871.8</v>
      </c>
      <c r="G74" s="299">
        <v>0</v>
      </c>
      <c r="H74" s="299">
        <v>88259.199999999997</v>
      </c>
      <c r="I74" s="299">
        <v>0</v>
      </c>
      <c r="J74" s="299">
        <v>147638</v>
      </c>
      <c r="K74" s="299">
        <v>42418.19</v>
      </c>
      <c r="L74" s="299">
        <v>0</v>
      </c>
      <c r="M74" s="299">
        <v>21257.14</v>
      </c>
      <c r="N74" s="299">
        <v>37149.96</v>
      </c>
      <c r="O74" s="299">
        <v>26233.65</v>
      </c>
      <c r="P74" s="299">
        <v>4425.2</v>
      </c>
      <c r="Q74" s="299">
        <v>0</v>
      </c>
      <c r="R74" s="299">
        <v>45756.1</v>
      </c>
      <c r="S74" s="299">
        <v>35</v>
      </c>
      <c r="T74" s="299">
        <v>0</v>
      </c>
      <c r="U74" s="299">
        <v>0</v>
      </c>
      <c r="V74" s="299">
        <v>0</v>
      </c>
      <c r="W74" s="299">
        <v>5.63</v>
      </c>
      <c r="X74" s="299">
        <v>47274</v>
      </c>
      <c r="Y74" s="299">
        <v>2503323.87</v>
      </c>
      <c r="Z74" s="299">
        <v>1159287.94</v>
      </c>
      <c r="AA74" s="299">
        <v>0</v>
      </c>
      <c r="AB74" s="299">
        <v>504049.32</v>
      </c>
      <c r="AC74" s="299">
        <v>108635.56</v>
      </c>
      <c r="AD74" s="299">
        <v>149987.07</v>
      </c>
      <c r="AE74" s="299">
        <v>0</v>
      </c>
      <c r="AF74" s="299">
        <v>66173.009999999995</v>
      </c>
      <c r="AG74" s="299">
        <v>8682.6</v>
      </c>
      <c r="AH74" s="299">
        <v>10627.96</v>
      </c>
      <c r="AI74" s="299">
        <v>10000</v>
      </c>
      <c r="AJ74" s="299">
        <v>500</v>
      </c>
      <c r="AK74" s="299">
        <v>14865.38</v>
      </c>
      <c r="AL74" s="299">
        <v>2762.2</v>
      </c>
      <c r="AM74" s="299">
        <v>6577.41</v>
      </c>
      <c r="AN74" s="299">
        <v>6251.74</v>
      </c>
      <c r="AO74" s="299">
        <v>43159.35</v>
      </c>
      <c r="AP74" s="299">
        <v>84630</v>
      </c>
      <c r="AQ74" s="299">
        <v>9630.4</v>
      </c>
      <c r="AR74" s="299">
        <v>81919.62</v>
      </c>
      <c r="AS74" s="299">
        <v>23800.9</v>
      </c>
      <c r="AT74" s="299">
        <v>0</v>
      </c>
      <c r="AU74" s="299">
        <v>21942.26</v>
      </c>
      <c r="AV74" s="299">
        <v>7797.82</v>
      </c>
      <c r="AW74" s="299">
        <v>2562.8200000000002</v>
      </c>
      <c r="AX74" s="299">
        <v>131004.94</v>
      </c>
      <c r="AY74" s="299">
        <v>17320</v>
      </c>
      <c r="AZ74" s="299">
        <v>58722.61</v>
      </c>
      <c r="BA74" s="299">
        <v>18194.73</v>
      </c>
      <c r="BB74" s="299">
        <v>0</v>
      </c>
      <c r="BC74" s="299">
        <v>0</v>
      </c>
      <c r="BD74" s="299">
        <v>0</v>
      </c>
      <c r="BE74" s="299">
        <v>2549085.6399999992</v>
      </c>
      <c r="BF74" s="299">
        <v>-45761.769999999087</v>
      </c>
      <c r="BG74" s="299">
        <v>180314.9</v>
      </c>
      <c r="BH74" s="299">
        <v>134553.13000000091</v>
      </c>
      <c r="BI74" s="299">
        <v>106681.8</v>
      </c>
      <c r="BJ74" s="299">
        <v>5551.77</v>
      </c>
      <c r="BK74" s="299">
        <v>112233.57</v>
      </c>
      <c r="BL74" s="299">
        <v>117461.46</v>
      </c>
      <c r="BM74" s="299">
        <v>8700.2800000000007</v>
      </c>
      <c r="BN74" s="299">
        <v>126161.74</v>
      </c>
      <c r="BO74" s="299">
        <v>-13928.169999999998</v>
      </c>
      <c r="BP74" s="299">
        <v>-3474.11</v>
      </c>
      <c r="BQ74" s="299">
        <v>-17402.28</v>
      </c>
      <c r="BR74" s="299">
        <v>48241.46</v>
      </c>
      <c r="BS74" s="299">
        <v>84393.350000001374</v>
      </c>
      <c r="BT74" s="299">
        <v>-15483.959999999985</v>
      </c>
      <c r="BU74" s="299">
        <v>117150.85000000137</v>
      </c>
      <c r="BV74" s="299">
        <v>8601.25</v>
      </c>
      <c r="BW74" s="299">
        <v>0</v>
      </c>
      <c r="BX74" s="299">
        <v>0</v>
      </c>
      <c r="BY74" s="299">
        <v>8601.25</v>
      </c>
      <c r="BZ74" s="299">
        <v>0</v>
      </c>
      <c r="CA74" s="299">
        <v>8257.7800000000007</v>
      </c>
      <c r="CB74" s="299">
        <v>0</v>
      </c>
      <c r="CC74" s="299">
        <v>0</v>
      </c>
      <c r="CD74" s="299">
        <v>8257.7800000000007</v>
      </c>
      <c r="CE74" s="299">
        <v>343.46999999999935</v>
      </c>
      <c r="CF74" s="299">
        <v>8768.14</v>
      </c>
      <c r="CG74" s="299">
        <v>9111.6099999999988</v>
      </c>
      <c r="CH74" s="299">
        <v>9111.6099999999988</v>
      </c>
      <c r="CI74" s="299">
        <v>0</v>
      </c>
      <c r="CJ74" s="299">
        <v>9111.6099999999988</v>
      </c>
    </row>
    <row r="75" spans="1:88" ht="13.8">
      <c r="A75" s="252" t="s">
        <v>1377</v>
      </c>
      <c r="B75" s="288">
        <v>2075</v>
      </c>
      <c r="C75" s="288" t="s">
        <v>777</v>
      </c>
      <c r="D75" s="248" t="s">
        <v>708</v>
      </c>
      <c r="E75" s="399" t="str">
        <f t="shared" si="2"/>
        <v>30EP2075</v>
      </c>
      <c r="F75" s="299">
        <v>1310319.44</v>
      </c>
      <c r="G75" s="299">
        <v>0</v>
      </c>
      <c r="H75" s="299">
        <v>137073.28</v>
      </c>
      <c r="I75" s="299">
        <v>0</v>
      </c>
      <c r="J75" s="299">
        <v>119750</v>
      </c>
      <c r="K75" s="299">
        <v>856.93</v>
      </c>
      <c r="L75" s="299">
        <v>33915.75</v>
      </c>
      <c r="M75" s="299">
        <v>18000</v>
      </c>
      <c r="N75" s="299">
        <v>7281.35</v>
      </c>
      <c r="O75" s="299">
        <v>8034.9</v>
      </c>
      <c r="P75" s="299">
        <v>4500</v>
      </c>
      <c r="Q75" s="299">
        <v>0</v>
      </c>
      <c r="R75" s="299">
        <v>13500.29</v>
      </c>
      <c r="S75" s="299">
        <v>1950.41</v>
      </c>
      <c r="T75" s="299">
        <v>0</v>
      </c>
      <c r="U75" s="299">
        <v>0</v>
      </c>
      <c r="V75" s="299">
        <v>0</v>
      </c>
      <c r="W75" s="299">
        <v>-161.87</v>
      </c>
      <c r="X75" s="299">
        <v>41846</v>
      </c>
      <c r="Y75" s="299">
        <v>1696866.4799999997</v>
      </c>
      <c r="Z75" s="299">
        <v>661108.91</v>
      </c>
      <c r="AA75" s="299">
        <v>0</v>
      </c>
      <c r="AB75" s="299">
        <v>487990.83</v>
      </c>
      <c r="AC75" s="299">
        <v>58280.81</v>
      </c>
      <c r="AD75" s="299">
        <v>87963.87</v>
      </c>
      <c r="AE75" s="299">
        <v>0</v>
      </c>
      <c r="AF75" s="299">
        <v>37445.72</v>
      </c>
      <c r="AG75" s="299">
        <v>6740.16</v>
      </c>
      <c r="AH75" s="299">
        <v>3670.56</v>
      </c>
      <c r="AI75" s="299">
        <v>5850</v>
      </c>
      <c r="AJ75" s="299">
        <v>620</v>
      </c>
      <c r="AK75" s="299">
        <v>7980.75</v>
      </c>
      <c r="AL75" s="299">
        <v>516.41</v>
      </c>
      <c r="AM75" s="299">
        <v>3525</v>
      </c>
      <c r="AN75" s="299">
        <v>6962.56</v>
      </c>
      <c r="AO75" s="299">
        <v>56340.71</v>
      </c>
      <c r="AP75" s="299">
        <v>33852</v>
      </c>
      <c r="AQ75" s="299">
        <v>5413.91</v>
      </c>
      <c r="AR75" s="299">
        <v>72453</v>
      </c>
      <c r="AS75" s="299">
        <v>28900.310000000005</v>
      </c>
      <c r="AT75" s="299">
        <v>0</v>
      </c>
      <c r="AU75" s="299">
        <v>6634.31</v>
      </c>
      <c r="AV75" s="299">
        <v>4815.8999999999996</v>
      </c>
      <c r="AW75" s="299">
        <v>0</v>
      </c>
      <c r="AX75" s="299">
        <v>48273.8</v>
      </c>
      <c r="AY75" s="299">
        <v>18189.009999999998</v>
      </c>
      <c r="AZ75" s="299">
        <v>5281</v>
      </c>
      <c r="BA75" s="299">
        <v>10472.61</v>
      </c>
      <c r="BB75" s="299">
        <v>0</v>
      </c>
      <c r="BC75" s="299">
        <v>0</v>
      </c>
      <c r="BD75" s="299">
        <v>0</v>
      </c>
      <c r="BE75" s="299">
        <v>1659282.14</v>
      </c>
      <c r="BF75" s="299">
        <v>37584.339999999851</v>
      </c>
      <c r="BG75" s="299">
        <v>87924.78</v>
      </c>
      <c r="BH75" s="299">
        <v>125509.11999999985</v>
      </c>
      <c r="BI75" s="299">
        <v>59105.7</v>
      </c>
      <c r="BJ75" s="299">
        <v>6100.84</v>
      </c>
      <c r="BK75" s="299">
        <v>65206.539999999994</v>
      </c>
      <c r="BL75" s="299">
        <v>57720.45</v>
      </c>
      <c r="BM75" s="299">
        <v>21457.34</v>
      </c>
      <c r="BN75" s="299">
        <v>79177.789999999994</v>
      </c>
      <c r="BO75" s="299">
        <v>-13971.25</v>
      </c>
      <c r="BP75" s="299">
        <v>29663.61</v>
      </c>
      <c r="BQ75" s="299">
        <v>15692.36</v>
      </c>
      <c r="BR75" s="299">
        <v>40948.720000000001</v>
      </c>
      <c r="BS75" s="299">
        <v>84560.399999999849</v>
      </c>
      <c r="BT75" s="299">
        <v>15692.36</v>
      </c>
      <c r="BU75" s="299">
        <v>141201.47999999986</v>
      </c>
      <c r="BV75" s="299">
        <v>6711.25</v>
      </c>
      <c r="BW75" s="299">
        <v>0</v>
      </c>
      <c r="BX75" s="299">
        <v>0</v>
      </c>
      <c r="BY75" s="299">
        <v>6711.25</v>
      </c>
      <c r="BZ75" s="299">
        <v>0</v>
      </c>
      <c r="CA75" s="299">
        <v>0</v>
      </c>
      <c r="CB75" s="299">
        <v>0</v>
      </c>
      <c r="CC75" s="299">
        <v>0</v>
      </c>
      <c r="CD75" s="299">
        <v>0</v>
      </c>
      <c r="CE75" s="299">
        <v>6711.25</v>
      </c>
      <c r="CF75" s="299">
        <v>5566.64</v>
      </c>
      <c r="CG75" s="299">
        <v>12277.89</v>
      </c>
      <c r="CH75" s="299">
        <v>12277.89</v>
      </c>
      <c r="CI75" s="299">
        <v>0</v>
      </c>
      <c r="CJ75" s="299">
        <v>12277.89</v>
      </c>
    </row>
    <row r="76" spans="1:88" ht="13.8">
      <c r="A76" s="252" t="s">
        <v>1377</v>
      </c>
      <c r="B76" s="288">
        <v>2121</v>
      </c>
      <c r="C76" s="288" t="s">
        <v>778</v>
      </c>
      <c r="D76" s="248" t="s">
        <v>708</v>
      </c>
      <c r="E76" s="399" t="str">
        <f t="shared" si="2"/>
        <v>30EP2121</v>
      </c>
      <c r="F76" s="299">
        <v>2042614.52</v>
      </c>
      <c r="G76" s="299">
        <v>0</v>
      </c>
      <c r="H76" s="299">
        <v>221201.06</v>
      </c>
      <c r="I76" s="299">
        <v>0</v>
      </c>
      <c r="J76" s="299">
        <v>90620</v>
      </c>
      <c r="K76" s="299">
        <v>4027.93</v>
      </c>
      <c r="L76" s="299">
        <v>0</v>
      </c>
      <c r="M76" s="299">
        <v>61126.720000000001</v>
      </c>
      <c r="N76" s="299">
        <v>12408.17</v>
      </c>
      <c r="O76" s="299">
        <v>47024.54</v>
      </c>
      <c r="P76" s="299">
        <v>0</v>
      </c>
      <c r="Q76" s="299">
        <v>11799.84</v>
      </c>
      <c r="R76" s="299">
        <v>38074.18</v>
      </c>
      <c r="S76" s="299">
        <v>10595.79</v>
      </c>
      <c r="T76" s="299">
        <v>0</v>
      </c>
      <c r="U76" s="299">
        <v>0</v>
      </c>
      <c r="V76" s="299">
        <v>0</v>
      </c>
      <c r="W76" s="299">
        <v>-230</v>
      </c>
      <c r="X76" s="299">
        <v>84890</v>
      </c>
      <c r="Y76" s="299">
        <v>2624152.7500000005</v>
      </c>
      <c r="Z76" s="299">
        <v>1216111.1200000001</v>
      </c>
      <c r="AA76" s="299">
        <v>19008.62</v>
      </c>
      <c r="AB76" s="299">
        <v>673434.53</v>
      </c>
      <c r="AC76" s="299">
        <v>78364.98</v>
      </c>
      <c r="AD76" s="299">
        <v>144559.29</v>
      </c>
      <c r="AE76" s="299">
        <v>0</v>
      </c>
      <c r="AF76" s="299">
        <v>8331.25</v>
      </c>
      <c r="AG76" s="299">
        <v>87595.21</v>
      </c>
      <c r="AH76" s="299">
        <v>4830.12</v>
      </c>
      <c r="AI76" s="299">
        <v>10000</v>
      </c>
      <c r="AJ76" s="299">
        <v>3593.75</v>
      </c>
      <c r="AK76" s="299">
        <v>34581.64</v>
      </c>
      <c r="AL76" s="299">
        <v>8575.1299999999992</v>
      </c>
      <c r="AM76" s="299">
        <v>7948.15</v>
      </c>
      <c r="AN76" s="299">
        <v>7891.32</v>
      </c>
      <c r="AO76" s="299">
        <v>59211.03</v>
      </c>
      <c r="AP76" s="299">
        <v>60060</v>
      </c>
      <c r="AQ76" s="299">
        <v>27553.45</v>
      </c>
      <c r="AR76" s="299">
        <v>68755.149999999994</v>
      </c>
      <c r="AS76" s="299">
        <v>53397.61</v>
      </c>
      <c r="AT76" s="299">
        <v>0</v>
      </c>
      <c r="AU76" s="299">
        <v>11234.55</v>
      </c>
      <c r="AV76" s="299">
        <v>8499.7800000000007</v>
      </c>
      <c r="AW76" s="299">
        <v>616.70000000000005</v>
      </c>
      <c r="AX76" s="299">
        <v>124370.15</v>
      </c>
      <c r="AY76" s="299">
        <v>7304.32</v>
      </c>
      <c r="AZ76" s="299">
        <v>27552.71</v>
      </c>
      <c r="BA76" s="299">
        <v>20725.11</v>
      </c>
      <c r="BB76" s="299">
        <v>0</v>
      </c>
      <c r="BC76" s="299">
        <v>0</v>
      </c>
      <c r="BD76" s="299">
        <v>0</v>
      </c>
      <c r="BE76" s="299">
        <v>2774105.669999999</v>
      </c>
      <c r="BF76" s="299">
        <v>-149952.91999999853</v>
      </c>
      <c r="BG76" s="299">
        <v>16146.63</v>
      </c>
      <c r="BH76" s="299">
        <v>-133806.28999999852</v>
      </c>
      <c r="BI76" s="299">
        <v>0</v>
      </c>
      <c r="BJ76" s="299">
        <v>0</v>
      </c>
      <c r="BK76" s="299">
        <v>0</v>
      </c>
      <c r="BL76" s="299">
        <v>0</v>
      </c>
      <c r="BM76" s="299">
        <v>0</v>
      </c>
      <c r="BN76" s="299">
        <v>0</v>
      </c>
      <c r="BO76" s="299">
        <v>0</v>
      </c>
      <c r="BP76" s="299">
        <v>0</v>
      </c>
      <c r="BQ76" s="299">
        <v>0</v>
      </c>
      <c r="BR76" s="299">
        <v>0</v>
      </c>
      <c r="BS76" s="299">
        <v>-133806.28999999899</v>
      </c>
      <c r="BT76" s="299">
        <v>0</v>
      </c>
      <c r="BU76" s="299">
        <v>-133806.28999999899</v>
      </c>
      <c r="BV76" s="299">
        <v>8545</v>
      </c>
      <c r="BW76" s="299">
        <v>0</v>
      </c>
      <c r="BX76" s="299">
        <v>0</v>
      </c>
      <c r="BY76" s="299">
        <v>8545</v>
      </c>
      <c r="BZ76" s="299">
        <v>0</v>
      </c>
      <c r="CA76" s="299">
        <v>10149.75</v>
      </c>
      <c r="CB76" s="299">
        <v>0</v>
      </c>
      <c r="CC76" s="299">
        <v>7973.15</v>
      </c>
      <c r="CD76" s="299">
        <v>18122.900000000001</v>
      </c>
      <c r="CE76" s="299">
        <v>-9577.9000000000015</v>
      </c>
      <c r="CF76" s="299">
        <v>18251.22</v>
      </c>
      <c r="CG76" s="299">
        <v>8673.32</v>
      </c>
      <c r="CH76" s="299">
        <v>8673.32</v>
      </c>
      <c r="CI76" s="299">
        <v>0</v>
      </c>
      <c r="CJ76" s="299">
        <v>8673.32</v>
      </c>
    </row>
    <row r="77" spans="1:88" ht="13.8">
      <c r="A77" s="252" t="s">
        <v>1377</v>
      </c>
      <c r="B77" s="288">
        <v>2028</v>
      </c>
      <c r="C77" s="288" t="s">
        <v>779</v>
      </c>
      <c r="D77" s="248" t="s">
        <v>708</v>
      </c>
      <c r="E77" s="399" t="str">
        <f t="shared" si="2"/>
        <v>30EP2028</v>
      </c>
      <c r="F77" s="299">
        <v>2060002.02</v>
      </c>
      <c r="G77" s="299">
        <v>0</v>
      </c>
      <c r="H77" s="299">
        <v>185983.55</v>
      </c>
      <c r="I77" s="299">
        <v>0</v>
      </c>
      <c r="J77" s="299">
        <v>136470</v>
      </c>
      <c r="K77" s="299">
        <v>5020</v>
      </c>
      <c r="L77" s="299">
        <v>0</v>
      </c>
      <c r="M77" s="299">
        <v>2077.5</v>
      </c>
      <c r="N77" s="299">
        <v>15357.91</v>
      </c>
      <c r="O77" s="299">
        <v>38966.089999999997</v>
      </c>
      <c r="P77" s="299">
        <v>13821.2</v>
      </c>
      <c r="Q77" s="299">
        <v>0</v>
      </c>
      <c r="R77" s="299">
        <v>122911.19</v>
      </c>
      <c r="S77" s="299">
        <v>5026</v>
      </c>
      <c r="T77" s="299">
        <v>0</v>
      </c>
      <c r="U77" s="299">
        <v>0</v>
      </c>
      <c r="V77" s="299">
        <v>0</v>
      </c>
      <c r="W77" s="299">
        <v>5484.38</v>
      </c>
      <c r="X77" s="299">
        <v>77181</v>
      </c>
      <c r="Y77" s="299">
        <v>2668300.84</v>
      </c>
      <c r="Z77" s="299">
        <v>1224212.1000000001</v>
      </c>
      <c r="AA77" s="299">
        <v>3012.59</v>
      </c>
      <c r="AB77" s="299">
        <v>566496.31999999995</v>
      </c>
      <c r="AC77" s="299">
        <v>67507.59</v>
      </c>
      <c r="AD77" s="299">
        <v>135269.47</v>
      </c>
      <c r="AE77" s="299">
        <v>0</v>
      </c>
      <c r="AF77" s="299">
        <v>132080.22</v>
      </c>
      <c r="AG77" s="299">
        <v>11810.1</v>
      </c>
      <c r="AH77" s="299">
        <v>8887.64</v>
      </c>
      <c r="AI77" s="299">
        <v>10075</v>
      </c>
      <c r="AJ77" s="299">
        <v>92.88</v>
      </c>
      <c r="AK77" s="299">
        <v>21098.07</v>
      </c>
      <c r="AL77" s="299">
        <v>987.35</v>
      </c>
      <c r="AM77" s="299">
        <v>8319.27</v>
      </c>
      <c r="AN77" s="299">
        <v>6988.1</v>
      </c>
      <c r="AO77" s="299">
        <v>58490.26</v>
      </c>
      <c r="AP77" s="299">
        <v>71526</v>
      </c>
      <c r="AQ77" s="299">
        <v>7848.76</v>
      </c>
      <c r="AR77" s="299">
        <v>104246.39</v>
      </c>
      <c r="AS77" s="299">
        <v>23421.57</v>
      </c>
      <c r="AT77" s="299">
        <v>0</v>
      </c>
      <c r="AU77" s="299">
        <v>17855.400000000001</v>
      </c>
      <c r="AV77" s="299">
        <v>8292.85</v>
      </c>
      <c r="AW77" s="299">
        <v>8145.77</v>
      </c>
      <c r="AX77" s="299">
        <v>125112.71</v>
      </c>
      <c r="AY77" s="299">
        <v>22003.24</v>
      </c>
      <c r="AZ77" s="299">
        <v>11550.39</v>
      </c>
      <c r="BA77" s="299">
        <v>15875.22</v>
      </c>
      <c r="BB77" s="299">
        <v>0</v>
      </c>
      <c r="BC77" s="299">
        <v>0</v>
      </c>
      <c r="BD77" s="299">
        <v>0</v>
      </c>
      <c r="BE77" s="299">
        <v>2671205.2600000007</v>
      </c>
      <c r="BF77" s="299">
        <v>-2904.4200000008568</v>
      </c>
      <c r="BG77" s="299">
        <v>72027.149999999994</v>
      </c>
      <c r="BH77" s="299">
        <v>69122.729999999137</v>
      </c>
      <c r="BI77" s="299">
        <v>0</v>
      </c>
      <c r="BJ77" s="299">
        <v>0</v>
      </c>
      <c r="BK77" s="299">
        <v>0</v>
      </c>
      <c r="BL77" s="299">
        <v>0</v>
      </c>
      <c r="BM77" s="299">
        <v>0</v>
      </c>
      <c r="BN77" s="299">
        <v>0</v>
      </c>
      <c r="BO77" s="299">
        <v>0</v>
      </c>
      <c r="BP77" s="299">
        <v>0</v>
      </c>
      <c r="BQ77" s="299">
        <v>0</v>
      </c>
      <c r="BR77" s="299">
        <v>0</v>
      </c>
      <c r="BS77" s="299">
        <v>69122.729999999137</v>
      </c>
      <c r="BT77" s="299">
        <v>0</v>
      </c>
      <c r="BU77" s="299">
        <v>69122.729999999137</v>
      </c>
      <c r="BV77" s="299">
        <v>8522.5</v>
      </c>
      <c r="BW77" s="299">
        <v>10326</v>
      </c>
      <c r="BX77" s="299">
        <v>0</v>
      </c>
      <c r="BY77" s="299">
        <v>18848.5</v>
      </c>
      <c r="BZ77" s="299">
        <v>0</v>
      </c>
      <c r="CA77" s="299">
        <v>10393.5</v>
      </c>
      <c r="CB77" s="299">
        <v>0</v>
      </c>
      <c r="CC77" s="299">
        <v>3819</v>
      </c>
      <c r="CD77" s="299">
        <v>14212.5</v>
      </c>
      <c r="CE77" s="299">
        <v>4636</v>
      </c>
      <c r="CF77" s="299">
        <v>0.3</v>
      </c>
      <c r="CG77" s="299">
        <v>4636.3</v>
      </c>
      <c r="CH77" s="299">
        <v>610.29999999999995</v>
      </c>
      <c r="CI77" s="299">
        <v>4026</v>
      </c>
      <c r="CJ77" s="299">
        <v>4636.3</v>
      </c>
    </row>
    <row r="78" spans="1:88" ht="13.8">
      <c r="A78" s="252" t="s">
        <v>1377</v>
      </c>
      <c r="B78" s="288">
        <v>2029</v>
      </c>
      <c r="C78" s="288" t="s">
        <v>780</v>
      </c>
      <c r="D78" s="248" t="s">
        <v>708</v>
      </c>
      <c r="E78" s="399" t="str">
        <f t="shared" si="2"/>
        <v>30EP2029</v>
      </c>
      <c r="F78" s="299">
        <v>1105671.77</v>
      </c>
      <c r="G78" s="299">
        <v>0</v>
      </c>
      <c r="H78" s="299">
        <v>45058.16</v>
      </c>
      <c r="I78" s="299">
        <v>0</v>
      </c>
      <c r="J78" s="299">
        <v>55850</v>
      </c>
      <c r="K78" s="299">
        <v>1623</v>
      </c>
      <c r="L78" s="299">
        <v>0</v>
      </c>
      <c r="M78" s="299">
        <v>3469</v>
      </c>
      <c r="N78" s="299">
        <v>63614.63</v>
      </c>
      <c r="O78" s="299">
        <v>29094.69</v>
      </c>
      <c r="P78" s="299">
        <v>0</v>
      </c>
      <c r="Q78" s="299">
        <v>619.29999999999995</v>
      </c>
      <c r="R78" s="299">
        <v>34857.94</v>
      </c>
      <c r="S78" s="299">
        <v>19906.240000000002</v>
      </c>
      <c r="T78" s="299">
        <v>0</v>
      </c>
      <c r="U78" s="299">
        <v>0</v>
      </c>
      <c r="V78" s="299">
        <v>0</v>
      </c>
      <c r="W78" s="299">
        <v>2410</v>
      </c>
      <c r="X78" s="299">
        <v>52952</v>
      </c>
      <c r="Y78" s="299">
        <v>1415126.7299999997</v>
      </c>
      <c r="Z78" s="299">
        <v>611004.56000000006</v>
      </c>
      <c r="AA78" s="299">
        <v>19471.88</v>
      </c>
      <c r="AB78" s="299">
        <v>268837.40000000002</v>
      </c>
      <c r="AC78" s="299">
        <v>14506.5</v>
      </c>
      <c r="AD78" s="299">
        <v>66471.259999999995</v>
      </c>
      <c r="AE78" s="299">
        <v>0</v>
      </c>
      <c r="AF78" s="299">
        <v>65763.5</v>
      </c>
      <c r="AG78" s="299">
        <v>5218.8999999999996</v>
      </c>
      <c r="AH78" s="299">
        <v>4298</v>
      </c>
      <c r="AI78" s="299">
        <v>5250</v>
      </c>
      <c r="AJ78" s="299">
        <v>463.75</v>
      </c>
      <c r="AK78" s="299">
        <v>9507.25</v>
      </c>
      <c r="AL78" s="299">
        <v>4543.79</v>
      </c>
      <c r="AM78" s="299">
        <v>23020.71</v>
      </c>
      <c r="AN78" s="299">
        <v>7994.5</v>
      </c>
      <c r="AO78" s="299">
        <v>28281.439999999999</v>
      </c>
      <c r="AP78" s="299">
        <v>34671</v>
      </c>
      <c r="AQ78" s="299">
        <v>7139.78</v>
      </c>
      <c r="AR78" s="299">
        <v>70228.509999999995</v>
      </c>
      <c r="AS78" s="299">
        <v>35505.009999999995</v>
      </c>
      <c r="AT78" s="299">
        <v>0</v>
      </c>
      <c r="AU78" s="299">
        <v>7785.98</v>
      </c>
      <c r="AV78" s="299">
        <v>4391.63</v>
      </c>
      <c r="AW78" s="299">
        <v>11312.71</v>
      </c>
      <c r="AX78" s="299">
        <v>70013.81</v>
      </c>
      <c r="AY78" s="299">
        <v>15541.76</v>
      </c>
      <c r="AZ78" s="299">
        <v>10432.19</v>
      </c>
      <c r="BA78" s="299">
        <v>14476.7</v>
      </c>
      <c r="BB78" s="299">
        <v>0</v>
      </c>
      <c r="BC78" s="299">
        <v>0</v>
      </c>
      <c r="BD78" s="299">
        <v>6979.3</v>
      </c>
      <c r="BE78" s="299">
        <v>1423111.8199999998</v>
      </c>
      <c r="BF78" s="299">
        <v>-7985.0900000000838</v>
      </c>
      <c r="BG78" s="299">
        <v>141056.47</v>
      </c>
      <c r="BH78" s="299">
        <v>133071.37999999992</v>
      </c>
      <c r="BI78" s="299">
        <v>151447.04000000001</v>
      </c>
      <c r="BJ78" s="299">
        <v>29485.62</v>
      </c>
      <c r="BK78" s="299">
        <v>180932.66</v>
      </c>
      <c r="BL78" s="299">
        <v>118109.5</v>
      </c>
      <c r="BM78" s="299">
        <v>26218.240000000002</v>
      </c>
      <c r="BN78" s="299">
        <v>144327.74</v>
      </c>
      <c r="BO78" s="299">
        <v>36604.920000000013</v>
      </c>
      <c r="BP78" s="299">
        <v>52872.649999999994</v>
      </c>
      <c r="BQ78" s="299">
        <v>89477.57</v>
      </c>
      <c r="BR78" s="299">
        <v>1662.3700000000001</v>
      </c>
      <c r="BS78" s="299">
        <v>128074.09999999992</v>
      </c>
      <c r="BT78" s="299">
        <v>92812.48000000001</v>
      </c>
      <c r="BU78" s="299">
        <v>222548.94999999992</v>
      </c>
      <c r="BV78" s="299">
        <v>6345.63</v>
      </c>
      <c r="BW78" s="299">
        <v>0</v>
      </c>
      <c r="BX78" s="299">
        <v>6979.3</v>
      </c>
      <c r="BY78" s="299">
        <v>13324.93</v>
      </c>
      <c r="BZ78" s="299">
        <v>0</v>
      </c>
      <c r="CA78" s="299">
        <v>36737</v>
      </c>
      <c r="CB78" s="299">
        <v>0</v>
      </c>
      <c r="CC78" s="299">
        <v>0</v>
      </c>
      <c r="CD78" s="299">
        <v>36737</v>
      </c>
      <c r="CE78" s="299">
        <v>-23412.07</v>
      </c>
      <c r="CF78" s="299">
        <v>23412.07</v>
      </c>
      <c r="CG78" s="299">
        <v>0</v>
      </c>
      <c r="CH78" s="299">
        <v>0</v>
      </c>
      <c r="CI78" s="299">
        <v>0</v>
      </c>
      <c r="CJ78" s="299">
        <v>0</v>
      </c>
    </row>
    <row r="79" spans="1:88" ht="13.8">
      <c r="A79" s="252" t="s">
        <v>1377</v>
      </c>
      <c r="B79" s="288">
        <v>2059</v>
      </c>
      <c r="C79" s="288" t="s">
        <v>781</v>
      </c>
      <c r="D79" s="248" t="s">
        <v>708</v>
      </c>
      <c r="E79" s="399" t="str">
        <f t="shared" si="2"/>
        <v>30EP2059</v>
      </c>
      <c r="F79" s="299">
        <v>1030717.67</v>
      </c>
      <c r="G79" s="299">
        <v>0</v>
      </c>
      <c r="H79" s="299">
        <v>21267.63</v>
      </c>
      <c r="I79" s="299">
        <v>0</v>
      </c>
      <c r="J79" s="299">
        <v>27730</v>
      </c>
      <c r="K79" s="299">
        <v>6020.22</v>
      </c>
      <c r="L79" s="299">
        <v>0</v>
      </c>
      <c r="M79" s="299">
        <v>10860</v>
      </c>
      <c r="N79" s="299">
        <v>3127.74</v>
      </c>
      <c r="O79" s="299">
        <v>20873.419999999998</v>
      </c>
      <c r="P79" s="299">
        <v>0</v>
      </c>
      <c r="Q79" s="299">
        <v>0</v>
      </c>
      <c r="R79" s="299">
        <v>16551.259999999998</v>
      </c>
      <c r="S79" s="299">
        <v>23245.27</v>
      </c>
      <c r="T79" s="299">
        <v>0</v>
      </c>
      <c r="U79" s="299">
        <v>0</v>
      </c>
      <c r="V79" s="299">
        <v>0</v>
      </c>
      <c r="W79" s="299">
        <v>-174.37</v>
      </c>
      <c r="X79" s="299">
        <v>42691</v>
      </c>
      <c r="Y79" s="299">
        <v>1202909.8399999999</v>
      </c>
      <c r="Z79" s="299">
        <v>636908.99</v>
      </c>
      <c r="AA79" s="299">
        <v>1215.23</v>
      </c>
      <c r="AB79" s="299">
        <v>214795.35</v>
      </c>
      <c r="AC79" s="299">
        <v>48775.21</v>
      </c>
      <c r="AD79" s="299">
        <v>61684.37</v>
      </c>
      <c r="AE79" s="299">
        <v>0</v>
      </c>
      <c r="AF79" s="299">
        <v>40278.85</v>
      </c>
      <c r="AG79" s="299">
        <v>5265.51</v>
      </c>
      <c r="AH79" s="299">
        <v>6785.73</v>
      </c>
      <c r="AI79" s="299">
        <v>2437</v>
      </c>
      <c r="AJ79" s="299">
        <v>0</v>
      </c>
      <c r="AK79" s="299">
        <v>17688.650000000001</v>
      </c>
      <c r="AL79" s="299">
        <v>2760</v>
      </c>
      <c r="AM79" s="299">
        <v>2135.02</v>
      </c>
      <c r="AN79" s="299">
        <v>2844.77</v>
      </c>
      <c r="AO79" s="299">
        <v>25090.92</v>
      </c>
      <c r="AP79" s="299">
        <v>17465</v>
      </c>
      <c r="AQ79" s="299">
        <v>1903.2</v>
      </c>
      <c r="AR79" s="299">
        <v>44893.11</v>
      </c>
      <c r="AS79" s="299">
        <v>22308.879999999997</v>
      </c>
      <c r="AT79" s="299">
        <v>0</v>
      </c>
      <c r="AU79" s="299">
        <v>13449.64</v>
      </c>
      <c r="AV79" s="299">
        <v>4056.04</v>
      </c>
      <c r="AW79" s="299">
        <v>0</v>
      </c>
      <c r="AX79" s="299">
        <v>61719.73</v>
      </c>
      <c r="AY79" s="299">
        <v>15929.23</v>
      </c>
      <c r="AZ79" s="299">
        <v>0</v>
      </c>
      <c r="BA79" s="299">
        <v>16932.95</v>
      </c>
      <c r="BB79" s="299">
        <v>0</v>
      </c>
      <c r="BC79" s="299">
        <v>0</v>
      </c>
      <c r="BD79" s="299">
        <v>0</v>
      </c>
      <c r="BE79" s="299">
        <v>1267323.3799999997</v>
      </c>
      <c r="BF79" s="299">
        <v>-64413.539999999804</v>
      </c>
      <c r="BG79" s="299">
        <v>-86330.43</v>
      </c>
      <c r="BH79" s="299">
        <v>-150743.9699999998</v>
      </c>
      <c r="BI79" s="299">
        <v>0</v>
      </c>
      <c r="BJ79" s="299">
        <v>0</v>
      </c>
      <c r="BK79" s="299">
        <v>0</v>
      </c>
      <c r="BL79" s="299">
        <v>0</v>
      </c>
      <c r="BM79" s="299">
        <v>0</v>
      </c>
      <c r="BN79" s="299">
        <v>0</v>
      </c>
      <c r="BO79" s="299">
        <v>0</v>
      </c>
      <c r="BP79" s="299">
        <v>0</v>
      </c>
      <c r="BQ79" s="299">
        <v>0</v>
      </c>
      <c r="BR79" s="299">
        <v>3300</v>
      </c>
      <c r="BS79" s="299">
        <v>-154043.9699999998</v>
      </c>
      <c r="BT79" s="299">
        <v>0</v>
      </c>
      <c r="BU79" s="299">
        <v>-150743.9699999998</v>
      </c>
      <c r="BV79" s="299">
        <v>6385</v>
      </c>
      <c r="BW79" s="299">
        <v>0</v>
      </c>
      <c r="BX79" s="299">
        <v>0</v>
      </c>
      <c r="BY79" s="299">
        <v>6385</v>
      </c>
      <c r="BZ79" s="299">
        <v>0</v>
      </c>
      <c r="CA79" s="299">
        <v>4193.3999999999996</v>
      </c>
      <c r="CB79" s="299">
        <v>0</v>
      </c>
      <c r="CC79" s="299">
        <v>585.98</v>
      </c>
      <c r="CD79" s="299">
        <v>4779.3799999999992</v>
      </c>
      <c r="CE79" s="299">
        <v>1605.6200000000008</v>
      </c>
      <c r="CF79" s="299">
        <v>12389.58</v>
      </c>
      <c r="CG79" s="299">
        <v>13995.2</v>
      </c>
      <c r="CH79" s="299">
        <v>13765.59</v>
      </c>
      <c r="CI79" s="299">
        <v>229.61</v>
      </c>
      <c r="CJ79" s="299">
        <v>13995.2</v>
      </c>
    </row>
    <row r="80" spans="1:88" ht="13.8">
      <c r="A80" s="252" t="s">
        <v>1377</v>
      </c>
      <c r="B80" s="288">
        <v>3386</v>
      </c>
      <c r="C80" s="288" t="s">
        <v>782</v>
      </c>
      <c r="D80" s="248" t="s">
        <v>708</v>
      </c>
      <c r="E80" s="399" t="str">
        <f t="shared" si="2"/>
        <v>30EP3386</v>
      </c>
      <c r="F80" s="299">
        <v>2102693.7999999998</v>
      </c>
      <c r="G80" s="299">
        <v>0</v>
      </c>
      <c r="H80" s="299">
        <v>125785.81</v>
      </c>
      <c r="I80" s="299">
        <v>0</v>
      </c>
      <c r="J80" s="299">
        <v>91460</v>
      </c>
      <c r="K80" s="299">
        <v>736.29</v>
      </c>
      <c r="L80" s="299">
        <v>0</v>
      </c>
      <c r="M80" s="299">
        <v>24159</v>
      </c>
      <c r="N80" s="299">
        <v>14834.98</v>
      </c>
      <c r="O80" s="299">
        <v>49040.55</v>
      </c>
      <c r="P80" s="299">
        <v>1440</v>
      </c>
      <c r="Q80" s="299">
        <v>0</v>
      </c>
      <c r="R80" s="299">
        <v>51966.66</v>
      </c>
      <c r="S80" s="299">
        <v>20075.18</v>
      </c>
      <c r="T80" s="299">
        <v>0</v>
      </c>
      <c r="U80" s="299">
        <v>0</v>
      </c>
      <c r="V80" s="299">
        <v>0</v>
      </c>
      <c r="W80" s="299">
        <v>100.63</v>
      </c>
      <c r="X80" s="299">
        <v>91186</v>
      </c>
      <c r="Y80" s="299">
        <v>2573478.9</v>
      </c>
      <c r="Z80" s="299">
        <v>1128549.02</v>
      </c>
      <c r="AA80" s="299">
        <v>2296.7800000000002</v>
      </c>
      <c r="AB80" s="299">
        <v>477805.32</v>
      </c>
      <c r="AC80" s="299">
        <v>33364.92</v>
      </c>
      <c r="AD80" s="299">
        <v>146447.57</v>
      </c>
      <c r="AE80" s="299">
        <v>0</v>
      </c>
      <c r="AF80" s="299">
        <v>38705.74</v>
      </c>
      <c r="AG80" s="299">
        <v>10245</v>
      </c>
      <c r="AH80" s="299">
        <v>11835.2</v>
      </c>
      <c r="AI80" s="299">
        <v>2952</v>
      </c>
      <c r="AJ80" s="299">
        <v>0</v>
      </c>
      <c r="AK80" s="299">
        <v>19879.740000000002</v>
      </c>
      <c r="AL80" s="299">
        <v>4429.1899999999996</v>
      </c>
      <c r="AM80" s="299">
        <v>40447.18</v>
      </c>
      <c r="AN80" s="299">
        <v>1489.52</v>
      </c>
      <c r="AO80" s="299">
        <v>37394.22</v>
      </c>
      <c r="AP80" s="299">
        <v>77532</v>
      </c>
      <c r="AQ80" s="299">
        <v>13688.93</v>
      </c>
      <c r="AR80" s="299">
        <v>99366.41</v>
      </c>
      <c r="AS80" s="299">
        <v>38562.17</v>
      </c>
      <c r="AT80" s="299">
        <v>0</v>
      </c>
      <c r="AU80" s="299">
        <v>13537.18</v>
      </c>
      <c r="AV80" s="299">
        <v>8336.33</v>
      </c>
      <c r="AW80" s="299">
        <v>11538.87</v>
      </c>
      <c r="AX80" s="299">
        <v>120632.96000000001</v>
      </c>
      <c r="AY80" s="299">
        <v>23316.19</v>
      </c>
      <c r="AZ80" s="299">
        <v>58450.22</v>
      </c>
      <c r="BA80" s="299">
        <v>12280</v>
      </c>
      <c r="BB80" s="299">
        <v>0</v>
      </c>
      <c r="BC80" s="299">
        <v>0</v>
      </c>
      <c r="BD80" s="299">
        <v>9700.18</v>
      </c>
      <c r="BE80" s="299">
        <v>2442782.8400000003</v>
      </c>
      <c r="BF80" s="299">
        <v>130696.05999999959</v>
      </c>
      <c r="BG80" s="299">
        <v>227799.38</v>
      </c>
      <c r="BH80" s="299">
        <v>358495.43999999959</v>
      </c>
      <c r="BI80" s="299">
        <v>0</v>
      </c>
      <c r="BJ80" s="299">
        <v>0</v>
      </c>
      <c r="BK80" s="299">
        <v>0</v>
      </c>
      <c r="BL80" s="299">
        <v>0</v>
      </c>
      <c r="BM80" s="299">
        <v>0</v>
      </c>
      <c r="BN80" s="299">
        <v>0</v>
      </c>
      <c r="BO80" s="299">
        <v>0</v>
      </c>
      <c r="BP80" s="299">
        <v>0</v>
      </c>
      <c r="BQ80" s="299">
        <v>0</v>
      </c>
      <c r="BR80" s="299">
        <v>11511.919999999998</v>
      </c>
      <c r="BS80" s="299">
        <v>346983.51999999915</v>
      </c>
      <c r="BT80" s="299">
        <v>0</v>
      </c>
      <c r="BU80" s="299">
        <v>358495.43999999913</v>
      </c>
      <c r="BV80" s="299">
        <v>8736.25</v>
      </c>
      <c r="BW80" s="299">
        <v>0</v>
      </c>
      <c r="BX80" s="299">
        <v>0</v>
      </c>
      <c r="BY80" s="299">
        <v>8736.25</v>
      </c>
      <c r="BZ80" s="299">
        <v>0</v>
      </c>
      <c r="CA80" s="299">
        <v>24645.84</v>
      </c>
      <c r="CB80" s="299">
        <v>0</v>
      </c>
      <c r="CC80" s="299">
        <v>4013.35</v>
      </c>
      <c r="CD80" s="299">
        <v>28659.19</v>
      </c>
      <c r="CE80" s="299">
        <v>-19922.939999999999</v>
      </c>
      <c r="CF80" s="299">
        <v>24971.46</v>
      </c>
      <c r="CG80" s="299">
        <v>5048.5200000000004</v>
      </c>
      <c r="CH80" s="299">
        <v>5048.5200000000004</v>
      </c>
      <c r="CI80" s="299">
        <v>0</v>
      </c>
      <c r="CJ80" s="299">
        <v>5048.5200000000004</v>
      </c>
    </row>
    <row r="81" spans="1:88" ht="13.8">
      <c r="A81" s="252" t="s">
        <v>1377</v>
      </c>
      <c r="B81" s="288">
        <v>2449</v>
      </c>
      <c r="C81" s="288" t="s">
        <v>783</v>
      </c>
      <c r="D81" s="248" t="s">
        <v>708</v>
      </c>
      <c r="E81" s="399" t="str">
        <f t="shared" si="2"/>
        <v>30EP2449</v>
      </c>
      <c r="F81" s="299">
        <v>2003143.85</v>
      </c>
      <c r="G81" s="299">
        <v>0</v>
      </c>
      <c r="H81" s="299">
        <v>79866.45</v>
      </c>
      <c r="I81" s="299">
        <v>0</v>
      </c>
      <c r="J81" s="299">
        <v>124180</v>
      </c>
      <c r="K81" s="299">
        <v>3765</v>
      </c>
      <c r="L81" s="299">
        <v>10000</v>
      </c>
      <c r="M81" s="299">
        <v>0</v>
      </c>
      <c r="N81" s="299">
        <v>12376.7</v>
      </c>
      <c r="O81" s="299">
        <v>0</v>
      </c>
      <c r="P81" s="299">
        <v>0</v>
      </c>
      <c r="Q81" s="299">
        <v>17798.5</v>
      </c>
      <c r="R81" s="299">
        <v>38242.03</v>
      </c>
      <c r="S81" s="299">
        <v>1821.63</v>
      </c>
      <c r="T81" s="299">
        <v>0</v>
      </c>
      <c r="U81" s="299">
        <v>0</v>
      </c>
      <c r="V81" s="299">
        <v>0</v>
      </c>
      <c r="W81" s="299">
        <v>1701.25</v>
      </c>
      <c r="X81" s="299">
        <v>66577</v>
      </c>
      <c r="Y81" s="299">
        <v>2359472.4099999997</v>
      </c>
      <c r="Z81" s="299">
        <v>1171225.06</v>
      </c>
      <c r="AA81" s="299">
        <v>44098.13</v>
      </c>
      <c r="AB81" s="299">
        <v>461986.74</v>
      </c>
      <c r="AC81" s="299">
        <v>13150.18</v>
      </c>
      <c r="AD81" s="299">
        <v>137591.01999999999</v>
      </c>
      <c r="AE81" s="299">
        <v>0</v>
      </c>
      <c r="AF81" s="299">
        <v>49851.67</v>
      </c>
      <c r="AG81" s="299">
        <v>7444.23</v>
      </c>
      <c r="AH81" s="299">
        <v>5571.5</v>
      </c>
      <c r="AI81" s="299">
        <v>9900</v>
      </c>
      <c r="AJ81" s="299">
        <v>0</v>
      </c>
      <c r="AK81" s="299">
        <v>51627.28</v>
      </c>
      <c r="AL81" s="299">
        <v>2334</v>
      </c>
      <c r="AM81" s="299">
        <v>43162.559999999998</v>
      </c>
      <c r="AN81" s="299">
        <v>5450.01</v>
      </c>
      <c r="AO81" s="299">
        <v>47763.64</v>
      </c>
      <c r="AP81" s="299">
        <v>65520</v>
      </c>
      <c r="AQ81" s="299">
        <v>11676.74</v>
      </c>
      <c r="AR81" s="299">
        <v>108220.78</v>
      </c>
      <c r="AS81" s="299">
        <v>46361.15</v>
      </c>
      <c r="AT81" s="299">
        <v>0</v>
      </c>
      <c r="AU81" s="299">
        <v>20993.200000000001</v>
      </c>
      <c r="AV81" s="299">
        <v>7835.85</v>
      </c>
      <c r="AW81" s="299">
        <v>893.58</v>
      </c>
      <c r="AX81" s="299">
        <v>84111.69</v>
      </c>
      <c r="AY81" s="299">
        <v>0</v>
      </c>
      <c r="AZ81" s="299">
        <v>15782</v>
      </c>
      <c r="BA81" s="299">
        <v>22750.720000000001</v>
      </c>
      <c r="BB81" s="299">
        <v>0</v>
      </c>
      <c r="BC81" s="299">
        <v>0</v>
      </c>
      <c r="BD81" s="299">
        <v>79125.649999999994</v>
      </c>
      <c r="BE81" s="299">
        <v>2514427.38</v>
      </c>
      <c r="BF81" s="299">
        <v>-154954.9700000002</v>
      </c>
      <c r="BG81" s="299">
        <v>705616.1</v>
      </c>
      <c r="BH81" s="299">
        <v>550661.12999999977</v>
      </c>
      <c r="BI81" s="299">
        <v>0</v>
      </c>
      <c r="BJ81" s="299">
        <v>378139.78</v>
      </c>
      <c r="BK81" s="299">
        <v>378139.78</v>
      </c>
      <c r="BL81" s="299">
        <v>284066.67</v>
      </c>
      <c r="BM81" s="299">
        <v>34159.51</v>
      </c>
      <c r="BN81" s="299">
        <v>318226.18</v>
      </c>
      <c r="BO81" s="299">
        <v>59913.600000000035</v>
      </c>
      <c r="BP81" s="299">
        <v>75250.710000000006</v>
      </c>
      <c r="BQ81" s="299">
        <v>135164.31000000006</v>
      </c>
      <c r="BR81" s="299">
        <v>41704</v>
      </c>
      <c r="BS81" s="299">
        <v>508957.12999999931</v>
      </c>
      <c r="BT81" s="299">
        <v>135164.31000000006</v>
      </c>
      <c r="BU81" s="299">
        <v>685825.43999999936</v>
      </c>
      <c r="BV81" s="299">
        <v>8691.25</v>
      </c>
      <c r="BW81" s="299">
        <v>0</v>
      </c>
      <c r="BX81" s="299">
        <v>79125.649999999994</v>
      </c>
      <c r="BY81" s="299">
        <v>87816.9</v>
      </c>
      <c r="BZ81" s="299">
        <v>0</v>
      </c>
      <c r="CA81" s="299">
        <v>104895.65</v>
      </c>
      <c r="CB81" s="299">
        <v>0</v>
      </c>
      <c r="CC81" s="299">
        <v>0</v>
      </c>
      <c r="CD81" s="299">
        <v>104895.65</v>
      </c>
      <c r="CE81" s="299">
        <v>-17078.75</v>
      </c>
      <c r="CF81" s="299">
        <v>35102.75</v>
      </c>
      <c r="CG81" s="299">
        <v>18024</v>
      </c>
      <c r="CH81" s="299">
        <v>18024</v>
      </c>
      <c r="CI81" s="299">
        <v>0</v>
      </c>
      <c r="CJ81" s="299">
        <v>18024</v>
      </c>
    </row>
    <row r="82" spans="1:88" ht="13.8">
      <c r="A82" s="252" t="s">
        <v>1377</v>
      </c>
      <c r="B82" s="288">
        <v>2107</v>
      </c>
      <c r="C82" s="288" t="s">
        <v>784</v>
      </c>
      <c r="D82" s="248" t="s">
        <v>708</v>
      </c>
      <c r="E82" s="399" t="str">
        <f t="shared" si="2"/>
        <v>30EP2107</v>
      </c>
      <c r="F82" s="299">
        <v>1962723.9</v>
      </c>
      <c r="G82" s="299">
        <v>0</v>
      </c>
      <c r="H82" s="299">
        <v>96789.53</v>
      </c>
      <c r="I82" s="299">
        <v>0</v>
      </c>
      <c r="J82" s="299">
        <v>107160</v>
      </c>
      <c r="K82" s="299">
        <v>3089</v>
      </c>
      <c r="L82" s="299">
        <v>0</v>
      </c>
      <c r="M82" s="299">
        <v>17276</v>
      </c>
      <c r="N82" s="299">
        <v>279111.34999999998</v>
      </c>
      <c r="O82" s="299">
        <v>-1756.84</v>
      </c>
      <c r="P82" s="299">
        <v>0</v>
      </c>
      <c r="Q82" s="299">
        <v>0</v>
      </c>
      <c r="R82" s="299">
        <v>19888.46</v>
      </c>
      <c r="S82" s="299">
        <v>20830.86</v>
      </c>
      <c r="T82" s="299">
        <v>0</v>
      </c>
      <c r="U82" s="299">
        <v>0</v>
      </c>
      <c r="V82" s="299">
        <v>0</v>
      </c>
      <c r="W82" s="299">
        <v>2584.5</v>
      </c>
      <c r="X82" s="299">
        <v>86921</v>
      </c>
      <c r="Y82" s="299">
        <v>2594617.7599999998</v>
      </c>
      <c r="Z82" s="299">
        <v>1301232.6499999999</v>
      </c>
      <c r="AA82" s="299">
        <v>0</v>
      </c>
      <c r="AB82" s="299">
        <v>506844.79</v>
      </c>
      <c r="AC82" s="299">
        <v>14740.05</v>
      </c>
      <c r="AD82" s="299">
        <v>104913.59</v>
      </c>
      <c r="AE82" s="299">
        <v>0</v>
      </c>
      <c r="AF82" s="299">
        <v>107728.77</v>
      </c>
      <c r="AG82" s="299">
        <v>10815.89</v>
      </c>
      <c r="AH82" s="299">
        <v>4535.08</v>
      </c>
      <c r="AI82" s="299">
        <v>9750</v>
      </c>
      <c r="AJ82" s="299">
        <v>2275</v>
      </c>
      <c r="AK82" s="299">
        <v>15678.59</v>
      </c>
      <c r="AL82" s="299">
        <v>2289.1999999999998</v>
      </c>
      <c r="AM82" s="299">
        <v>49587.95</v>
      </c>
      <c r="AN82" s="299">
        <v>2386</v>
      </c>
      <c r="AO82" s="299">
        <v>56273.5</v>
      </c>
      <c r="AP82" s="299">
        <v>49413</v>
      </c>
      <c r="AQ82" s="299">
        <v>9160.17</v>
      </c>
      <c r="AR82" s="299">
        <v>59406.62</v>
      </c>
      <c r="AS82" s="299">
        <v>43849.33</v>
      </c>
      <c r="AT82" s="299">
        <v>0</v>
      </c>
      <c r="AU82" s="299">
        <v>11674.87</v>
      </c>
      <c r="AV82" s="299">
        <v>7756.57</v>
      </c>
      <c r="AW82" s="299">
        <v>3382.02</v>
      </c>
      <c r="AX82" s="299">
        <v>99864.18</v>
      </c>
      <c r="AY82" s="299">
        <v>11844</v>
      </c>
      <c r="AZ82" s="299">
        <v>33123.22</v>
      </c>
      <c r="BA82" s="299">
        <v>63269.15</v>
      </c>
      <c r="BB82" s="299">
        <v>0</v>
      </c>
      <c r="BC82" s="299">
        <v>0</v>
      </c>
      <c r="BD82" s="299">
        <v>0</v>
      </c>
      <c r="BE82" s="299">
        <v>2581794.1900000004</v>
      </c>
      <c r="BF82" s="299">
        <v>12823.569999999367</v>
      </c>
      <c r="BG82" s="299">
        <v>146322.17000000001</v>
      </c>
      <c r="BH82" s="299">
        <v>159145.73999999938</v>
      </c>
      <c r="BI82" s="299">
        <v>0</v>
      </c>
      <c r="BJ82" s="299">
        <v>0</v>
      </c>
      <c r="BK82" s="299">
        <v>0</v>
      </c>
      <c r="BL82" s="299">
        <v>0</v>
      </c>
      <c r="BM82" s="299">
        <v>0</v>
      </c>
      <c r="BN82" s="299">
        <v>0</v>
      </c>
      <c r="BO82" s="299">
        <v>0</v>
      </c>
      <c r="BP82" s="299">
        <v>0</v>
      </c>
      <c r="BQ82" s="299">
        <v>0</v>
      </c>
      <c r="BR82" s="299">
        <v>37790</v>
      </c>
      <c r="BS82" s="299">
        <v>121355.73999999985</v>
      </c>
      <c r="BT82" s="299">
        <v>0</v>
      </c>
      <c r="BU82" s="299">
        <v>159145.73999999985</v>
      </c>
      <c r="BV82" s="299">
        <v>8471.8799999999992</v>
      </c>
      <c r="BW82" s="299">
        <v>54985.03</v>
      </c>
      <c r="BX82" s="299">
        <v>0</v>
      </c>
      <c r="BY82" s="299">
        <v>63456.909999999996</v>
      </c>
      <c r="BZ82" s="299">
        <v>0</v>
      </c>
      <c r="CA82" s="299">
        <v>62062.080000000002</v>
      </c>
      <c r="CB82" s="299">
        <v>0</v>
      </c>
      <c r="CC82" s="299">
        <v>0</v>
      </c>
      <c r="CD82" s="299">
        <v>62062.080000000002</v>
      </c>
      <c r="CE82" s="299">
        <v>1394.8299999999945</v>
      </c>
      <c r="CF82" s="299">
        <v>26193.279999999999</v>
      </c>
      <c r="CG82" s="299">
        <v>27588.109999999993</v>
      </c>
      <c r="CH82" s="299">
        <v>26342.159999999996</v>
      </c>
      <c r="CI82" s="299">
        <v>1245.9499999999971</v>
      </c>
      <c r="CJ82" s="299">
        <v>27588.109999999993</v>
      </c>
    </row>
    <row r="83" spans="1:88" ht="13.8">
      <c r="A83" s="252" t="s">
        <v>1377</v>
      </c>
      <c r="B83" s="288">
        <v>2109</v>
      </c>
      <c r="C83" s="288" t="s">
        <v>785</v>
      </c>
      <c r="D83" s="248" t="s">
        <v>708</v>
      </c>
      <c r="E83" s="399" t="str">
        <f t="shared" si="2"/>
        <v>30EP2109</v>
      </c>
      <c r="F83" s="299">
        <v>1140794.03</v>
      </c>
      <c r="G83" s="299">
        <v>0</v>
      </c>
      <c r="H83" s="299">
        <v>24036.71</v>
      </c>
      <c r="I83" s="299">
        <v>0</v>
      </c>
      <c r="J83" s="299">
        <v>29600</v>
      </c>
      <c r="K83" s="299">
        <v>4203.57</v>
      </c>
      <c r="L83" s="299">
        <v>0</v>
      </c>
      <c r="M83" s="299">
        <v>46475.09</v>
      </c>
      <c r="N83" s="299">
        <v>6542.05</v>
      </c>
      <c r="O83" s="299">
        <v>39046.639999999999</v>
      </c>
      <c r="P83" s="299">
        <v>0</v>
      </c>
      <c r="Q83" s="299">
        <v>0</v>
      </c>
      <c r="R83" s="299">
        <v>35010.800000000003</v>
      </c>
      <c r="S83" s="299">
        <v>7716.89</v>
      </c>
      <c r="T83" s="299">
        <v>0</v>
      </c>
      <c r="U83" s="299">
        <v>0</v>
      </c>
      <c r="V83" s="299">
        <v>0</v>
      </c>
      <c r="W83" s="299">
        <v>1287.5</v>
      </c>
      <c r="X83" s="299">
        <v>60218</v>
      </c>
      <c r="Y83" s="299">
        <v>1394931.28</v>
      </c>
      <c r="Z83" s="299">
        <v>663413.51</v>
      </c>
      <c r="AA83" s="299">
        <v>4219.91</v>
      </c>
      <c r="AB83" s="299">
        <v>237224.77</v>
      </c>
      <c r="AC83" s="299">
        <v>61480.76</v>
      </c>
      <c r="AD83" s="299">
        <v>68978.720000000001</v>
      </c>
      <c r="AE83" s="299">
        <v>51188.61</v>
      </c>
      <c r="AF83" s="299">
        <v>13882.82</v>
      </c>
      <c r="AG83" s="299">
        <v>4514</v>
      </c>
      <c r="AH83" s="299">
        <v>3197.12</v>
      </c>
      <c r="AI83" s="299">
        <v>5650</v>
      </c>
      <c r="AJ83" s="299">
        <v>375</v>
      </c>
      <c r="AK83" s="299">
        <v>5953.22</v>
      </c>
      <c r="AL83" s="299">
        <v>2764.47</v>
      </c>
      <c r="AM83" s="299">
        <v>3232.1</v>
      </c>
      <c r="AN83" s="299">
        <v>2060.62</v>
      </c>
      <c r="AO83" s="299">
        <v>29944.799999999999</v>
      </c>
      <c r="AP83" s="299">
        <v>33579</v>
      </c>
      <c r="AQ83" s="299">
        <v>4326.79</v>
      </c>
      <c r="AR83" s="299">
        <v>65951.83</v>
      </c>
      <c r="AS83" s="299">
        <v>25128.65</v>
      </c>
      <c r="AT83" s="299">
        <v>0</v>
      </c>
      <c r="AU83" s="299">
        <v>5879.81</v>
      </c>
      <c r="AV83" s="299">
        <v>4669.34</v>
      </c>
      <c r="AW83" s="299">
        <v>4994.45</v>
      </c>
      <c r="AX83" s="299">
        <v>37287</v>
      </c>
      <c r="AY83" s="299">
        <v>0</v>
      </c>
      <c r="AZ83" s="299">
        <v>22860</v>
      </c>
      <c r="BA83" s="299">
        <v>16534.3</v>
      </c>
      <c r="BB83" s="299">
        <v>0</v>
      </c>
      <c r="BC83" s="299">
        <v>0</v>
      </c>
      <c r="BD83" s="299">
        <v>0</v>
      </c>
      <c r="BE83" s="299">
        <v>1379291.6000000006</v>
      </c>
      <c r="BF83" s="299">
        <v>15639.679999999469</v>
      </c>
      <c r="BG83" s="299">
        <v>44154.75</v>
      </c>
      <c r="BH83" s="299">
        <v>59794.429999999469</v>
      </c>
      <c r="BI83" s="299">
        <v>0</v>
      </c>
      <c r="BJ83" s="299">
        <v>0</v>
      </c>
      <c r="BK83" s="299">
        <v>0</v>
      </c>
      <c r="BL83" s="299">
        <v>0</v>
      </c>
      <c r="BM83" s="299">
        <v>0</v>
      </c>
      <c r="BN83" s="299">
        <v>0</v>
      </c>
      <c r="BO83" s="299">
        <v>0</v>
      </c>
      <c r="BP83" s="299">
        <v>0</v>
      </c>
      <c r="BQ83" s="299">
        <v>0</v>
      </c>
      <c r="BR83" s="299">
        <v>0</v>
      </c>
      <c r="BS83" s="299">
        <v>59794.429999999469</v>
      </c>
      <c r="BT83" s="299">
        <v>0</v>
      </c>
      <c r="BU83" s="299">
        <v>59794.429999999469</v>
      </c>
      <c r="BV83" s="299">
        <v>6587.5</v>
      </c>
      <c r="BW83" s="299">
        <v>0</v>
      </c>
      <c r="BX83" s="299">
        <v>0</v>
      </c>
      <c r="BY83" s="299">
        <v>6587.5</v>
      </c>
      <c r="BZ83" s="299">
        <v>0</v>
      </c>
      <c r="CA83" s="299">
        <v>8775.49</v>
      </c>
      <c r="CB83" s="299">
        <v>0</v>
      </c>
      <c r="CC83" s="299">
        <v>0</v>
      </c>
      <c r="CD83" s="299">
        <v>8775.49</v>
      </c>
      <c r="CE83" s="299">
        <v>-2187.9899999999998</v>
      </c>
      <c r="CF83" s="299">
        <v>3763.46</v>
      </c>
      <c r="CG83" s="299">
        <v>1575.4700000000003</v>
      </c>
      <c r="CH83" s="299">
        <v>1575.4700000000003</v>
      </c>
      <c r="CI83" s="299">
        <v>0</v>
      </c>
      <c r="CJ83" s="299">
        <v>1575.4700000000003</v>
      </c>
    </row>
    <row r="84" spans="1:88" ht="13.8">
      <c r="A84" s="252" t="s">
        <v>1377</v>
      </c>
      <c r="B84" s="288">
        <v>3390</v>
      </c>
      <c r="C84" s="288" t="s">
        <v>786</v>
      </c>
      <c r="D84" s="248" t="s">
        <v>708</v>
      </c>
      <c r="E84" s="399" t="str">
        <f t="shared" si="2"/>
        <v>30EP3390</v>
      </c>
      <c r="F84" s="299">
        <v>1182131.4099999999</v>
      </c>
      <c r="G84" s="299">
        <v>0</v>
      </c>
      <c r="H84" s="299">
        <v>126101.64</v>
      </c>
      <c r="I84" s="299">
        <v>0</v>
      </c>
      <c r="J84" s="299">
        <v>107570</v>
      </c>
      <c r="K84" s="299">
        <v>2400</v>
      </c>
      <c r="L84" s="299">
        <v>0</v>
      </c>
      <c r="M84" s="299">
        <v>3850</v>
      </c>
      <c r="N84" s="299">
        <v>16049.15</v>
      </c>
      <c r="O84" s="299">
        <v>13033.38</v>
      </c>
      <c r="P84" s="299">
        <v>29833.200000000001</v>
      </c>
      <c r="Q84" s="299">
        <v>1274.52</v>
      </c>
      <c r="R84" s="299">
        <v>17699.560000000001</v>
      </c>
      <c r="S84" s="299">
        <v>0</v>
      </c>
      <c r="T84" s="299">
        <v>0</v>
      </c>
      <c r="U84" s="299">
        <v>0</v>
      </c>
      <c r="V84" s="299">
        <v>0</v>
      </c>
      <c r="W84" s="299">
        <v>3935.63</v>
      </c>
      <c r="X84" s="299">
        <v>37902</v>
      </c>
      <c r="Y84" s="299">
        <v>1541780.4899999995</v>
      </c>
      <c r="Z84" s="299">
        <v>689786.52</v>
      </c>
      <c r="AA84" s="299">
        <v>0</v>
      </c>
      <c r="AB84" s="299">
        <v>248172.69</v>
      </c>
      <c r="AC84" s="299">
        <v>39444.9</v>
      </c>
      <c r="AD84" s="299">
        <v>60234.69</v>
      </c>
      <c r="AE84" s="299">
        <v>0</v>
      </c>
      <c r="AF84" s="299">
        <v>0</v>
      </c>
      <c r="AG84" s="299">
        <v>4634.1499999999996</v>
      </c>
      <c r="AH84" s="299">
        <v>4026.42</v>
      </c>
      <c r="AI84" s="299">
        <v>4325</v>
      </c>
      <c r="AJ84" s="299">
        <v>1194.3699999999999</v>
      </c>
      <c r="AK84" s="299">
        <v>13411.69</v>
      </c>
      <c r="AL84" s="299">
        <v>3781.25</v>
      </c>
      <c r="AM84" s="299">
        <v>12572.15</v>
      </c>
      <c r="AN84" s="299">
        <v>1912.5</v>
      </c>
      <c r="AO84" s="299">
        <v>35899.9</v>
      </c>
      <c r="AP84" s="299">
        <v>48867</v>
      </c>
      <c r="AQ84" s="299">
        <v>7331.15</v>
      </c>
      <c r="AR84" s="299">
        <v>72527.12</v>
      </c>
      <c r="AS84" s="299">
        <v>34720.199999999997</v>
      </c>
      <c r="AT84" s="299">
        <v>0</v>
      </c>
      <c r="AU84" s="299">
        <v>5404.1</v>
      </c>
      <c r="AV84" s="299">
        <v>4065</v>
      </c>
      <c r="AW84" s="299">
        <v>1971.4</v>
      </c>
      <c r="AX84" s="299">
        <v>71378.8</v>
      </c>
      <c r="AY84" s="299">
        <v>82835.839999999997</v>
      </c>
      <c r="AZ84" s="299">
        <v>42113.09</v>
      </c>
      <c r="BA84" s="299">
        <v>20136.72</v>
      </c>
      <c r="BB84" s="299">
        <v>0</v>
      </c>
      <c r="BC84" s="299">
        <v>0</v>
      </c>
      <c r="BD84" s="299">
        <v>0</v>
      </c>
      <c r="BE84" s="299">
        <v>1510746.6500000001</v>
      </c>
      <c r="BF84" s="299">
        <v>31033.839999999385</v>
      </c>
      <c r="BG84" s="299">
        <v>-31232.31</v>
      </c>
      <c r="BH84" s="299">
        <v>-198.47000000061598</v>
      </c>
      <c r="BI84" s="299">
        <v>0</v>
      </c>
      <c r="BJ84" s="299">
        <v>0</v>
      </c>
      <c r="BK84" s="299">
        <v>0</v>
      </c>
      <c r="BL84" s="299">
        <v>0</v>
      </c>
      <c r="BM84" s="299">
        <v>0</v>
      </c>
      <c r="BN84" s="299">
        <v>0</v>
      </c>
      <c r="BO84" s="299">
        <v>0</v>
      </c>
      <c r="BP84" s="299">
        <v>0</v>
      </c>
      <c r="BQ84" s="299">
        <v>0</v>
      </c>
      <c r="BR84" s="299">
        <v>58058.66</v>
      </c>
      <c r="BS84" s="299">
        <v>-58257.130000000383</v>
      </c>
      <c r="BT84" s="299">
        <v>0</v>
      </c>
      <c r="BU84" s="299">
        <v>-198.47000000037951</v>
      </c>
      <c r="BV84" s="299">
        <v>5851.75</v>
      </c>
      <c r="BW84" s="299">
        <v>0</v>
      </c>
      <c r="BX84" s="299">
        <v>0</v>
      </c>
      <c r="BY84" s="299">
        <v>5851.75</v>
      </c>
      <c r="BZ84" s="299">
        <v>0</v>
      </c>
      <c r="CA84" s="299">
        <v>0</v>
      </c>
      <c r="CB84" s="299">
        <v>0</v>
      </c>
      <c r="CC84" s="299">
        <v>2395.2800000000002</v>
      </c>
      <c r="CD84" s="299">
        <v>2395.2800000000002</v>
      </c>
      <c r="CE84" s="299">
        <v>3456.47</v>
      </c>
      <c r="CF84" s="299">
        <v>6911.61</v>
      </c>
      <c r="CG84" s="299">
        <v>10368.08</v>
      </c>
      <c r="CH84" s="299">
        <v>10368.08</v>
      </c>
      <c r="CI84" s="299">
        <v>0</v>
      </c>
      <c r="CJ84" s="299">
        <v>10368.08</v>
      </c>
    </row>
    <row r="85" spans="1:88" ht="13.8">
      <c r="A85" s="252" t="s">
        <v>1377</v>
      </c>
      <c r="B85" s="290">
        <v>2031</v>
      </c>
      <c r="C85" s="290" t="s">
        <v>787</v>
      </c>
      <c r="D85" s="248" t="s">
        <v>708</v>
      </c>
      <c r="E85" s="399" t="str">
        <f t="shared" si="2"/>
        <v>30EP2031</v>
      </c>
      <c r="F85" s="299">
        <v>1051492.42</v>
      </c>
      <c r="G85" s="299">
        <v>0</v>
      </c>
      <c r="H85" s="299">
        <v>39113.68</v>
      </c>
      <c r="I85" s="299">
        <v>0</v>
      </c>
      <c r="J85" s="299">
        <v>58710</v>
      </c>
      <c r="K85" s="299">
        <v>6648.93</v>
      </c>
      <c r="L85" s="299">
        <v>0</v>
      </c>
      <c r="M85" s="299">
        <v>10117.799999999999</v>
      </c>
      <c r="N85" s="299">
        <v>47437.919999999998</v>
      </c>
      <c r="O85" s="299">
        <v>2.65</v>
      </c>
      <c r="P85" s="299">
        <v>7635</v>
      </c>
      <c r="Q85" s="299">
        <v>833</v>
      </c>
      <c r="R85" s="299">
        <v>15882.38</v>
      </c>
      <c r="S85" s="299">
        <v>11932</v>
      </c>
      <c r="T85" s="299">
        <v>0</v>
      </c>
      <c r="U85" s="299">
        <v>0</v>
      </c>
      <c r="V85" s="299">
        <v>0</v>
      </c>
      <c r="W85" s="299">
        <v>238.75</v>
      </c>
      <c r="X85" s="299">
        <v>47674</v>
      </c>
      <c r="Y85" s="299">
        <v>1297718.5299999996</v>
      </c>
      <c r="Z85" s="299">
        <v>580977.84</v>
      </c>
      <c r="AA85" s="299">
        <v>101400.01</v>
      </c>
      <c r="AB85" s="299">
        <v>196302.03</v>
      </c>
      <c r="AC85" s="299">
        <v>10781.56</v>
      </c>
      <c r="AD85" s="299">
        <v>64095.82</v>
      </c>
      <c r="AE85" s="299">
        <v>0</v>
      </c>
      <c r="AF85" s="299">
        <v>25182.65</v>
      </c>
      <c r="AG85" s="299">
        <v>6413</v>
      </c>
      <c r="AH85" s="299">
        <v>3540.95</v>
      </c>
      <c r="AI85" s="299">
        <v>5050</v>
      </c>
      <c r="AJ85" s="299">
        <v>370</v>
      </c>
      <c r="AK85" s="299">
        <v>9255.5499999999993</v>
      </c>
      <c r="AL85" s="299">
        <v>720</v>
      </c>
      <c r="AM85" s="299">
        <v>45050.62</v>
      </c>
      <c r="AN85" s="299">
        <v>892.02</v>
      </c>
      <c r="AO85" s="299">
        <v>26405.360000000001</v>
      </c>
      <c r="AP85" s="299">
        <v>23827.25</v>
      </c>
      <c r="AQ85" s="299">
        <v>16760.400000000001</v>
      </c>
      <c r="AR85" s="299">
        <v>64006.71</v>
      </c>
      <c r="AS85" s="299">
        <v>25971.129999999997</v>
      </c>
      <c r="AT85" s="299">
        <v>0</v>
      </c>
      <c r="AU85" s="299">
        <v>8574.48</v>
      </c>
      <c r="AV85" s="299">
        <v>4178.95</v>
      </c>
      <c r="AW85" s="299">
        <v>0</v>
      </c>
      <c r="AX85" s="299">
        <v>50987.14</v>
      </c>
      <c r="AY85" s="299">
        <v>0</v>
      </c>
      <c r="AZ85" s="299">
        <v>11025</v>
      </c>
      <c r="BA85" s="299">
        <v>28158.240000000002</v>
      </c>
      <c r="BB85" s="299">
        <v>0</v>
      </c>
      <c r="BC85" s="299">
        <v>1778.29</v>
      </c>
      <c r="BD85" s="299">
        <v>5118.08</v>
      </c>
      <c r="BE85" s="299">
        <v>1316823.0799999998</v>
      </c>
      <c r="BF85" s="299">
        <v>-19104.550000000279</v>
      </c>
      <c r="BG85" s="299">
        <v>-17459.310000000001</v>
      </c>
      <c r="BH85" s="299">
        <v>-36563.860000000277</v>
      </c>
      <c r="BI85" s="299">
        <v>0</v>
      </c>
      <c r="BJ85" s="299">
        <v>0</v>
      </c>
      <c r="BK85" s="299">
        <v>0</v>
      </c>
      <c r="BL85" s="299">
        <v>0</v>
      </c>
      <c r="BM85" s="299">
        <v>0</v>
      </c>
      <c r="BN85" s="299">
        <v>0</v>
      </c>
      <c r="BO85" s="299">
        <v>0</v>
      </c>
      <c r="BP85" s="299">
        <v>0</v>
      </c>
      <c r="BQ85" s="299">
        <v>0</v>
      </c>
      <c r="BR85" s="299">
        <v>14708</v>
      </c>
      <c r="BS85" s="299">
        <v>-51271.860000000277</v>
      </c>
      <c r="BT85" s="299">
        <v>0</v>
      </c>
      <c r="BU85" s="299">
        <v>-36563.860000000277</v>
      </c>
      <c r="BV85" s="299">
        <v>6396.25</v>
      </c>
      <c r="BW85" s="299">
        <v>0</v>
      </c>
      <c r="BX85" s="299">
        <v>0</v>
      </c>
      <c r="BY85" s="299">
        <v>6396.25</v>
      </c>
      <c r="BZ85" s="299">
        <v>0</v>
      </c>
      <c r="CA85" s="299">
        <v>15565.8</v>
      </c>
      <c r="CB85" s="299">
        <v>0</v>
      </c>
      <c r="CC85" s="299">
        <v>0</v>
      </c>
      <c r="CD85" s="299">
        <v>15565.8</v>
      </c>
      <c r="CE85" s="299">
        <v>-9169.5499999999993</v>
      </c>
      <c r="CF85" s="299">
        <v>22604.73</v>
      </c>
      <c r="CG85" s="299">
        <v>13435.18</v>
      </c>
      <c r="CH85" s="299">
        <v>13435.18</v>
      </c>
      <c r="CI85" s="299">
        <v>0</v>
      </c>
      <c r="CJ85" s="299">
        <v>13435.18</v>
      </c>
    </row>
    <row r="86" spans="1:88" ht="13.8">
      <c r="A86" s="252" t="s">
        <v>1377</v>
      </c>
      <c r="B86" s="288">
        <v>3350</v>
      </c>
      <c r="C86" s="288" t="s">
        <v>788</v>
      </c>
      <c r="D86" s="248" t="s">
        <v>708</v>
      </c>
      <c r="E86" s="399" t="str">
        <f t="shared" si="2"/>
        <v>30EP3350</v>
      </c>
      <c r="F86" s="299">
        <v>679753</v>
      </c>
      <c r="G86" s="299">
        <v>0</v>
      </c>
      <c r="H86" s="299">
        <v>51369.61</v>
      </c>
      <c r="I86" s="299">
        <v>0</v>
      </c>
      <c r="J86" s="299">
        <v>21400</v>
      </c>
      <c r="K86" s="299">
        <v>220</v>
      </c>
      <c r="L86" s="299">
        <v>0</v>
      </c>
      <c r="M86" s="299">
        <v>0</v>
      </c>
      <c r="N86" s="299">
        <v>36410.68</v>
      </c>
      <c r="O86" s="299">
        <v>11309.3</v>
      </c>
      <c r="P86" s="299">
        <v>2250</v>
      </c>
      <c r="Q86" s="299">
        <v>3358.6</v>
      </c>
      <c r="R86" s="299">
        <v>11985.52</v>
      </c>
      <c r="S86" s="299">
        <v>14487.15</v>
      </c>
      <c r="T86" s="299">
        <v>0</v>
      </c>
      <c r="U86" s="299">
        <v>0</v>
      </c>
      <c r="V86" s="299">
        <v>0</v>
      </c>
      <c r="W86" s="299">
        <v>901.25</v>
      </c>
      <c r="X86" s="299">
        <v>37434</v>
      </c>
      <c r="Y86" s="299">
        <v>870879.1100000001</v>
      </c>
      <c r="Z86" s="299">
        <v>395898.63</v>
      </c>
      <c r="AA86" s="299">
        <v>0</v>
      </c>
      <c r="AB86" s="299">
        <v>186886.95</v>
      </c>
      <c r="AC86" s="299">
        <v>0</v>
      </c>
      <c r="AD86" s="299">
        <v>61194.44</v>
      </c>
      <c r="AE86" s="299">
        <v>0</v>
      </c>
      <c r="AF86" s="299">
        <v>15087.2</v>
      </c>
      <c r="AG86" s="299">
        <v>1938.2</v>
      </c>
      <c r="AH86" s="299">
        <v>2719.52</v>
      </c>
      <c r="AI86" s="299">
        <v>3025</v>
      </c>
      <c r="AJ86" s="299">
        <v>568.75</v>
      </c>
      <c r="AK86" s="299">
        <v>4929.42</v>
      </c>
      <c r="AL86" s="299">
        <v>137.76</v>
      </c>
      <c r="AM86" s="299">
        <v>19737.560000000001</v>
      </c>
      <c r="AN86" s="299">
        <v>1499.03</v>
      </c>
      <c r="AO86" s="299">
        <v>13378.88</v>
      </c>
      <c r="AP86" s="299">
        <v>1412.05</v>
      </c>
      <c r="AQ86" s="299">
        <v>5511.44</v>
      </c>
      <c r="AR86" s="299">
        <v>43412.18</v>
      </c>
      <c r="AS86" s="299">
        <v>20834.11</v>
      </c>
      <c r="AT86" s="299">
        <v>0</v>
      </c>
      <c r="AU86" s="299">
        <v>16383.24</v>
      </c>
      <c r="AV86" s="299">
        <v>2178</v>
      </c>
      <c r="AW86" s="299">
        <v>234</v>
      </c>
      <c r="AX86" s="299">
        <v>49607.55</v>
      </c>
      <c r="AY86" s="299">
        <v>23527.200000000001</v>
      </c>
      <c r="AZ86" s="299">
        <v>7930.34</v>
      </c>
      <c r="BA86" s="299">
        <v>15106</v>
      </c>
      <c r="BB86" s="299">
        <v>0</v>
      </c>
      <c r="BC86" s="299">
        <v>0</v>
      </c>
      <c r="BD86" s="299">
        <v>0</v>
      </c>
      <c r="BE86" s="299">
        <v>893137.45000000007</v>
      </c>
      <c r="BF86" s="299">
        <v>-22258.339999999967</v>
      </c>
      <c r="BG86" s="299">
        <v>89655.17</v>
      </c>
      <c r="BH86" s="299">
        <v>67396.830000000031</v>
      </c>
      <c r="BI86" s="299">
        <v>0</v>
      </c>
      <c r="BJ86" s="299">
        <v>0</v>
      </c>
      <c r="BK86" s="299">
        <v>0</v>
      </c>
      <c r="BL86" s="299">
        <v>0</v>
      </c>
      <c r="BM86" s="299">
        <v>0</v>
      </c>
      <c r="BN86" s="299">
        <v>0</v>
      </c>
      <c r="BO86" s="299">
        <v>0</v>
      </c>
      <c r="BP86" s="299">
        <v>0</v>
      </c>
      <c r="BQ86" s="299">
        <v>0</v>
      </c>
      <c r="BR86" s="299">
        <v>9054</v>
      </c>
      <c r="BS86" s="299">
        <v>58342.830000000147</v>
      </c>
      <c r="BT86" s="299">
        <v>0</v>
      </c>
      <c r="BU86" s="299">
        <v>67396.830000000147</v>
      </c>
      <c r="BV86" s="299">
        <v>0</v>
      </c>
      <c r="BW86" s="299">
        <v>0</v>
      </c>
      <c r="BX86" s="299">
        <v>0</v>
      </c>
      <c r="BY86" s="299">
        <v>0</v>
      </c>
      <c r="BZ86" s="299">
        <v>0</v>
      </c>
      <c r="CA86" s="299">
        <v>0</v>
      </c>
      <c r="CB86" s="299">
        <v>0</v>
      </c>
      <c r="CC86" s="299">
        <v>0</v>
      </c>
      <c r="CD86" s="299">
        <v>0</v>
      </c>
      <c r="CE86" s="299">
        <v>0</v>
      </c>
      <c r="CF86" s="299">
        <v>0</v>
      </c>
      <c r="CG86" s="299">
        <v>0</v>
      </c>
      <c r="CH86" s="299">
        <v>0</v>
      </c>
      <c r="CI86" s="299">
        <v>0</v>
      </c>
      <c r="CJ86" s="299">
        <v>0</v>
      </c>
    </row>
    <row r="87" spans="1:88" ht="13.8">
      <c r="A87" s="252" t="s">
        <v>1377</v>
      </c>
      <c r="B87" s="288">
        <v>2033</v>
      </c>
      <c r="C87" s="288" t="s">
        <v>789</v>
      </c>
      <c r="D87" s="248" t="s">
        <v>708</v>
      </c>
      <c r="E87" s="399" t="str">
        <f t="shared" si="2"/>
        <v>30EP2033</v>
      </c>
      <c r="F87" s="299">
        <v>1707608.8</v>
      </c>
      <c r="G87" s="299">
        <v>0</v>
      </c>
      <c r="H87" s="299">
        <v>100629.39</v>
      </c>
      <c r="I87" s="299">
        <v>5400</v>
      </c>
      <c r="J87" s="299">
        <v>61260</v>
      </c>
      <c r="K87" s="299">
        <v>1200</v>
      </c>
      <c r="L87" s="299">
        <v>0</v>
      </c>
      <c r="M87" s="299">
        <v>12082.49</v>
      </c>
      <c r="N87" s="299">
        <v>18319.939999999999</v>
      </c>
      <c r="O87" s="299">
        <v>47562.25</v>
      </c>
      <c r="P87" s="299">
        <v>3558</v>
      </c>
      <c r="Q87" s="299">
        <v>7182.76</v>
      </c>
      <c r="R87" s="299">
        <v>30730.54</v>
      </c>
      <c r="S87" s="299">
        <v>11154.35</v>
      </c>
      <c r="T87" s="299">
        <v>0</v>
      </c>
      <c r="U87" s="299">
        <v>0</v>
      </c>
      <c r="V87" s="299">
        <v>0</v>
      </c>
      <c r="W87" s="299">
        <v>2566.88</v>
      </c>
      <c r="X87" s="299">
        <v>66959</v>
      </c>
      <c r="Y87" s="299">
        <v>2076214.4</v>
      </c>
      <c r="Z87" s="299">
        <v>993451.56</v>
      </c>
      <c r="AA87" s="299">
        <v>33276.93</v>
      </c>
      <c r="AB87" s="299">
        <v>397863.25</v>
      </c>
      <c r="AC87" s="299">
        <v>66661.48</v>
      </c>
      <c r="AD87" s="299">
        <v>59161.95</v>
      </c>
      <c r="AE87" s="299">
        <v>0</v>
      </c>
      <c r="AF87" s="299">
        <v>23774.01</v>
      </c>
      <c r="AG87" s="299">
        <v>13519.02</v>
      </c>
      <c r="AH87" s="299">
        <v>4602</v>
      </c>
      <c r="AI87" s="299">
        <v>8425</v>
      </c>
      <c r="AJ87" s="299">
        <v>355.75</v>
      </c>
      <c r="AK87" s="299">
        <v>18676.84</v>
      </c>
      <c r="AL87" s="299">
        <v>4500</v>
      </c>
      <c r="AM87" s="299">
        <v>5903.35</v>
      </c>
      <c r="AN87" s="299">
        <v>5927.53</v>
      </c>
      <c r="AO87" s="299">
        <v>42983.48</v>
      </c>
      <c r="AP87" s="299">
        <v>63882</v>
      </c>
      <c r="AQ87" s="299">
        <v>8369.82</v>
      </c>
      <c r="AR87" s="299">
        <v>111489.36</v>
      </c>
      <c r="AS87" s="299">
        <v>23139.14</v>
      </c>
      <c r="AT87" s="299">
        <v>0</v>
      </c>
      <c r="AU87" s="299">
        <v>14147.84</v>
      </c>
      <c r="AV87" s="299">
        <v>6477.46</v>
      </c>
      <c r="AW87" s="299">
        <v>223.32</v>
      </c>
      <c r="AX87" s="299">
        <v>98897.18</v>
      </c>
      <c r="AY87" s="299">
        <v>54788.44</v>
      </c>
      <c r="AZ87" s="299">
        <v>30245.31</v>
      </c>
      <c r="BA87" s="299">
        <v>28936.85</v>
      </c>
      <c r="BB87" s="299">
        <v>0</v>
      </c>
      <c r="BC87" s="299">
        <v>0</v>
      </c>
      <c r="BD87" s="299">
        <v>0</v>
      </c>
      <c r="BE87" s="299">
        <v>2119678.8700000006</v>
      </c>
      <c r="BF87" s="299">
        <v>-43464.470000000671</v>
      </c>
      <c r="BG87" s="299">
        <v>182423.56999999998</v>
      </c>
      <c r="BH87" s="299">
        <v>138959.09999999931</v>
      </c>
      <c r="BI87" s="299">
        <v>0</v>
      </c>
      <c r="BJ87" s="299">
        <v>122278.08</v>
      </c>
      <c r="BK87" s="299">
        <v>122278.08</v>
      </c>
      <c r="BL87" s="299">
        <v>94748.34</v>
      </c>
      <c r="BM87" s="299">
        <v>7539.3</v>
      </c>
      <c r="BN87" s="299">
        <v>102287.64</v>
      </c>
      <c r="BO87" s="299">
        <v>19990.440000000002</v>
      </c>
      <c r="BP87" s="299">
        <v>6176.34</v>
      </c>
      <c r="BQ87" s="299">
        <v>26166.780000000002</v>
      </c>
      <c r="BR87" s="299">
        <v>0</v>
      </c>
      <c r="BS87" s="299">
        <v>138959.09999999934</v>
      </c>
      <c r="BT87" s="299">
        <v>26166.780000000002</v>
      </c>
      <c r="BU87" s="299">
        <v>165125.87999999934</v>
      </c>
      <c r="BV87" s="299">
        <v>8140</v>
      </c>
      <c r="BW87" s="299">
        <v>0</v>
      </c>
      <c r="BX87" s="299">
        <v>0</v>
      </c>
      <c r="BY87" s="299">
        <v>8140</v>
      </c>
      <c r="BZ87" s="299">
        <v>0</v>
      </c>
      <c r="CA87" s="299">
        <v>6269.85</v>
      </c>
      <c r="CB87" s="299">
        <v>0</v>
      </c>
      <c r="CC87" s="299">
        <v>4133.9799999999996</v>
      </c>
      <c r="CD87" s="299">
        <v>10403.83</v>
      </c>
      <c r="CE87" s="299">
        <v>-2263.83</v>
      </c>
      <c r="CF87" s="299">
        <v>22047.99</v>
      </c>
      <c r="CG87" s="299">
        <v>19784.160000000003</v>
      </c>
      <c r="CH87" s="299">
        <v>19784.160000000003</v>
      </c>
      <c r="CI87" s="299">
        <v>0</v>
      </c>
      <c r="CJ87" s="299">
        <v>19784.160000000003</v>
      </c>
    </row>
    <row r="88" spans="1:88" ht="13.8">
      <c r="A88" s="252" t="s">
        <v>1377</v>
      </c>
      <c r="B88" s="288">
        <v>3331</v>
      </c>
      <c r="C88" s="288" t="s">
        <v>790</v>
      </c>
      <c r="D88" s="248" t="s">
        <v>708</v>
      </c>
      <c r="E88" s="399" t="str">
        <f t="shared" si="2"/>
        <v>30EP3331</v>
      </c>
      <c r="F88" s="299">
        <v>711948.01</v>
      </c>
      <c r="G88" s="299">
        <v>0</v>
      </c>
      <c r="H88" s="299">
        <v>10528.2</v>
      </c>
      <c r="I88" s="299">
        <v>0</v>
      </c>
      <c r="J88" s="299">
        <v>31080</v>
      </c>
      <c r="K88" s="299">
        <v>1696</v>
      </c>
      <c r="L88" s="299">
        <v>0</v>
      </c>
      <c r="M88" s="299">
        <v>4140</v>
      </c>
      <c r="N88" s="299">
        <v>21226.14</v>
      </c>
      <c r="O88" s="299">
        <v>8873.4699999999993</v>
      </c>
      <c r="P88" s="299">
        <v>770</v>
      </c>
      <c r="Q88" s="299">
        <v>0</v>
      </c>
      <c r="R88" s="299">
        <v>38521</v>
      </c>
      <c r="S88" s="299">
        <v>0</v>
      </c>
      <c r="T88" s="299">
        <v>0</v>
      </c>
      <c r="U88" s="299">
        <v>0</v>
      </c>
      <c r="V88" s="299">
        <v>0</v>
      </c>
      <c r="W88" s="299">
        <v>619.5</v>
      </c>
      <c r="X88" s="299">
        <v>37441</v>
      </c>
      <c r="Y88" s="299">
        <v>866843.32</v>
      </c>
      <c r="Z88" s="299">
        <v>486710.36</v>
      </c>
      <c r="AA88" s="299">
        <v>0</v>
      </c>
      <c r="AB88" s="299">
        <v>136245.48000000001</v>
      </c>
      <c r="AC88" s="299">
        <v>13867.15</v>
      </c>
      <c r="AD88" s="299">
        <v>40483.120000000003</v>
      </c>
      <c r="AE88" s="299">
        <v>0</v>
      </c>
      <c r="AF88" s="299">
        <v>46851.74</v>
      </c>
      <c r="AG88" s="299">
        <v>1413.4</v>
      </c>
      <c r="AH88" s="299">
        <v>3392.7</v>
      </c>
      <c r="AI88" s="299">
        <v>3050</v>
      </c>
      <c r="AJ88" s="299">
        <v>796.25</v>
      </c>
      <c r="AK88" s="299">
        <v>4596.5</v>
      </c>
      <c r="AL88" s="299">
        <v>2850</v>
      </c>
      <c r="AM88" s="299">
        <v>2125.83</v>
      </c>
      <c r="AN88" s="299">
        <v>565.5</v>
      </c>
      <c r="AO88" s="299">
        <v>14596.09</v>
      </c>
      <c r="AP88" s="299">
        <v>3343.3</v>
      </c>
      <c r="AQ88" s="299">
        <v>5192.8900000000003</v>
      </c>
      <c r="AR88" s="299">
        <v>34856.75</v>
      </c>
      <c r="AS88" s="299">
        <v>15745.07</v>
      </c>
      <c r="AT88" s="299">
        <v>0</v>
      </c>
      <c r="AU88" s="299">
        <v>3821.96</v>
      </c>
      <c r="AV88" s="299">
        <v>2677</v>
      </c>
      <c r="AW88" s="299">
        <v>6462.71</v>
      </c>
      <c r="AX88" s="299">
        <v>33395.660000000003</v>
      </c>
      <c r="AY88" s="299">
        <v>0</v>
      </c>
      <c r="AZ88" s="299">
        <v>34321.81</v>
      </c>
      <c r="BA88" s="299">
        <v>20628.64</v>
      </c>
      <c r="BB88" s="299">
        <v>0</v>
      </c>
      <c r="BC88" s="299">
        <v>0</v>
      </c>
      <c r="BD88" s="299">
        <v>1105.6199999999999</v>
      </c>
      <c r="BE88" s="299">
        <v>919095.5299999998</v>
      </c>
      <c r="BF88" s="299">
        <v>-52252.209999999846</v>
      </c>
      <c r="BG88" s="299">
        <v>110011.56</v>
      </c>
      <c r="BH88" s="299">
        <v>57759.350000000151</v>
      </c>
      <c r="BI88" s="299">
        <v>0</v>
      </c>
      <c r="BJ88" s="299">
        <v>0</v>
      </c>
      <c r="BK88" s="299">
        <v>0</v>
      </c>
      <c r="BL88" s="299">
        <v>0</v>
      </c>
      <c r="BM88" s="299">
        <v>0</v>
      </c>
      <c r="BN88" s="299">
        <v>0</v>
      </c>
      <c r="BO88" s="299">
        <v>0</v>
      </c>
      <c r="BP88" s="299">
        <v>0</v>
      </c>
      <c r="BQ88" s="299">
        <v>0</v>
      </c>
      <c r="BR88" s="299">
        <v>21557.93</v>
      </c>
      <c r="BS88" s="299">
        <v>36201.419999999918</v>
      </c>
      <c r="BT88" s="299">
        <v>0</v>
      </c>
      <c r="BU88" s="299">
        <v>57759.349999999919</v>
      </c>
      <c r="BV88" s="299">
        <v>0</v>
      </c>
      <c r="BW88" s="299">
        <v>0</v>
      </c>
      <c r="BX88" s="299">
        <v>0</v>
      </c>
      <c r="BY88" s="299">
        <v>0</v>
      </c>
      <c r="BZ88" s="299">
        <v>0</v>
      </c>
      <c r="CA88" s="299">
        <v>0</v>
      </c>
      <c r="CB88" s="299">
        <v>0</v>
      </c>
      <c r="CC88" s="299">
        <v>0</v>
      </c>
      <c r="CD88" s="299">
        <v>0</v>
      </c>
      <c r="CE88" s="299">
        <v>0</v>
      </c>
      <c r="CF88" s="299">
        <v>0</v>
      </c>
      <c r="CG88" s="299">
        <v>0</v>
      </c>
      <c r="CH88" s="299">
        <v>0</v>
      </c>
      <c r="CI88" s="299">
        <v>0</v>
      </c>
      <c r="CJ88" s="299">
        <v>0</v>
      </c>
    </row>
    <row r="89" spans="1:88" ht="13.8">
      <c r="A89" s="252" t="s">
        <v>1377</v>
      </c>
      <c r="B89" s="288">
        <v>2239</v>
      </c>
      <c r="C89" s="288" t="s">
        <v>791</v>
      </c>
      <c r="D89" s="248" t="s">
        <v>708</v>
      </c>
      <c r="E89" s="399" t="str">
        <f t="shared" si="2"/>
        <v>30EP2239</v>
      </c>
      <c r="F89" s="299">
        <v>1554941.21</v>
      </c>
      <c r="G89" s="299">
        <v>0</v>
      </c>
      <c r="H89" s="299">
        <v>125277.74</v>
      </c>
      <c r="I89" s="299">
        <v>0</v>
      </c>
      <c r="J89" s="299">
        <v>132270</v>
      </c>
      <c r="K89" s="299">
        <v>3820</v>
      </c>
      <c r="L89" s="299">
        <v>0</v>
      </c>
      <c r="M89" s="299">
        <v>2470</v>
      </c>
      <c r="N89" s="299">
        <v>75139.39</v>
      </c>
      <c r="O89" s="299">
        <v>40439.01</v>
      </c>
      <c r="P89" s="299">
        <v>1800</v>
      </c>
      <c r="Q89" s="299">
        <v>1024.92</v>
      </c>
      <c r="R89" s="299">
        <v>39147.839999999997</v>
      </c>
      <c r="S89" s="299">
        <v>0</v>
      </c>
      <c r="T89" s="299">
        <v>0</v>
      </c>
      <c r="U89" s="299">
        <v>0</v>
      </c>
      <c r="V89" s="299">
        <v>0</v>
      </c>
      <c r="W89" s="299">
        <v>5556.25</v>
      </c>
      <c r="X89" s="299">
        <v>19167</v>
      </c>
      <c r="Y89" s="299">
        <v>2001053.3599999999</v>
      </c>
      <c r="Z89" s="299">
        <v>973917.09</v>
      </c>
      <c r="AA89" s="299">
        <v>19976.419999999998</v>
      </c>
      <c r="AB89" s="299">
        <v>319335.71000000002</v>
      </c>
      <c r="AC89" s="299">
        <v>60227.49</v>
      </c>
      <c r="AD89" s="299">
        <v>81377.509999999995</v>
      </c>
      <c r="AE89" s="299">
        <v>0</v>
      </c>
      <c r="AF89" s="299">
        <v>77911.8</v>
      </c>
      <c r="AG89" s="299">
        <v>7765.85</v>
      </c>
      <c r="AH89" s="299">
        <v>9289.48</v>
      </c>
      <c r="AI89" s="299">
        <v>7600</v>
      </c>
      <c r="AJ89" s="299">
        <v>1347.5</v>
      </c>
      <c r="AK89" s="299">
        <v>17024.66</v>
      </c>
      <c r="AL89" s="299">
        <v>2400</v>
      </c>
      <c r="AM89" s="299">
        <v>5840.22</v>
      </c>
      <c r="AN89" s="299">
        <v>7571.4</v>
      </c>
      <c r="AO89" s="299">
        <v>34104.85</v>
      </c>
      <c r="AP89" s="299">
        <v>31122</v>
      </c>
      <c r="AQ89" s="299">
        <v>8593.16</v>
      </c>
      <c r="AR89" s="299">
        <v>107630.63</v>
      </c>
      <c r="AS89" s="299">
        <v>41480.339999999997</v>
      </c>
      <c r="AT89" s="299">
        <v>0</v>
      </c>
      <c r="AU89" s="299">
        <v>17911.11</v>
      </c>
      <c r="AV89" s="299">
        <v>6080.84</v>
      </c>
      <c r="AW89" s="299">
        <v>12162.26</v>
      </c>
      <c r="AX89" s="299">
        <v>87237.57</v>
      </c>
      <c r="AY89" s="299">
        <v>80799.67</v>
      </c>
      <c r="AZ89" s="299">
        <v>17877.03</v>
      </c>
      <c r="BA89" s="299">
        <v>24550.94</v>
      </c>
      <c r="BB89" s="299">
        <v>0</v>
      </c>
      <c r="BC89" s="299">
        <v>0</v>
      </c>
      <c r="BD89" s="299">
        <v>0</v>
      </c>
      <c r="BE89" s="299">
        <v>2061135.5300000003</v>
      </c>
      <c r="BF89" s="299">
        <v>-60082.170000000391</v>
      </c>
      <c r="BG89" s="299">
        <v>402457.12</v>
      </c>
      <c r="BH89" s="299">
        <v>342374.9499999996</v>
      </c>
      <c r="BI89" s="299">
        <v>0</v>
      </c>
      <c r="BJ89" s="299">
        <v>0</v>
      </c>
      <c r="BK89" s="299">
        <v>0</v>
      </c>
      <c r="BL89" s="299">
        <v>0</v>
      </c>
      <c r="BM89" s="299">
        <v>0</v>
      </c>
      <c r="BN89" s="299">
        <v>0</v>
      </c>
      <c r="BO89" s="299">
        <v>0</v>
      </c>
      <c r="BP89" s="299">
        <v>0</v>
      </c>
      <c r="BQ89" s="299">
        <v>0</v>
      </c>
      <c r="BR89" s="299">
        <v>23800.760000000002</v>
      </c>
      <c r="BS89" s="299">
        <v>318574.18999999983</v>
      </c>
      <c r="BT89" s="299">
        <v>0</v>
      </c>
      <c r="BU89" s="299">
        <v>342374.94999999984</v>
      </c>
      <c r="BV89" s="299">
        <v>7701.25</v>
      </c>
      <c r="BW89" s="299">
        <v>0</v>
      </c>
      <c r="BX89" s="299">
        <v>0</v>
      </c>
      <c r="BY89" s="299">
        <v>7701.25</v>
      </c>
      <c r="BZ89" s="299">
        <v>0</v>
      </c>
      <c r="CA89" s="299">
        <v>13749.2</v>
      </c>
      <c r="CB89" s="299">
        <v>0</v>
      </c>
      <c r="CC89" s="299">
        <v>0</v>
      </c>
      <c r="CD89" s="299">
        <v>13749.2</v>
      </c>
      <c r="CE89" s="299">
        <v>-6047.9500000000007</v>
      </c>
      <c r="CF89" s="299">
        <v>24564.21</v>
      </c>
      <c r="CG89" s="299">
        <v>18516.259999999998</v>
      </c>
      <c r="CH89" s="299">
        <v>18516.259999999998</v>
      </c>
      <c r="CI89" s="299">
        <v>0</v>
      </c>
      <c r="CJ89" s="299">
        <v>18516.259999999998</v>
      </c>
    </row>
    <row r="90" spans="1:88" ht="13.8">
      <c r="A90" s="252" t="s">
        <v>1377</v>
      </c>
      <c r="B90" s="288">
        <v>2219</v>
      </c>
      <c r="C90" s="288" t="s">
        <v>792</v>
      </c>
      <c r="D90" s="248" t="s">
        <v>708</v>
      </c>
      <c r="E90" s="399" t="str">
        <f t="shared" si="2"/>
        <v>30EP2219</v>
      </c>
      <c r="F90" s="299">
        <v>1140004.22</v>
      </c>
      <c r="G90" s="299">
        <v>0</v>
      </c>
      <c r="H90" s="299">
        <v>132386.91</v>
      </c>
      <c r="I90" s="299">
        <v>0</v>
      </c>
      <c r="J90" s="299">
        <v>61380</v>
      </c>
      <c r="K90" s="299">
        <v>2754</v>
      </c>
      <c r="L90" s="299">
        <v>0</v>
      </c>
      <c r="M90" s="299">
        <v>5833.91</v>
      </c>
      <c r="N90" s="299">
        <v>14631.16</v>
      </c>
      <c r="O90" s="299">
        <v>820.6</v>
      </c>
      <c r="P90" s="299">
        <v>10488</v>
      </c>
      <c r="Q90" s="299">
        <v>0</v>
      </c>
      <c r="R90" s="299">
        <v>190</v>
      </c>
      <c r="S90" s="299">
        <v>2450.89</v>
      </c>
      <c r="T90" s="299">
        <v>0</v>
      </c>
      <c r="U90" s="299">
        <v>0</v>
      </c>
      <c r="V90" s="299">
        <v>0</v>
      </c>
      <c r="W90" s="299">
        <v>-125</v>
      </c>
      <c r="X90" s="299">
        <v>90528</v>
      </c>
      <c r="Y90" s="299">
        <v>1461342.6899999997</v>
      </c>
      <c r="Z90" s="299">
        <v>725954.34</v>
      </c>
      <c r="AA90" s="299">
        <v>7067.08</v>
      </c>
      <c r="AB90" s="299">
        <v>356206.63</v>
      </c>
      <c r="AC90" s="299">
        <v>45191.74</v>
      </c>
      <c r="AD90" s="299">
        <v>59696.639999999999</v>
      </c>
      <c r="AE90" s="299">
        <v>0</v>
      </c>
      <c r="AF90" s="299">
        <v>13819.49</v>
      </c>
      <c r="AG90" s="299">
        <v>5715.47</v>
      </c>
      <c r="AH90" s="299">
        <v>4246.47</v>
      </c>
      <c r="AI90" s="299">
        <v>5125</v>
      </c>
      <c r="AJ90" s="299">
        <v>100</v>
      </c>
      <c r="AK90" s="299">
        <v>13180.81</v>
      </c>
      <c r="AL90" s="299">
        <v>2206.06</v>
      </c>
      <c r="AM90" s="299">
        <v>4111.42</v>
      </c>
      <c r="AN90" s="299">
        <v>17204.55</v>
      </c>
      <c r="AO90" s="299">
        <v>37963.65</v>
      </c>
      <c r="AP90" s="299">
        <v>23078.75</v>
      </c>
      <c r="AQ90" s="299">
        <v>5152.71</v>
      </c>
      <c r="AR90" s="299">
        <v>11751.95</v>
      </c>
      <c r="AS90" s="299">
        <v>37818.449999999997</v>
      </c>
      <c r="AT90" s="299">
        <v>0</v>
      </c>
      <c r="AU90" s="299">
        <v>6678.26</v>
      </c>
      <c r="AV90" s="299">
        <v>4838.37</v>
      </c>
      <c r="AW90" s="299">
        <v>0</v>
      </c>
      <c r="AX90" s="299">
        <v>70786.070000000007</v>
      </c>
      <c r="AY90" s="299">
        <v>3758.96</v>
      </c>
      <c r="AZ90" s="299">
        <v>2473</v>
      </c>
      <c r="BA90" s="299">
        <v>15237.11</v>
      </c>
      <c r="BB90" s="299">
        <v>0</v>
      </c>
      <c r="BC90" s="299">
        <v>0</v>
      </c>
      <c r="BD90" s="299">
        <v>7428.32</v>
      </c>
      <c r="BE90" s="299">
        <v>1486791.2999999998</v>
      </c>
      <c r="BF90" s="299">
        <v>-25448.610000000102</v>
      </c>
      <c r="BG90" s="299">
        <v>367311.56</v>
      </c>
      <c r="BH90" s="299">
        <v>341862.9499999999</v>
      </c>
      <c r="BI90" s="299">
        <v>311715.46000000002</v>
      </c>
      <c r="BJ90" s="299">
        <v>59453.86</v>
      </c>
      <c r="BK90" s="299">
        <v>371169.32</v>
      </c>
      <c r="BL90" s="299">
        <v>264363.62</v>
      </c>
      <c r="BM90" s="299">
        <v>42002.03</v>
      </c>
      <c r="BN90" s="299">
        <v>306365.65000000002</v>
      </c>
      <c r="BO90" s="299">
        <v>64803.669999999984</v>
      </c>
      <c r="BP90" s="299">
        <v>104615.83</v>
      </c>
      <c r="BQ90" s="299">
        <v>169419.5</v>
      </c>
      <c r="BR90" s="299">
        <v>289549.34999999998</v>
      </c>
      <c r="BS90" s="299">
        <v>43402.520000000077</v>
      </c>
      <c r="BT90" s="299">
        <v>178330.58000000002</v>
      </c>
      <c r="BU90" s="299">
        <v>511282.45000000007</v>
      </c>
      <c r="BV90" s="299">
        <v>6677.5</v>
      </c>
      <c r="BW90" s="299">
        <v>0</v>
      </c>
      <c r="BX90" s="299">
        <v>7428.32</v>
      </c>
      <c r="BY90" s="299">
        <v>14105.82</v>
      </c>
      <c r="BZ90" s="299">
        <v>0</v>
      </c>
      <c r="CA90" s="299">
        <v>0</v>
      </c>
      <c r="CB90" s="299">
        <v>0</v>
      </c>
      <c r="CC90" s="299">
        <v>27192.93</v>
      </c>
      <c r="CD90" s="299">
        <v>27192.93</v>
      </c>
      <c r="CE90" s="299">
        <v>-13087.11</v>
      </c>
      <c r="CF90" s="299">
        <v>13087.11</v>
      </c>
      <c r="CG90" s="299">
        <v>0</v>
      </c>
      <c r="CH90" s="299">
        <v>0</v>
      </c>
      <c r="CI90" s="299">
        <v>0</v>
      </c>
      <c r="CJ90" s="299">
        <v>0</v>
      </c>
    </row>
    <row r="91" spans="1:88" ht="13.8">
      <c r="A91" s="252" t="s">
        <v>1377</v>
      </c>
      <c r="B91" s="288">
        <v>2333</v>
      </c>
      <c r="C91" s="288" t="s">
        <v>793</v>
      </c>
      <c r="D91" s="248" t="s">
        <v>708</v>
      </c>
      <c r="E91" s="399" t="str">
        <f t="shared" si="2"/>
        <v>30EP2333</v>
      </c>
      <c r="F91" s="299">
        <v>2090113.27</v>
      </c>
      <c r="G91" s="299">
        <v>0</v>
      </c>
      <c r="H91" s="299">
        <v>127629</v>
      </c>
      <c r="I91" s="299">
        <v>0</v>
      </c>
      <c r="J91" s="299">
        <v>110220</v>
      </c>
      <c r="K91" s="299">
        <v>4702.5</v>
      </c>
      <c r="L91" s="299">
        <v>12133.07</v>
      </c>
      <c r="M91" s="299">
        <v>67240.27</v>
      </c>
      <c r="N91" s="299">
        <v>102327.92</v>
      </c>
      <c r="O91" s="299">
        <v>0</v>
      </c>
      <c r="P91" s="299">
        <v>0</v>
      </c>
      <c r="Q91" s="299">
        <v>2243.56</v>
      </c>
      <c r="R91" s="299">
        <v>20273.02</v>
      </c>
      <c r="S91" s="299">
        <v>3146.8</v>
      </c>
      <c r="T91" s="299">
        <v>0</v>
      </c>
      <c r="U91" s="299">
        <v>0</v>
      </c>
      <c r="V91" s="299">
        <v>0</v>
      </c>
      <c r="W91" s="299">
        <v>4699.38</v>
      </c>
      <c r="X91" s="299">
        <v>82772</v>
      </c>
      <c r="Y91" s="299">
        <v>2627500.7899999996</v>
      </c>
      <c r="Z91" s="299">
        <v>1240889.08</v>
      </c>
      <c r="AA91" s="299">
        <v>29023.64</v>
      </c>
      <c r="AB91" s="299">
        <v>519111.71</v>
      </c>
      <c r="AC91" s="299">
        <v>80528.44</v>
      </c>
      <c r="AD91" s="299">
        <v>140373.76000000001</v>
      </c>
      <c r="AE91" s="299">
        <v>0</v>
      </c>
      <c r="AF91" s="299">
        <v>43865.32</v>
      </c>
      <c r="AG91" s="299">
        <v>937.2</v>
      </c>
      <c r="AH91" s="299">
        <v>-407.05</v>
      </c>
      <c r="AI91" s="299">
        <v>10500</v>
      </c>
      <c r="AJ91" s="299">
        <v>2673.75</v>
      </c>
      <c r="AK91" s="299">
        <v>20686.68</v>
      </c>
      <c r="AL91" s="299">
        <v>6925</v>
      </c>
      <c r="AM91" s="299">
        <v>4369.6099999999997</v>
      </c>
      <c r="AN91" s="299">
        <v>3317.37</v>
      </c>
      <c r="AO91" s="299">
        <v>69607.350000000006</v>
      </c>
      <c r="AP91" s="299">
        <v>8517.6</v>
      </c>
      <c r="AQ91" s="299">
        <v>8568.02</v>
      </c>
      <c r="AR91" s="299">
        <v>66923.009999999995</v>
      </c>
      <c r="AS91" s="299">
        <v>42388.86</v>
      </c>
      <c r="AT91" s="299">
        <v>0</v>
      </c>
      <c r="AU91" s="299">
        <v>10316.44</v>
      </c>
      <c r="AV91" s="299">
        <v>8345.2999999999993</v>
      </c>
      <c r="AW91" s="299">
        <v>0</v>
      </c>
      <c r="AX91" s="299">
        <v>112610.44</v>
      </c>
      <c r="AY91" s="299">
        <v>2085.7800000000002</v>
      </c>
      <c r="AZ91" s="299">
        <v>77118.61</v>
      </c>
      <c r="BA91" s="299">
        <v>20523.18</v>
      </c>
      <c r="BB91" s="299">
        <v>0</v>
      </c>
      <c r="BC91" s="299">
        <v>1896.07</v>
      </c>
      <c r="BD91" s="299">
        <v>4106.29</v>
      </c>
      <c r="BE91" s="299">
        <v>2535801.459999999</v>
      </c>
      <c r="BF91" s="299">
        <v>91699.33000000054</v>
      </c>
      <c r="BG91" s="299">
        <v>84806.03</v>
      </c>
      <c r="BH91" s="299">
        <v>176505.36000000054</v>
      </c>
      <c r="BI91" s="299">
        <v>0</v>
      </c>
      <c r="BJ91" s="299">
        <v>0</v>
      </c>
      <c r="BK91" s="299">
        <v>0</v>
      </c>
      <c r="BL91" s="299">
        <v>0</v>
      </c>
      <c r="BM91" s="299">
        <v>0</v>
      </c>
      <c r="BN91" s="299">
        <v>0</v>
      </c>
      <c r="BO91" s="299">
        <v>0</v>
      </c>
      <c r="BP91" s="299">
        <v>0</v>
      </c>
      <c r="BQ91" s="299">
        <v>0</v>
      </c>
      <c r="BR91" s="299">
        <v>37910.070000000007</v>
      </c>
      <c r="BS91" s="299">
        <v>138595.29000000007</v>
      </c>
      <c r="BT91" s="299">
        <v>0</v>
      </c>
      <c r="BU91" s="299">
        <v>176505.36000000007</v>
      </c>
      <c r="BV91" s="299">
        <v>8728.3799999999992</v>
      </c>
      <c r="BW91" s="299">
        <v>0</v>
      </c>
      <c r="BX91" s="299">
        <v>0</v>
      </c>
      <c r="BY91" s="299">
        <v>8728.3799999999992</v>
      </c>
      <c r="BZ91" s="299">
        <v>0</v>
      </c>
      <c r="CA91" s="299">
        <v>2254.15</v>
      </c>
      <c r="CB91" s="299">
        <v>0</v>
      </c>
      <c r="CC91" s="299">
        <v>1245.95</v>
      </c>
      <c r="CD91" s="299">
        <v>3500.1000000000004</v>
      </c>
      <c r="CE91" s="299">
        <v>5228.2799999999988</v>
      </c>
      <c r="CF91" s="299">
        <v>27734</v>
      </c>
      <c r="CG91" s="299">
        <v>32962.28</v>
      </c>
      <c r="CH91" s="299">
        <v>32962.479999999996</v>
      </c>
      <c r="CI91" s="299">
        <v>0</v>
      </c>
      <c r="CJ91" s="299">
        <v>32962.479999999996</v>
      </c>
    </row>
    <row r="92" spans="1:88" ht="13.8">
      <c r="A92" s="252" t="s">
        <v>1377</v>
      </c>
      <c r="B92" s="288">
        <v>3946</v>
      </c>
      <c r="C92" s="288" t="s">
        <v>794</v>
      </c>
      <c r="D92" s="248" t="s">
        <v>708</v>
      </c>
      <c r="E92" s="399" t="str">
        <f t="shared" si="2"/>
        <v>30EP3946</v>
      </c>
      <c r="F92" s="299">
        <v>2195774.36</v>
      </c>
      <c r="G92" s="299">
        <v>0</v>
      </c>
      <c r="H92" s="299">
        <v>162203.6</v>
      </c>
      <c r="I92" s="299">
        <v>0</v>
      </c>
      <c r="J92" s="299">
        <v>129770</v>
      </c>
      <c r="K92" s="299">
        <v>10278.86</v>
      </c>
      <c r="L92" s="299">
        <v>26538.19</v>
      </c>
      <c r="M92" s="299">
        <v>33958.21</v>
      </c>
      <c r="N92" s="299">
        <v>192983.93</v>
      </c>
      <c r="O92" s="299">
        <v>0</v>
      </c>
      <c r="P92" s="299">
        <v>2250</v>
      </c>
      <c r="Q92" s="299">
        <v>2449.7199999999998</v>
      </c>
      <c r="R92" s="299">
        <v>11763.77</v>
      </c>
      <c r="S92" s="299">
        <v>14161.21</v>
      </c>
      <c r="T92" s="299">
        <v>0</v>
      </c>
      <c r="U92" s="299">
        <v>0</v>
      </c>
      <c r="V92" s="299">
        <v>0</v>
      </c>
      <c r="W92" s="299">
        <v>4150.88</v>
      </c>
      <c r="X92" s="299">
        <v>74511</v>
      </c>
      <c r="Y92" s="299">
        <v>2860793.73</v>
      </c>
      <c r="Z92" s="299">
        <v>1155307.02</v>
      </c>
      <c r="AA92" s="299">
        <v>24308.12</v>
      </c>
      <c r="AB92" s="299">
        <v>738826.39</v>
      </c>
      <c r="AC92" s="299">
        <v>77710.240000000005</v>
      </c>
      <c r="AD92" s="299">
        <v>135695.56</v>
      </c>
      <c r="AE92" s="299">
        <v>0</v>
      </c>
      <c r="AF92" s="299">
        <v>23746.99</v>
      </c>
      <c r="AG92" s="299">
        <v>8676.6</v>
      </c>
      <c r="AH92" s="299">
        <v>4605.43</v>
      </c>
      <c r="AI92" s="299">
        <v>10800</v>
      </c>
      <c r="AJ92" s="299">
        <v>2742.5</v>
      </c>
      <c r="AK92" s="299">
        <v>31708.959999999999</v>
      </c>
      <c r="AL92" s="299">
        <v>5717.41</v>
      </c>
      <c r="AM92" s="299">
        <v>6264.91</v>
      </c>
      <c r="AN92" s="299">
        <v>7340.7</v>
      </c>
      <c r="AO92" s="299">
        <v>88964.4</v>
      </c>
      <c r="AP92" s="299">
        <v>15847.03</v>
      </c>
      <c r="AQ92" s="299">
        <v>6598.11</v>
      </c>
      <c r="AR92" s="299">
        <v>54815.11</v>
      </c>
      <c r="AS92" s="299">
        <v>50190.910000000011</v>
      </c>
      <c r="AT92" s="299">
        <v>0</v>
      </c>
      <c r="AU92" s="299">
        <v>11600.51</v>
      </c>
      <c r="AV92" s="299">
        <v>8684.74</v>
      </c>
      <c r="AW92" s="299">
        <v>0</v>
      </c>
      <c r="AX92" s="299">
        <v>112466.88</v>
      </c>
      <c r="AY92" s="299">
        <v>72073.460000000006</v>
      </c>
      <c r="AZ92" s="299">
        <v>103882.46</v>
      </c>
      <c r="BA92" s="299">
        <v>24441.39</v>
      </c>
      <c r="BB92" s="299">
        <v>0</v>
      </c>
      <c r="BC92" s="299">
        <v>2636.92</v>
      </c>
      <c r="BD92" s="299">
        <v>5833.53</v>
      </c>
      <c r="BE92" s="299">
        <v>2791486.2800000003</v>
      </c>
      <c r="BF92" s="299">
        <v>69307.449999999721</v>
      </c>
      <c r="BG92" s="299">
        <v>-537694.64</v>
      </c>
      <c r="BH92" s="299">
        <v>-468387.19000000029</v>
      </c>
      <c r="BI92" s="299">
        <v>0</v>
      </c>
      <c r="BJ92" s="299">
        <v>0</v>
      </c>
      <c r="BK92" s="299">
        <v>0</v>
      </c>
      <c r="BL92" s="299">
        <v>0</v>
      </c>
      <c r="BM92" s="299">
        <v>0</v>
      </c>
      <c r="BN92" s="299">
        <v>0</v>
      </c>
      <c r="BO92" s="299">
        <v>0</v>
      </c>
      <c r="BP92" s="299">
        <v>0</v>
      </c>
      <c r="BQ92" s="299">
        <v>0</v>
      </c>
      <c r="BR92" s="299">
        <v>42894.080000000002</v>
      </c>
      <c r="BS92" s="299">
        <v>-511281.26999999984</v>
      </c>
      <c r="BT92" s="299">
        <v>0</v>
      </c>
      <c r="BU92" s="299">
        <v>-468387.18999999983</v>
      </c>
      <c r="BV92" s="299">
        <v>9077.35</v>
      </c>
      <c r="BW92" s="299">
        <v>0</v>
      </c>
      <c r="BX92" s="299">
        <v>0</v>
      </c>
      <c r="BY92" s="299">
        <v>9077.35</v>
      </c>
      <c r="BZ92" s="299">
        <v>0</v>
      </c>
      <c r="CA92" s="299">
        <v>16759.72</v>
      </c>
      <c r="CB92" s="299">
        <v>0</v>
      </c>
      <c r="CC92" s="299">
        <v>0</v>
      </c>
      <c r="CD92" s="299">
        <v>16759.72</v>
      </c>
      <c r="CE92" s="299">
        <v>-7682.3700000000008</v>
      </c>
      <c r="CF92" s="299">
        <v>54828</v>
      </c>
      <c r="CG92" s="299">
        <v>47145.63</v>
      </c>
      <c r="CH92" s="299">
        <v>47145.75</v>
      </c>
      <c r="CI92" s="299">
        <v>0</v>
      </c>
      <c r="CJ92" s="299">
        <v>47145.75</v>
      </c>
    </row>
    <row r="93" spans="1:88" ht="13.8">
      <c r="A93" s="252" t="s">
        <v>1377</v>
      </c>
      <c r="B93" s="288">
        <v>2453</v>
      </c>
      <c r="C93" s="288" t="s">
        <v>795</v>
      </c>
      <c r="D93" s="248" t="s">
        <v>708</v>
      </c>
      <c r="E93" s="399" t="str">
        <f t="shared" si="2"/>
        <v>30EP2453</v>
      </c>
      <c r="F93" s="299">
        <v>1119901.93</v>
      </c>
      <c r="G93" s="299">
        <v>0</v>
      </c>
      <c r="H93" s="299">
        <v>119851.93</v>
      </c>
      <c r="I93" s="299">
        <v>0</v>
      </c>
      <c r="J93" s="299">
        <v>87630</v>
      </c>
      <c r="K93" s="299">
        <v>2157.29</v>
      </c>
      <c r="L93" s="299">
        <v>0</v>
      </c>
      <c r="M93" s="299">
        <v>20790</v>
      </c>
      <c r="N93" s="299">
        <v>19867.02</v>
      </c>
      <c r="O93" s="299">
        <v>0</v>
      </c>
      <c r="P93" s="299">
        <v>0</v>
      </c>
      <c r="Q93" s="299">
        <v>260.26</v>
      </c>
      <c r="R93" s="299">
        <v>16896.2</v>
      </c>
      <c r="S93" s="299">
        <v>1060.26</v>
      </c>
      <c r="T93" s="299">
        <v>0</v>
      </c>
      <c r="U93" s="299">
        <v>0</v>
      </c>
      <c r="V93" s="299">
        <v>0</v>
      </c>
      <c r="W93" s="299">
        <v>3697.5</v>
      </c>
      <c r="X93" s="299">
        <v>48502</v>
      </c>
      <c r="Y93" s="299">
        <v>1440614.39</v>
      </c>
      <c r="Z93" s="299">
        <v>655956.98</v>
      </c>
      <c r="AA93" s="299">
        <v>0</v>
      </c>
      <c r="AB93" s="299">
        <v>390089.34</v>
      </c>
      <c r="AC93" s="299">
        <v>4135.9799999999996</v>
      </c>
      <c r="AD93" s="299">
        <v>52279.02</v>
      </c>
      <c r="AE93" s="299">
        <v>0</v>
      </c>
      <c r="AF93" s="299">
        <v>34280.82</v>
      </c>
      <c r="AG93" s="299">
        <v>433.88</v>
      </c>
      <c r="AH93" s="299">
        <v>7219.72</v>
      </c>
      <c r="AI93" s="299">
        <v>5100</v>
      </c>
      <c r="AJ93" s="299">
        <v>2250</v>
      </c>
      <c r="AK93" s="299">
        <v>11829.39</v>
      </c>
      <c r="AL93" s="299">
        <v>792</v>
      </c>
      <c r="AM93" s="299">
        <v>25413.37</v>
      </c>
      <c r="AN93" s="299">
        <v>3417.75</v>
      </c>
      <c r="AO93" s="299">
        <v>24889.59</v>
      </c>
      <c r="AP93" s="299">
        <v>7098</v>
      </c>
      <c r="AQ93" s="299">
        <v>6680.89</v>
      </c>
      <c r="AR93" s="299">
        <v>36065.14</v>
      </c>
      <c r="AS93" s="299">
        <v>37131.879999999997</v>
      </c>
      <c r="AT93" s="299">
        <v>0</v>
      </c>
      <c r="AU93" s="299">
        <v>12005.98</v>
      </c>
      <c r="AV93" s="299">
        <v>4389.6499999999996</v>
      </c>
      <c r="AW93" s="299">
        <v>450.9</v>
      </c>
      <c r="AX93" s="299">
        <v>49541.97</v>
      </c>
      <c r="AY93" s="299">
        <v>0</v>
      </c>
      <c r="AZ93" s="299">
        <v>42381.63</v>
      </c>
      <c r="BA93" s="299">
        <v>44032.74</v>
      </c>
      <c r="BB93" s="299">
        <v>0</v>
      </c>
      <c r="BC93" s="299">
        <v>0</v>
      </c>
      <c r="BD93" s="299">
        <v>0</v>
      </c>
      <c r="BE93" s="299">
        <v>1457866.6199999994</v>
      </c>
      <c r="BF93" s="299">
        <v>-17252.229999999516</v>
      </c>
      <c r="BG93" s="299">
        <v>207326.59</v>
      </c>
      <c r="BH93" s="299">
        <v>190074.36000000048</v>
      </c>
      <c r="BI93" s="299">
        <v>0</v>
      </c>
      <c r="BJ93" s="299">
        <v>96467.7</v>
      </c>
      <c r="BK93" s="299">
        <v>96467.7</v>
      </c>
      <c r="BL93" s="299">
        <v>88555.54</v>
      </c>
      <c r="BM93" s="299">
        <v>80.680000000000007</v>
      </c>
      <c r="BN93" s="299">
        <v>88636.219999999987</v>
      </c>
      <c r="BO93" s="299">
        <v>7831.4800000000105</v>
      </c>
      <c r="BP93" s="299">
        <v>0</v>
      </c>
      <c r="BQ93" s="299">
        <v>7831.4800000000105</v>
      </c>
      <c r="BR93" s="299">
        <v>31954.07</v>
      </c>
      <c r="BS93" s="299">
        <v>146130.14000000048</v>
      </c>
      <c r="BT93" s="299">
        <v>19821.629999999997</v>
      </c>
      <c r="BU93" s="299">
        <v>197905.84000000049</v>
      </c>
      <c r="BV93" s="299">
        <v>204215.8</v>
      </c>
      <c r="BW93" s="299">
        <v>126735.64</v>
      </c>
      <c r="BX93" s="299">
        <v>0</v>
      </c>
      <c r="BY93" s="299">
        <v>330951.44</v>
      </c>
      <c r="BZ93" s="299">
        <v>0</v>
      </c>
      <c r="CA93" s="299">
        <v>337599.94</v>
      </c>
      <c r="CB93" s="299">
        <v>0</v>
      </c>
      <c r="CC93" s="299">
        <v>0</v>
      </c>
      <c r="CD93" s="299">
        <v>337599.94</v>
      </c>
      <c r="CE93" s="299">
        <v>-6648.5</v>
      </c>
      <c r="CF93" s="299">
        <v>16147.32</v>
      </c>
      <c r="CG93" s="299">
        <v>9498.82</v>
      </c>
      <c r="CH93" s="299">
        <v>9498.82</v>
      </c>
      <c r="CI93" s="299">
        <v>0</v>
      </c>
      <c r="CJ93" s="299">
        <v>9498.82</v>
      </c>
    </row>
    <row r="94" spans="1:88" ht="13.8">
      <c r="A94" s="252" t="s">
        <v>1377</v>
      </c>
      <c r="B94" s="288">
        <v>2070</v>
      </c>
      <c r="C94" s="288" t="s">
        <v>796</v>
      </c>
      <c r="D94" s="248" t="s">
        <v>708</v>
      </c>
      <c r="E94" s="399" t="str">
        <f t="shared" si="2"/>
        <v>30EP2070</v>
      </c>
      <c r="F94" s="299">
        <v>1418649.25</v>
      </c>
      <c r="G94" s="299">
        <v>0</v>
      </c>
      <c r="H94" s="299">
        <v>46474.69</v>
      </c>
      <c r="I94" s="299">
        <v>0</v>
      </c>
      <c r="J94" s="299">
        <v>92932</v>
      </c>
      <c r="K94" s="299">
        <v>7858</v>
      </c>
      <c r="L94" s="299">
        <v>0</v>
      </c>
      <c r="M94" s="299">
        <v>14113.25</v>
      </c>
      <c r="N94" s="299">
        <v>57287.64</v>
      </c>
      <c r="O94" s="299">
        <v>26163.54</v>
      </c>
      <c r="P94" s="299">
        <v>1518</v>
      </c>
      <c r="Q94" s="299">
        <v>2723.24</v>
      </c>
      <c r="R94" s="299">
        <v>36904.94</v>
      </c>
      <c r="S94" s="299">
        <v>11556.81</v>
      </c>
      <c r="T94" s="299">
        <v>0</v>
      </c>
      <c r="U94" s="299">
        <v>0</v>
      </c>
      <c r="V94" s="299">
        <v>0</v>
      </c>
      <c r="W94" s="299">
        <v>3388.13</v>
      </c>
      <c r="X94" s="299">
        <v>65978</v>
      </c>
      <c r="Y94" s="299">
        <v>1785547.4899999998</v>
      </c>
      <c r="Z94" s="299">
        <v>919661</v>
      </c>
      <c r="AA94" s="299">
        <v>6358.91</v>
      </c>
      <c r="AB94" s="299">
        <v>354001.91999999998</v>
      </c>
      <c r="AC94" s="299">
        <v>65606.37</v>
      </c>
      <c r="AD94" s="299">
        <v>65528.82</v>
      </c>
      <c r="AE94" s="299">
        <v>49255.34</v>
      </c>
      <c r="AF94" s="299">
        <v>37984.870000000003</v>
      </c>
      <c r="AG94" s="299">
        <v>6586.23</v>
      </c>
      <c r="AH94" s="299">
        <v>7370.43</v>
      </c>
      <c r="AI94" s="299">
        <v>7075</v>
      </c>
      <c r="AJ94" s="299">
        <v>2190</v>
      </c>
      <c r="AK94" s="299">
        <v>5485.32</v>
      </c>
      <c r="AL94" s="299">
        <v>5060</v>
      </c>
      <c r="AM94" s="299">
        <v>4011.55</v>
      </c>
      <c r="AN94" s="299">
        <v>4368</v>
      </c>
      <c r="AO94" s="299">
        <v>22589.98</v>
      </c>
      <c r="AP94" s="299">
        <v>35763</v>
      </c>
      <c r="AQ94" s="299">
        <v>12330.52</v>
      </c>
      <c r="AR94" s="299">
        <v>61124.24</v>
      </c>
      <c r="AS94" s="299">
        <v>29217.55</v>
      </c>
      <c r="AT94" s="299">
        <v>0</v>
      </c>
      <c r="AU94" s="299">
        <v>9324.23</v>
      </c>
      <c r="AV94" s="299">
        <v>5505.55</v>
      </c>
      <c r="AW94" s="299">
        <v>573.85</v>
      </c>
      <c r="AX94" s="299">
        <v>33157.06</v>
      </c>
      <c r="AY94" s="299">
        <v>24964.31</v>
      </c>
      <c r="AZ94" s="299">
        <v>18650.63</v>
      </c>
      <c r="BA94" s="299">
        <v>21986.9</v>
      </c>
      <c r="BB94" s="299">
        <v>0</v>
      </c>
      <c r="BC94" s="299">
        <v>390.6</v>
      </c>
      <c r="BD94" s="299">
        <v>1256.52</v>
      </c>
      <c r="BE94" s="299">
        <v>1817378.7000000007</v>
      </c>
      <c r="BF94" s="299">
        <v>-31831.210000000894</v>
      </c>
      <c r="BG94" s="299">
        <v>187308.7</v>
      </c>
      <c r="BH94" s="299">
        <v>155477.48999999912</v>
      </c>
      <c r="BI94" s="299">
        <v>0</v>
      </c>
      <c r="BJ94" s="299">
        <v>0</v>
      </c>
      <c r="BK94" s="299">
        <v>0</v>
      </c>
      <c r="BL94" s="299">
        <v>0</v>
      </c>
      <c r="BM94" s="299">
        <v>0</v>
      </c>
      <c r="BN94" s="299">
        <v>0</v>
      </c>
      <c r="BO94" s="299">
        <v>0</v>
      </c>
      <c r="BP94" s="299">
        <v>0</v>
      </c>
      <c r="BQ94" s="299">
        <v>0</v>
      </c>
      <c r="BR94" s="299">
        <v>69002.66</v>
      </c>
      <c r="BS94" s="299">
        <v>86474.829999999347</v>
      </c>
      <c r="BT94" s="299">
        <v>0</v>
      </c>
      <c r="BU94" s="299">
        <v>155477.48999999935</v>
      </c>
      <c r="BV94" s="299">
        <v>7217.5</v>
      </c>
      <c r="BW94" s="299">
        <v>0</v>
      </c>
      <c r="BX94" s="299">
        <v>0</v>
      </c>
      <c r="BY94" s="299">
        <v>7217.5</v>
      </c>
      <c r="BZ94" s="299">
        <v>0</v>
      </c>
      <c r="CA94" s="299">
        <v>0.55000000000000004</v>
      </c>
      <c r="CB94" s="299">
        <v>6892.02</v>
      </c>
      <c r="CC94" s="299">
        <v>0</v>
      </c>
      <c r="CD94" s="299">
        <v>6892.5700000000006</v>
      </c>
      <c r="CE94" s="299">
        <v>324.92999999999938</v>
      </c>
      <c r="CF94" s="299">
        <v>21210.719999999998</v>
      </c>
      <c r="CG94" s="299">
        <v>21535.649999999998</v>
      </c>
      <c r="CH94" s="299">
        <v>21535.649999999998</v>
      </c>
      <c r="CI94" s="299">
        <v>0</v>
      </c>
      <c r="CJ94" s="299">
        <v>21535.649999999998</v>
      </c>
    </row>
    <row r="95" spans="1:88" ht="13.8">
      <c r="A95" s="252" t="s">
        <v>1377</v>
      </c>
      <c r="B95" s="288">
        <v>7023</v>
      </c>
      <c r="C95" s="288" t="s">
        <v>797</v>
      </c>
      <c r="D95" s="248" t="s">
        <v>730</v>
      </c>
      <c r="E95" s="399" t="str">
        <f t="shared" si="2"/>
        <v>30ES7023</v>
      </c>
      <c r="F95" s="299">
        <v>1617991.07</v>
      </c>
      <c r="G95" s="299">
        <v>163330.38</v>
      </c>
      <c r="H95" s="299">
        <v>1470916.63</v>
      </c>
      <c r="I95" s="299">
        <v>0</v>
      </c>
      <c r="J95" s="299">
        <v>59690</v>
      </c>
      <c r="K95" s="299">
        <v>856.93</v>
      </c>
      <c r="L95" s="299">
        <v>0</v>
      </c>
      <c r="M95" s="299">
        <v>0</v>
      </c>
      <c r="N95" s="299">
        <v>60963.839999999997</v>
      </c>
      <c r="O95" s="299">
        <v>9452.9599999999991</v>
      </c>
      <c r="P95" s="299">
        <v>4200</v>
      </c>
      <c r="Q95" s="299">
        <v>0</v>
      </c>
      <c r="R95" s="299">
        <v>3707.05</v>
      </c>
      <c r="S95" s="299">
        <v>592.77</v>
      </c>
      <c r="T95" s="299">
        <v>0</v>
      </c>
      <c r="U95" s="299">
        <v>0</v>
      </c>
      <c r="V95" s="299">
        <v>0</v>
      </c>
      <c r="W95" s="299">
        <v>6473.56</v>
      </c>
      <c r="X95" s="299">
        <v>21635</v>
      </c>
      <c r="Y95" s="299">
        <v>3419810.19</v>
      </c>
      <c r="Z95" s="299">
        <v>1286748.97</v>
      </c>
      <c r="AA95" s="299">
        <v>0</v>
      </c>
      <c r="AB95" s="299">
        <v>1286694.6100000001</v>
      </c>
      <c r="AC95" s="299">
        <v>105536.96000000001</v>
      </c>
      <c r="AD95" s="299">
        <v>141646.26999999999</v>
      </c>
      <c r="AE95" s="299">
        <v>0</v>
      </c>
      <c r="AF95" s="299">
        <v>106894.05</v>
      </c>
      <c r="AG95" s="299">
        <v>8125.95</v>
      </c>
      <c r="AH95" s="299">
        <v>6550.1</v>
      </c>
      <c r="AI95" s="299">
        <v>3650.11</v>
      </c>
      <c r="AJ95" s="299">
        <v>0</v>
      </c>
      <c r="AK95" s="299">
        <v>28244.46</v>
      </c>
      <c r="AL95" s="299">
        <v>34.76</v>
      </c>
      <c r="AM95" s="299">
        <v>9609.6299999999992</v>
      </c>
      <c r="AN95" s="299">
        <v>9248.52</v>
      </c>
      <c r="AO95" s="299">
        <v>84941.33</v>
      </c>
      <c r="AP95" s="299">
        <v>0</v>
      </c>
      <c r="AQ95" s="299">
        <v>16444.89</v>
      </c>
      <c r="AR95" s="299">
        <v>44640.160000000003</v>
      </c>
      <c r="AS95" s="299">
        <v>33108.479999999996</v>
      </c>
      <c r="AT95" s="299">
        <v>1471.92</v>
      </c>
      <c r="AU95" s="299">
        <v>8220.6</v>
      </c>
      <c r="AV95" s="299">
        <v>8865.26</v>
      </c>
      <c r="AW95" s="299">
        <v>207.81</v>
      </c>
      <c r="AX95" s="299">
        <v>50823.94</v>
      </c>
      <c r="AY95" s="299">
        <v>0</v>
      </c>
      <c r="AZ95" s="299">
        <v>2596.6999999999998</v>
      </c>
      <c r="BA95" s="299">
        <v>72014.97</v>
      </c>
      <c r="BB95" s="299">
        <v>0</v>
      </c>
      <c r="BC95" s="299">
        <v>3337.55</v>
      </c>
      <c r="BD95" s="299">
        <v>11378.68</v>
      </c>
      <c r="BE95" s="299">
        <v>3331036.68</v>
      </c>
      <c r="BF95" s="299">
        <v>88773.509999999776</v>
      </c>
      <c r="BG95" s="299">
        <v>195621.41</v>
      </c>
      <c r="BH95" s="299">
        <v>284394.91999999981</v>
      </c>
      <c r="BI95" s="299">
        <v>0</v>
      </c>
      <c r="BJ95" s="299">
        <v>0</v>
      </c>
      <c r="BK95" s="299">
        <v>0</v>
      </c>
      <c r="BL95" s="299">
        <v>0</v>
      </c>
      <c r="BM95" s="299">
        <v>0</v>
      </c>
      <c r="BN95" s="299">
        <v>0</v>
      </c>
      <c r="BO95" s="299">
        <v>0</v>
      </c>
      <c r="BP95" s="299">
        <v>0</v>
      </c>
      <c r="BQ95" s="299">
        <v>0</v>
      </c>
      <c r="BR95" s="299">
        <v>89738.63</v>
      </c>
      <c r="BS95" s="299">
        <v>194656.2899999998</v>
      </c>
      <c r="BT95" s="299">
        <v>0</v>
      </c>
      <c r="BU95" s="299">
        <v>284394.91999999981</v>
      </c>
      <c r="BV95" s="299">
        <v>10024.379999999999</v>
      </c>
      <c r="BW95" s="299">
        <v>0</v>
      </c>
      <c r="BX95" s="299">
        <v>0</v>
      </c>
      <c r="BY95" s="299">
        <v>10024.379999999999</v>
      </c>
      <c r="BZ95" s="299">
        <v>0</v>
      </c>
      <c r="CA95" s="299">
        <v>6955.42</v>
      </c>
      <c r="CB95" s="299">
        <v>0</v>
      </c>
      <c r="CC95" s="299">
        <v>22885.379999999997</v>
      </c>
      <c r="CD95" s="299">
        <v>29840.799999999996</v>
      </c>
      <c r="CE95" s="299">
        <v>-19816.419999999998</v>
      </c>
      <c r="CF95" s="299">
        <v>19816.419999999998</v>
      </c>
      <c r="CG95" s="299">
        <v>0</v>
      </c>
      <c r="CH95" s="299">
        <v>0</v>
      </c>
      <c r="CI95" s="299">
        <v>0</v>
      </c>
      <c r="CJ95" s="299">
        <v>0</v>
      </c>
    </row>
    <row r="96" spans="1:88" ht="13.8">
      <c r="A96" s="252" t="s">
        <v>1377</v>
      </c>
      <c r="B96" s="288">
        <v>2255</v>
      </c>
      <c r="C96" s="288" t="s">
        <v>798</v>
      </c>
      <c r="D96" s="248" t="s">
        <v>708</v>
      </c>
      <c r="E96" s="399" t="str">
        <f t="shared" si="2"/>
        <v>30EP2255</v>
      </c>
      <c r="F96" s="299">
        <v>1050982.6000000001</v>
      </c>
      <c r="G96" s="299">
        <v>0</v>
      </c>
      <c r="H96" s="299">
        <v>76808.149999999994</v>
      </c>
      <c r="I96" s="299">
        <v>0</v>
      </c>
      <c r="J96" s="299">
        <v>45481</v>
      </c>
      <c r="K96" s="299">
        <v>3993.22</v>
      </c>
      <c r="L96" s="299">
        <v>0</v>
      </c>
      <c r="M96" s="299">
        <v>12100</v>
      </c>
      <c r="N96" s="299">
        <v>9728.23</v>
      </c>
      <c r="O96" s="299">
        <v>92.68</v>
      </c>
      <c r="P96" s="299">
        <v>0</v>
      </c>
      <c r="Q96" s="299">
        <v>0</v>
      </c>
      <c r="R96" s="299">
        <v>2987.54</v>
      </c>
      <c r="S96" s="299">
        <v>0</v>
      </c>
      <c r="T96" s="299">
        <v>0</v>
      </c>
      <c r="U96" s="299">
        <v>0</v>
      </c>
      <c r="V96" s="299">
        <v>0</v>
      </c>
      <c r="W96" s="299">
        <v>1625.63</v>
      </c>
      <c r="X96" s="299">
        <v>80181</v>
      </c>
      <c r="Y96" s="299">
        <v>1283980.0499999998</v>
      </c>
      <c r="Z96" s="299">
        <v>549860.69999999995</v>
      </c>
      <c r="AA96" s="299">
        <v>327.84</v>
      </c>
      <c r="AB96" s="299">
        <v>365057.25</v>
      </c>
      <c r="AC96" s="299">
        <v>34816.629999999997</v>
      </c>
      <c r="AD96" s="299">
        <v>51858</v>
      </c>
      <c r="AE96" s="299">
        <v>0</v>
      </c>
      <c r="AF96" s="299">
        <v>16047.83</v>
      </c>
      <c r="AG96" s="299">
        <v>4324.2</v>
      </c>
      <c r="AH96" s="299">
        <v>7965.2</v>
      </c>
      <c r="AI96" s="299">
        <v>2074</v>
      </c>
      <c r="AJ96" s="299">
        <v>0</v>
      </c>
      <c r="AK96" s="299">
        <v>15987.82</v>
      </c>
      <c r="AL96" s="299">
        <v>1353</v>
      </c>
      <c r="AM96" s="299">
        <v>3565.06</v>
      </c>
      <c r="AN96" s="299">
        <v>2551.12</v>
      </c>
      <c r="AO96" s="299">
        <v>23711.73</v>
      </c>
      <c r="AP96" s="299">
        <v>16342.25</v>
      </c>
      <c r="AQ96" s="299">
        <v>2205.92</v>
      </c>
      <c r="AR96" s="299">
        <v>51551.91</v>
      </c>
      <c r="AS96" s="299">
        <v>24711.739999999998</v>
      </c>
      <c r="AT96" s="299">
        <v>0</v>
      </c>
      <c r="AU96" s="299">
        <v>4774.45</v>
      </c>
      <c r="AV96" s="299">
        <v>4134.4799999999996</v>
      </c>
      <c r="AW96" s="299">
        <v>0</v>
      </c>
      <c r="AX96" s="299">
        <v>72524.53</v>
      </c>
      <c r="AY96" s="299">
        <v>1330</v>
      </c>
      <c r="AZ96" s="299">
        <v>9098.17</v>
      </c>
      <c r="BA96" s="299">
        <v>16962.3</v>
      </c>
      <c r="BB96" s="299">
        <v>0</v>
      </c>
      <c r="BC96" s="299">
        <v>0</v>
      </c>
      <c r="BD96" s="299">
        <v>0</v>
      </c>
      <c r="BE96" s="299">
        <v>1283136.1299999997</v>
      </c>
      <c r="BF96" s="299">
        <v>843.92000000015832</v>
      </c>
      <c r="BG96" s="299">
        <v>200379.82</v>
      </c>
      <c r="BH96" s="299">
        <v>201223.74000000017</v>
      </c>
      <c r="BI96" s="299">
        <v>0</v>
      </c>
      <c r="BJ96" s="299">
        <v>0</v>
      </c>
      <c r="BK96" s="299">
        <v>0</v>
      </c>
      <c r="BL96" s="299">
        <v>0</v>
      </c>
      <c r="BM96" s="299">
        <v>0</v>
      </c>
      <c r="BN96" s="299">
        <v>0</v>
      </c>
      <c r="BO96" s="299">
        <v>0</v>
      </c>
      <c r="BP96" s="299">
        <v>0</v>
      </c>
      <c r="BQ96" s="299">
        <v>0</v>
      </c>
      <c r="BR96" s="299">
        <v>10295</v>
      </c>
      <c r="BS96" s="299">
        <v>190928.73999999993</v>
      </c>
      <c r="BT96" s="299">
        <v>0</v>
      </c>
      <c r="BU96" s="299">
        <v>201223.73999999993</v>
      </c>
      <c r="BV96" s="299">
        <v>6070</v>
      </c>
      <c r="BW96" s="299">
        <v>0</v>
      </c>
      <c r="BX96" s="299">
        <v>0</v>
      </c>
      <c r="BY96" s="299">
        <v>6070</v>
      </c>
      <c r="BZ96" s="299">
        <v>0</v>
      </c>
      <c r="CA96" s="299">
        <v>0</v>
      </c>
      <c r="CB96" s="299">
        <v>0</v>
      </c>
      <c r="CC96" s="299">
        <v>14956.34</v>
      </c>
      <c r="CD96" s="299">
        <v>14956.34</v>
      </c>
      <c r="CE96" s="299">
        <v>-8886.34</v>
      </c>
      <c r="CF96" s="299">
        <v>19346.260000000002</v>
      </c>
      <c r="CG96" s="299">
        <v>10459.920000000002</v>
      </c>
      <c r="CH96" s="299">
        <v>4482.83</v>
      </c>
      <c r="CI96" s="299">
        <v>5977.09</v>
      </c>
      <c r="CJ96" s="299">
        <v>10459.92</v>
      </c>
    </row>
    <row r="97" spans="1:88" ht="13.8">
      <c r="A97" s="252" t="s">
        <v>1377</v>
      </c>
      <c r="B97" s="288">
        <v>2115</v>
      </c>
      <c r="C97" s="288" t="s">
        <v>799</v>
      </c>
      <c r="D97" s="248" t="s">
        <v>708</v>
      </c>
      <c r="E97" s="399" t="str">
        <f t="shared" si="2"/>
        <v>30EP2115</v>
      </c>
      <c r="F97" s="299">
        <v>2120457.2200000002</v>
      </c>
      <c r="G97" s="299">
        <v>0</v>
      </c>
      <c r="H97" s="299">
        <v>213253.06</v>
      </c>
      <c r="I97" s="299">
        <v>0</v>
      </c>
      <c r="J97" s="299">
        <v>213040</v>
      </c>
      <c r="K97" s="299">
        <v>11599.5</v>
      </c>
      <c r="L97" s="299">
        <v>190172.18</v>
      </c>
      <c r="M97" s="299">
        <v>46502.9</v>
      </c>
      <c r="N97" s="299">
        <v>4440.24</v>
      </c>
      <c r="O97" s="299">
        <v>24867.65</v>
      </c>
      <c r="P97" s="299">
        <v>0</v>
      </c>
      <c r="Q97" s="299">
        <v>0</v>
      </c>
      <c r="R97" s="299">
        <v>26716.05</v>
      </c>
      <c r="S97" s="299">
        <v>242.71</v>
      </c>
      <c r="T97" s="299">
        <v>0</v>
      </c>
      <c r="U97" s="299">
        <v>0</v>
      </c>
      <c r="V97" s="299">
        <v>0</v>
      </c>
      <c r="W97" s="299">
        <v>-637.5</v>
      </c>
      <c r="X97" s="299">
        <v>60004</v>
      </c>
      <c r="Y97" s="299">
        <v>2910658.0100000002</v>
      </c>
      <c r="Z97" s="299">
        <v>1129548.92</v>
      </c>
      <c r="AA97" s="299">
        <v>38626.449999999997</v>
      </c>
      <c r="AB97" s="299">
        <v>714536.49</v>
      </c>
      <c r="AC97" s="299">
        <v>76145.33</v>
      </c>
      <c r="AD97" s="299">
        <v>475247.08</v>
      </c>
      <c r="AE97" s="299">
        <v>0</v>
      </c>
      <c r="AF97" s="299">
        <v>20497.7</v>
      </c>
      <c r="AG97" s="299">
        <v>11556.45</v>
      </c>
      <c r="AH97" s="299">
        <v>6570.19</v>
      </c>
      <c r="AI97" s="299">
        <v>0</v>
      </c>
      <c r="AJ97" s="299">
        <v>0</v>
      </c>
      <c r="AK97" s="299">
        <v>22552.22</v>
      </c>
      <c r="AL97" s="299">
        <v>3312.5</v>
      </c>
      <c r="AM97" s="299">
        <v>7717.18</v>
      </c>
      <c r="AN97" s="299">
        <v>8360.98</v>
      </c>
      <c r="AO97" s="299">
        <v>71190.11</v>
      </c>
      <c r="AP97" s="299">
        <v>66066</v>
      </c>
      <c r="AQ97" s="299">
        <v>72397.19</v>
      </c>
      <c r="AR97" s="299">
        <v>65974.5</v>
      </c>
      <c r="AS97" s="299">
        <v>36297.54</v>
      </c>
      <c r="AT97" s="299">
        <v>0</v>
      </c>
      <c r="AU97" s="299">
        <v>29669.64</v>
      </c>
      <c r="AV97" s="299">
        <v>7024.57</v>
      </c>
      <c r="AW97" s="299">
        <v>0</v>
      </c>
      <c r="AX97" s="299">
        <v>108059.08</v>
      </c>
      <c r="AY97" s="299">
        <v>0</v>
      </c>
      <c r="AZ97" s="299">
        <v>22700.11</v>
      </c>
      <c r="BA97" s="299">
        <v>17186.82</v>
      </c>
      <c r="BB97" s="299">
        <v>0</v>
      </c>
      <c r="BC97" s="299">
        <v>0</v>
      </c>
      <c r="BD97" s="299">
        <v>18694.86</v>
      </c>
      <c r="BE97" s="299">
        <v>3029931.91</v>
      </c>
      <c r="BF97" s="299">
        <v>-119273.89999999991</v>
      </c>
      <c r="BG97" s="299">
        <v>-61595.4</v>
      </c>
      <c r="BH97" s="299">
        <v>-180869.2999999999</v>
      </c>
      <c r="BI97" s="299">
        <v>0</v>
      </c>
      <c r="BJ97" s="299">
        <v>0</v>
      </c>
      <c r="BK97" s="299">
        <v>0</v>
      </c>
      <c r="BL97" s="299">
        <v>0</v>
      </c>
      <c r="BM97" s="299">
        <v>0</v>
      </c>
      <c r="BN97" s="299">
        <v>0</v>
      </c>
      <c r="BO97" s="299">
        <v>0</v>
      </c>
      <c r="BP97" s="299">
        <v>0</v>
      </c>
      <c r="BQ97" s="299">
        <v>0</v>
      </c>
      <c r="BR97" s="299">
        <v>0</v>
      </c>
      <c r="BS97" s="299">
        <v>-180869.30000000037</v>
      </c>
      <c r="BT97" s="299">
        <v>0</v>
      </c>
      <c r="BU97" s="299">
        <v>-180869.30000000037</v>
      </c>
      <c r="BV97" s="299">
        <v>8241.25</v>
      </c>
      <c r="BW97" s="299">
        <v>0</v>
      </c>
      <c r="BX97" s="299">
        <v>0</v>
      </c>
      <c r="BY97" s="299">
        <v>8241.25</v>
      </c>
      <c r="BZ97" s="299">
        <v>0</v>
      </c>
      <c r="CA97" s="299">
        <v>0</v>
      </c>
      <c r="CB97" s="299">
        <v>750</v>
      </c>
      <c r="CC97" s="299">
        <v>7582.5</v>
      </c>
      <c r="CD97" s="299">
        <v>8332.5</v>
      </c>
      <c r="CE97" s="299">
        <v>-91.25</v>
      </c>
      <c r="CF97" s="299">
        <v>340.31</v>
      </c>
      <c r="CG97" s="299">
        <v>249.06</v>
      </c>
      <c r="CH97" s="299">
        <v>249.06</v>
      </c>
      <c r="CI97" s="299">
        <v>0</v>
      </c>
      <c r="CJ97" s="299">
        <v>249.06</v>
      </c>
    </row>
    <row r="98" spans="1:88" ht="13.8">
      <c r="A98" s="252" t="s">
        <v>1377</v>
      </c>
      <c r="B98" s="288">
        <v>2329</v>
      </c>
      <c r="C98" s="288" t="s">
        <v>800</v>
      </c>
      <c r="D98" s="248" t="s">
        <v>708</v>
      </c>
      <c r="E98" s="399" t="str">
        <f t="shared" si="2"/>
        <v>30EP2329</v>
      </c>
      <c r="F98" s="299">
        <v>931289.19</v>
      </c>
      <c r="G98" s="299">
        <v>0</v>
      </c>
      <c r="H98" s="299">
        <v>241973.93</v>
      </c>
      <c r="I98" s="299">
        <v>0</v>
      </c>
      <c r="J98" s="299">
        <v>65540</v>
      </c>
      <c r="K98" s="299">
        <v>1705.64</v>
      </c>
      <c r="L98" s="299">
        <v>1350</v>
      </c>
      <c r="M98" s="299">
        <v>18916.060000000001</v>
      </c>
      <c r="N98" s="299">
        <v>72391.259999999995</v>
      </c>
      <c r="O98" s="299">
        <v>2895.43</v>
      </c>
      <c r="P98" s="299">
        <v>0</v>
      </c>
      <c r="Q98" s="299">
        <v>0</v>
      </c>
      <c r="R98" s="299">
        <v>3973.58</v>
      </c>
      <c r="S98" s="299">
        <v>2786.08</v>
      </c>
      <c r="T98" s="299">
        <v>0</v>
      </c>
      <c r="U98" s="299">
        <v>0</v>
      </c>
      <c r="V98" s="299">
        <v>0</v>
      </c>
      <c r="W98" s="299">
        <v>3287.94</v>
      </c>
      <c r="X98" s="299">
        <v>58486</v>
      </c>
      <c r="Y98" s="299">
        <v>1404595.1099999999</v>
      </c>
      <c r="Z98" s="299">
        <v>544288.30000000005</v>
      </c>
      <c r="AA98" s="299">
        <v>0</v>
      </c>
      <c r="AB98" s="299">
        <v>405227.09</v>
      </c>
      <c r="AC98" s="299">
        <v>50755.55</v>
      </c>
      <c r="AD98" s="299">
        <v>56206.28</v>
      </c>
      <c r="AE98" s="299">
        <v>39102.42</v>
      </c>
      <c r="AF98" s="299">
        <v>21117.78</v>
      </c>
      <c r="AG98" s="299">
        <v>5445.4</v>
      </c>
      <c r="AH98" s="299">
        <v>8045.97</v>
      </c>
      <c r="AI98" s="299">
        <v>0</v>
      </c>
      <c r="AJ98" s="299">
        <v>460</v>
      </c>
      <c r="AK98" s="299">
        <v>20115.16</v>
      </c>
      <c r="AL98" s="299">
        <v>362.5</v>
      </c>
      <c r="AM98" s="299">
        <v>4722.72</v>
      </c>
      <c r="AN98" s="299">
        <v>5321.47</v>
      </c>
      <c r="AO98" s="299">
        <v>40751.18</v>
      </c>
      <c r="AP98" s="299">
        <v>42588</v>
      </c>
      <c r="AQ98" s="299">
        <v>6805.29</v>
      </c>
      <c r="AR98" s="299">
        <v>31572.32</v>
      </c>
      <c r="AS98" s="299">
        <v>35519.979999999996</v>
      </c>
      <c r="AT98" s="299">
        <v>0</v>
      </c>
      <c r="AU98" s="299">
        <v>4829.78</v>
      </c>
      <c r="AV98" s="299">
        <v>3458.59</v>
      </c>
      <c r="AW98" s="299">
        <v>0</v>
      </c>
      <c r="AX98" s="299">
        <v>21625.42</v>
      </c>
      <c r="AY98" s="299">
        <v>29196.75</v>
      </c>
      <c r="AZ98" s="299">
        <v>23535.83</v>
      </c>
      <c r="BA98" s="299">
        <v>13059.96</v>
      </c>
      <c r="BB98" s="299">
        <v>0</v>
      </c>
      <c r="BC98" s="299">
        <v>0</v>
      </c>
      <c r="BD98" s="299">
        <v>8504</v>
      </c>
      <c r="BE98" s="299">
        <v>1422617.74</v>
      </c>
      <c r="BF98" s="299">
        <v>-18022.630000000121</v>
      </c>
      <c r="BG98" s="299">
        <v>-43785.91</v>
      </c>
      <c r="BH98" s="299">
        <v>-61808.540000000125</v>
      </c>
      <c r="BI98" s="299">
        <v>136751.21</v>
      </c>
      <c r="BJ98" s="299">
        <v>31233.11</v>
      </c>
      <c r="BK98" s="299">
        <v>167984.32</v>
      </c>
      <c r="BL98" s="299">
        <v>159320.88</v>
      </c>
      <c r="BM98" s="299">
        <v>14817.77</v>
      </c>
      <c r="BN98" s="299">
        <v>174138.65</v>
      </c>
      <c r="BO98" s="299">
        <v>-6154.3299999999872</v>
      </c>
      <c r="BP98" s="299">
        <v>9645.64</v>
      </c>
      <c r="BQ98" s="299">
        <v>3491.3100000000122</v>
      </c>
      <c r="BR98" s="299">
        <v>908.49</v>
      </c>
      <c r="BS98" s="299">
        <v>-62717.02999999989</v>
      </c>
      <c r="BT98" s="299">
        <v>3491.3099999999831</v>
      </c>
      <c r="BU98" s="299">
        <v>-58317.229999999909</v>
      </c>
      <c r="BV98" s="299">
        <v>5620</v>
      </c>
      <c r="BW98" s="299">
        <v>0</v>
      </c>
      <c r="BX98" s="299">
        <v>0</v>
      </c>
      <c r="BY98" s="299">
        <v>5620</v>
      </c>
      <c r="BZ98" s="299">
        <v>0</v>
      </c>
      <c r="CA98" s="299">
        <v>14306.5</v>
      </c>
      <c r="CB98" s="299">
        <v>0</v>
      </c>
      <c r="CC98" s="299">
        <v>2954</v>
      </c>
      <c r="CD98" s="299">
        <v>17260.5</v>
      </c>
      <c r="CE98" s="299">
        <v>-11640.5</v>
      </c>
      <c r="CF98" s="299">
        <v>11640.5</v>
      </c>
      <c r="CG98" s="299">
        <v>0</v>
      </c>
      <c r="CH98" s="299">
        <v>0</v>
      </c>
      <c r="CI98" s="299">
        <v>0</v>
      </c>
      <c r="CJ98" s="299">
        <v>0</v>
      </c>
    </row>
    <row r="99" spans="1:88" ht="13.8">
      <c r="A99" s="252" t="s">
        <v>1377</v>
      </c>
      <c r="B99" s="288">
        <v>3384</v>
      </c>
      <c r="C99" s="288" t="s">
        <v>801</v>
      </c>
      <c r="D99" s="248" t="s">
        <v>708</v>
      </c>
      <c r="E99" s="399" t="str">
        <f t="shared" si="2"/>
        <v>30EP3384</v>
      </c>
      <c r="F99" s="299">
        <v>1034758.57</v>
      </c>
      <c r="G99" s="299">
        <v>0</v>
      </c>
      <c r="H99" s="299">
        <v>49797.15</v>
      </c>
      <c r="I99" s="299">
        <v>0</v>
      </c>
      <c r="J99" s="299">
        <v>62060</v>
      </c>
      <c r="K99" s="299">
        <v>1586</v>
      </c>
      <c r="L99" s="299">
        <v>0</v>
      </c>
      <c r="M99" s="299">
        <v>2690</v>
      </c>
      <c r="N99" s="299">
        <v>45772.55</v>
      </c>
      <c r="O99" s="299">
        <v>18661.990000000002</v>
      </c>
      <c r="P99" s="299">
        <v>0</v>
      </c>
      <c r="Q99" s="299">
        <v>0</v>
      </c>
      <c r="R99" s="299">
        <v>9523.74</v>
      </c>
      <c r="S99" s="299">
        <v>0</v>
      </c>
      <c r="T99" s="299">
        <v>0</v>
      </c>
      <c r="U99" s="299">
        <v>0</v>
      </c>
      <c r="V99" s="299">
        <v>0</v>
      </c>
      <c r="W99" s="299">
        <v>-164.37</v>
      </c>
      <c r="X99" s="299">
        <v>47225</v>
      </c>
      <c r="Y99" s="299">
        <v>1271910.6299999999</v>
      </c>
      <c r="Z99" s="299">
        <v>658029.41</v>
      </c>
      <c r="AA99" s="299">
        <v>6781.93</v>
      </c>
      <c r="AB99" s="299">
        <v>272091.03999999998</v>
      </c>
      <c r="AC99" s="299">
        <v>10555.61</v>
      </c>
      <c r="AD99" s="299">
        <v>80977.91</v>
      </c>
      <c r="AE99" s="299">
        <v>42545.25</v>
      </c>
      <c r="AF99" s="299">
        <v>68863.460000000006</v>
      </c>
      <c r="AG99" s="299">
        <v>332.31</v>
      </c>
      <c r="AH99" s="299">
        <v>8168.92</v>
      </c>
      <c r="AI99" s="299">
        <v>0</v>
      </c>
      <c r="AJ99" s="299">
        <v>0</v>
      </c>
      <c r="AK99" s="299">
        <v>16089.13</v>
      </c>
      <c r="AL99" s="299">
        <v>7561.83</v>
      </c>
      <c r="AM99" s="299">
        <v>4165.5600000000004</v>
      </c>
      <c r="AN99" s="299">
        <v>3142.68</v>
      </c>
      <c r="AO99" s="299">
        <v>27465.96</v>
      </c>
      <c r="AP99" s="299">
        <v>7480.2</v>
      </c>
      <c r="AQ99" s="299">
        <v>9514.25</v>
      </c>
      <c r="AR99" s="299">
        <v>48133.85</v>
      </c>
      <c r="AS99" s="299">
        <v>17338.420000000002</v>
      </c>
      <c r="AT99" s="299">
        <v>0</v>
      </c>
      <c r="AU99" s="299">
        <v>15839.08</v>
      </c>
      <c r="AV99" s="299">
        <v>7681.18</v>
      </c>
      <c r="AW99" s="299">
        <v>0</v>
      </c>
      <c r="AX99" s="299">
        <v>31296.66</v>
      </c>
      <c r="AY99" s="299">
        <v>0</v>
      </c>
      <c r="AZ99" s="299">
        <v>11350</v>
      </c>
      <c r="BA99" s="299">
        <v>11200.07</v>
      </c>
      <c r="BB99" s="299">
        <v>0</v>
      </c>
      <c r="BC99" s="299">
        <v>0</v>
      </c>
      <c r="BD99" s="299">
        <v>0</v>
      </c>
      <c r="BE99" s="299">
        <v>1366604.71</v>
      </c>
      <c r="BF99" s="299">
        <v>-94694.080000000075</v>
      </c>
      <c r="BG99" s="299">
        <v>-3192.85</v>
      </c>
      <c r="BH99" s="299">
        <v>-97886.93000000008</v>
      </c>
      <c r="BI99" s="299">
        <v>0</v>
      </c>
      <c r="BJ99" s="299">
        <v>0</v>
      </c>
      <c r="BK99" s="299">
        <v>0</v>
      </c>
      <c r="BL99" s="299">
        <v>0</v>
      </c>
      <c r="BM99" s="299">
        <v>0</v>
      </c>
      <c r="BN99" s="299">
        <v>0</v>
      </c>
      <c r="BO99" s="299">
        <v>0</v>
      </c>
      <c r="BP99" s="299">
        <v>0</v>
      </c>
      <c r="BQ99" s="299">
        <v>0</v>
      </c>
      <c r="BR99" s="299">
        <v>0</v>
      </c>
      <c r="BS99" s="299">
        <v>-97886.929999999847</v>
      </c>
      <c r="BT99" s="299">
        <v>0</v>
      </c>
      <c r="BU99" s="299">
        <v>-97886.929999999847</v>
      </c>
      <c r="BV99" s="299">
        <v>0</v>
      </c>
      <c r="BW99" s="299">
        <v>0</v>
      </c>
      <c r="BX99" s="299">
        <v>0</v>
      </c>
      <c r="BY99" s="299">
        <v>0</v>
      </c>
      <c r="BZ99" s="299">
        <v>0</v>
      </c>
      <c r="CA99" s="299">
        <v>0</v>
      </c>
      <c r="CB99" s="299">
        <v>0</v>
      </c>
      <c r="CC99" s="299">
        <v>0</v>
      </c>
      <c r="CD99" s="299">
        <v>0</v>
      </c>
      <c r="CE99" s="299">
        <v>0</v>
      </c>
      <c r="CF99" s="299">
        <v>0</v>
      </c>
      <c r="CG99" s="299">
        <v>0</v>
      </c>
      <c r="CH99" s="299">
        <v>0</v>
      </c>
      <c r="CI99" s="299">
        <v>0</v>
      </c>
      <c r="CJ99" s="299">
        <v>0</v>
      </c>
    </row>
    <row r="100" spans="1:88" ht="13.8">
      <c r="A100" s="252" t="s">
        <v>1377</v>
      </c>
      <c r="B100" s="288">
        <v>5200</v>
      </c>
      <c r="C100" s="288" t="s">
        <v>802</v>
      </c>
      <c r="D100" s="248" t="s">
        <v>803</v>
      </c>
      <c r="E100" s="399" t="str">
        <f t="shared" si="2"/>
        <v>30ES5200</v>
      </c>
      <c r="F100" s="299">
        <v>926624.58</v>
      </c>
      <c r="G100" s="299">
        <v>0</v>
      </c>
      <c r="H100" s="299">
        <v>10410.950000000001</v>
      </c>
      <c r="I100" s="299">
        <v>0</v>
      </c>
      <c r="J100" s="299">
        <v>33580</v>
      </c>
      <c r="K100" s="299">
        <v>1773</v>
      </c>
      <c r="L100" s="299">
        <v>0</v>
      </c>
      <c r="M100" s="299">
        <v>21062.27</v>
      </c>
      <c r="N100" s="299">
        <v>22031.22</v>
      </c>
      <c r="O100" s="299">
        <v>7485.04</v>
      </c>
      <c r="P100" s="299">
        <v>0</v>
      </c>
      <c r="Q100" s="299">
        <v>350</v>
      </c>
      <c r="R100" s="299">
        <v>0</v>
      </c>
      <c r="S100" s="299">
        <v>17507.810000000001</v>
      </c>
      <c r="T100" s="299">
        <v>0</v>
      </c>
      <c r="U100" s="299">
        <v>0</v>
      </c>
      <c r="V100" s="299">
        <v>0</v>
      </c>
      <c r="W100" s="299">
        <v>10</v>
      </c>
      <c r="X100" s="299">
        <v>49394</v>
      </c>
      <c r="Y100" s="299">
        <v>1090228.8700000001</v>
      </c>
      <c r="Z100" s="299">
        <v>609909.11</v>
      </c>
      <c r="AA100" s="299">
        <v>4024.39</v>
      </c>
      <c r="AB100" s="299">
        <v>187648.47</v>
      </c>
      <c r="AC100" s="299">
        <v>30478.04</v>
      </c>
      <c r="AD100" s="299">
        <v>47502.49</v>
      </c>
      <c r="AE100" s="299">
        <v>0</v>
      </c>
      <c r="AF100" s="299">
        <v>20345.47</v>
      </c>
      <c r="AG100" s="299">
        <v>269.8</v>
      </c>
      <c r="AH100" s="299">
        <v>13010.14</v>
      </c>
      <c r="AI100" s="299">
        <v>5192.8999999999996</v>
      </c>
      <c r="AJ100" s="299">
        <v>0</v>
      </c>
      <c r="AK100" s="299">
        <v>1822.18</v>
      </c>
      <c r="AL100" s="299">
        <v>2635.37</v>
      </c>
      <c r="AM100" s="299">
        <v>2278.87</v>
      </c>
      <c r="AN100" s="299">
        <v>4503.57</v>
      </c>
      <c r="AO100" s="299">
        <v>30861.69</v>
      </c>
      <c r="AP100" s="299">
        <v>3642.7</v>
      </c>
      <c r="AQ100" s="299">
        <v>6288.41</v>
      </c>
      <c r="AR100" s="299">
        <v>56861.62</v>
      </c>
      <c r="AS100" s="299">
        <v>19646.919999999998</v>
      </c>
      <c r="AT100" s="299">
        <v>0</v>
      </c>
      <c r="AU100" s="299">
        <v>2767.48</v>
      </c>
      <c r="AV100" s="299">
        <v>3938.86</v>
      </c>
      <c r="AW100" s="299">
        <v>0</v>
      </c>
      <c r="AX100" s="299">
        <v>47289.42</v>
      </c>
      <c r="AY100" s="299">
        <v>7677.22</v>
      </c>
      <c r="AZ100" s="299">
        <v>700</v>
      </c>
      <c r="BA100" s="299">
        <v>15674.44</v>
      </c>
      <c r="BB100" s="299">
        <v>0</v>
      </c>
      <c r="BC100" s="299">
        <v>0</v>
      </c>
      <c r="BD100" s="299">
        <v>0</v>
      </c>
      <c r="BE100" s="299">
        <v>1124969.56</v>
      </c>
      <c r="BF100" s="299">
        <v>-34740.689999999944</v>
      </c>
      <c r="BG100" s="299">
        <v>-25887.550000000003</v>
      </c>
      <c r="BH100" s="299">
        <v>-60628.239999999947</v>
      </c>
      <c r="BI100" s="299">
        <v>0</v>
      </c>
      <c r="BJ100" s="299">
        <v>0</v>
      </c>
      <c r="BK100" s="299">
        <v>0</v>
      </c>
      <c r="BL100" s="299">
        <v>0</v>
      </c>
      <c r="BM100" s="299">
        <v>0</v>
      </c>
      <c r="BN100" s="299">
        <v>0</v>
      </c>
      <c r="BO100" s="299">
        <v>0</v>
      </c>
      <c r="BP100" s="299">
        <v>0</v>
      </c>
      <c r="BQ100" s="299">
        <v>0</v>
      </c>
      <c r="BR100" s="299">
        <v>5204.09</v>
      </c>
      <c r="BS100" s="299">
        <v>-65832.329999999711</v>
      </c>
      <c r="BT100" s="299">
        <v>0</v>
      </c>
      <c r="BU100" s="299">
        <v>-60628.239999999714</v>
      </c>
      <c r="BV100" s="299">
        <v>159969.07999999999</v>
      </c>
      <c r="BW100" s="299">
        <v>10000</v>
      </c>
      <c r="BX100" s="299">
        <v>0</v>
      </c>
      <c r="BY100" s="299">
        <v>169969.08</v>
      </c>
      <c r="BZ100" s="299">
        <v>0</v>
      </c>
      <c r="CA100" s="299">
        <v>29154.65</v>
      </c>
      <c r="CB100" s="299">
        <v>0</v>
      </c>
      <c r="CC100" s="299">
        <v>0</v>
      </c>
      <c r="CD100" s="299">
        <v>29154.65</v>
      </c>
      <c r="CE100" s="299">
        <v>140814.43</v>
      </c>
      <c r="CF100" s="299">
        <v>18782.86</v>
      </c>
      <c r="CG100" s="299">
        <v>159597.28999999998</v>
      </c>
      <c r="CH100" s="299">
        <v>5686.8799999999974</v>
      </c>
      <c r="CI100" s="299">
        <v>153910.40999999997</v>
      </c>
      <c r="CJ100" s="299">
        <v>159597.28999999998</v>
      </c>
    </row>
    <row r="101" spans="1:88" ht="13.8">
      <c r="A101" s="252" t="s">
        <v>1377</v>
      </c>
      <c r="B101" s="288">
        <v>2317</v>
      </c>
      <c r="C101" s="288" t="s">
        <v>804</v>
      </c>
      <c r="D101" s="248" t="s">
        <v>708</v>
      </c>
      <c r="E101" s="399" t="str">
        <f t="shared" ref="E101:E127" si="5">_xlfn.CONCAT("30",IF(D101="Primary","EP",IF(D101="Nursery","EN","ES")),B101)</f>
        <v>30EP2317</v>
      </c>
      <c r="F101" s="299">
        <v>3229299.41</v>
      </c>
      <c r="G101" s="299">
        <v>0</v>
      </c>
      <c r="H101" s="299">
        <v>212378.2</v>
      </c>
      <c r="I101" s="299">
        <v>0</v>
      </c>
      <c r="J101" s="299">
        <v>158425</v>
      </c>
      <c r="K101" s="299">
        <v>1641</v>
      </c>
      <c r="L101" s="299">
        <v>0</v>
      </c>
      <c r="M101" s="299">
        <v>33727.51</v>
      </c>
      <c r="N101" s="299">
        <v>91837.78</v>
      </c>
      <c r="O101" s="299">
        <v>58399.32</v>
      </c>
      <c r="P101" s="299">
        <v>8280</v>
      </c>
      <c r="Q101" s="299">
        <v>1008.84</v>
      </c>
      <c r="R101" s="299">
        <v>46211.05</v>
      </c>
      <c r="S101" s="299">
        <v>0</v>
      </c>
      <c r="T101" s="299">
        <v>0</v>
      </c>
      <c r="U101" s="299">
        <v>0</v>
      </c>
      <c r="V101" s="299">
        <v>0</v>
      </c>
      <c r="W101" s="299">
        <v>6120</v>
      </c>
      <c r="X101" s="299">
        <v>110736</v>
      </c>
      <c r="Y101" s="299">
        <v>3958064.1099999994</v>
      </c>
      <c r="Z101" s="299">
        <v>1885126.64</v>
      </c>
      <c r="AA101" s="299">
        <v>0</v>
      </c>
      <c r="AB101" s="299">
        <v>770810.05</v>
      </c>
      <c r="AC101" s="299">
        <v>82205.8</v>
      </c>
      <c r="AD101" s="299">
        <v>155836.84</v>
      </c>
      <c r="AE101" s="299">
        <v>0</v>
      </c>
      <c r="AF101" s="299">
        <v>38715.339999999997</v>
      </c>
      <c r="AG101" s="299">
        <v>16823.759999999998</v>
      </c>
      <c r="AH101" s="299">
        <v>5960</v>
      </c>
      <c r="AI101" s="299">
        <v>15275</v>
      </c>
      <c r="AJ101" s="299">
        <v>4217.5</v>
      </c>
      <c r="AK101" s="299">
        <v>19248.349999999999</v>
      </c>
      <c r="AL101" s="299">
        <v>6588.67</v>
      </c>
      <c r="AM101" s="299">
        <v>58579.55</v>
      </c>
      <c r="AN101" s="299">
        <v>30469.599999999999</v>
      </c>
      <c r="AO101" s="299">
        <v>74229.039999999994</v>
      </c>
      <c r="AP101" s="299">
        <v>103740</v>
      </c>
      <c r="AQ101" s="299">
        <v>20304.02</v>
      </c>
      <c r="AR101" s="299">
        <v>130131.76</v>
      </c>
      <c r="AS101" s="299">
        <v>62278.94</v>
      </c>
      <c r="AT101" s="299">
        <v>0</v>
      </c>
      <c r="AU101" s="299">
        <v>27831.15</v>
      </c>
      <c r="AV101" s="299">
        <v>12499.92</v>
      </c>
      <c r="AW101" s="299">
        <v>0</v>
      </c>
      <c r="AX101" s="299">
        <v>140905.31</v>
      </c>
      <c r="AY101" s="299">
        <v>38572.17</v>
      </c>
      <c r="AZ101" s="299">
        <v>180655.24</v>
      </c>
      <c r="BA101" s="299">
        <v>85282.25</v>
      </c>
      <c r="BB101" s="299">
        <v>0</v>
      </c>
      <c r="BC101" s="299">
        <v>0</v>
      </c>
      <c r="BD101" s="299">
        <v>0</v>
      </c>
      <c r="BE101" s="299">
        <v>3966286.8999999985</v>
      </c>
      <c r="BF101" s="299">
        <v>-8222.7899999991059</v>
      </c>
      <c r="BG101" s="299">
        <v>-138822.32999999999</v>
      </c>
      <c r="BH101" s="299">
        <v>-147045.11999999909</v>
      </c>
      <c r="BI101" s="299">
        <v>0</v>
      </c>
      <c r="BJ101" s="299">
        <v>0</v>
      </c>
      <c r="BK101" s="299">
        <v>0</v>
      </c>
      <c r="BL101" s="299">
        <v>0</v>
      </c>
      <c r="BM101" s="299">
        <v>0</v>
      </c>
      <c r="BN101" s="299">
        <v>0</v>
      </c>
      <c r="BO101" s="299">
        <v>0</v>
      </c>
      <c r="BP101" s="299">
        <v>0</v>
      </c>
      <c r="BQ101" s="299">
        <v>0</v>
      </c>
      <c r="BR101" s="299">
        <v>0</v>
      </c>
      <c r="BS101" s="299">
        <v>-147045.11999999909</v>
      </c>
      <c r="BT101" s="299">
        <v>0</v>
      </c>
      <c r="BU101" s="299">
        <v>-147045.11999999909</v>
      </c>
      <c r="BV101" s="299">
        <v>11399.35</v>
      </c>
      <c r="BW101" s="299">
        <v>0</v>
      </c>
      <c r="BX101" s="299">
        <v>0</v>
      </c>
      <c r="BY101" s="299">
        <v>11399.35</v>
      </c>
      <c r="BZ101" s="299">
        <v>0</v>
      </c>
      <c r="CA101" s="299">
        <v>24714.89</v>
      </c>
      <c r="CB101" s="299">
        <v>0</v>
      </c>
      <c r="CC101" s="299">
        <v>1868.87</v>
      </c>
      <c r="CD101" s="299">
        <v>26583.759999999998</v>
      </c>
      <c r="CE101" s="299">
        <v>-15184.409999999998</v>
      </c>
      <c r="CF101" s="299">
        <v>15184.41</v>
      </c>
      <c r="CG101" s="299">
        <v>0</v>
      </c>
      <c r="CH101" s="299">
        <v>0</v>
      </c>
      <c r="CI101" s="299">
        <v>0</v>
      </c>
      <c r="CJ101" s="299">
        <v>0</v>
      </c>
    </row>
    <row r="102" spans="1:88" ht="13.8">
      <c r="A102" s="252" t="s">
        <v>1377</v>
      </c>
      <c r="B102" s="288">
        <v>3356</v>
      </c>
      <c r="C102" s="288" t="s">
        <v>805</v>
      </c>
      <c r="D102" s="248" t="s">
        <v>708</v>
      </c>
      <c r="E102" s="399" t="str">
        <f t="shared" si="5"/>
        <v>30EP3356</v>
      </c>
      <c r="F102" s="299">
        <v>896226.23</v>
      </c>
      <c r="G102" s="299">
        <v>0</v>
      </c>
      <c r="H102" s="299">
        <v>33997.06</v>
      </c>
      <c r="I102" s="299">
        <v>0</v>
      </c>
      <c r="J102" s="299">
        <v>46560</v>
      </c>
      <c r="K102" s="299">
        <v>2357</v>
      </c>
      <c r="L102" s="299">
        <v>0</v>
      </c>
      <c r="M102" s="299">
        <v>7793</v>
      </c>
      <c r="N102" s="299">
        <v>2531.13</v>
      </c>
      <c r="O102" s="299">
        <v>0</v>
      </c>
      <c r="P102" s="299">
        <v>0</v>
      </c>
      <c r="Q102" s="299">
        <v>0</v>
      </c>
      <c r="R102" s="299">
        <v>12810</v>
      </c>
      <c r="S102" s="299">
        <v>92742.19</v>
      </c>
      <c r="T102" s="299">
        <v>0</v>
      </c>
      <c r="U102" s="299">
        <v>0</v>
      </c>
      <c r="V102" s="299">
        <v>0</v>
      </c>
      <c r="W102" s="299">
        <v>2136.25</v>
      </c>
      <c r="X102" s="299">
        <v>41568</v>
      </c>
      <c r="Y102" s="299">
        <v>1138720.8600000001</v>
      </c>
      <c r="Z102" s="299">
        <v>591101.84</v>
      </c>
      <c r="AA102" s="299">
        <v>1221.23</v>
      </c>
      <c r="AB102" s="299">
        <v>186809.57</v>
      </c>
      <c r="AC102" s="299">
        <v>23905.9</v>
      </c>
      <c r="AD102" s="299">
        <v>55182.44</v>
      </c>
      <c r="AE102" s="299">
        <v>0</v>
      </c>
      <c r="AF102" s="299">
        <v>1085.3900000000001</v>
      </c>
      <c r="AG102" s="299">
        <v>396.5</v>
      </c>
      <c r="AH102" s="299">
        <v>5534.83</v>
      </c>
      <c r="AI102" s="299">
        <v>4075</v>
      </c>
      <c r="AJ102" s="299">
        <v>0</v>
      </c>
      <c r="AK102" s="299">
        <v>4690.8999999999996</v>
      </c>
      <c r="AL102" s="299">
        <v>6738.39</v>
      </c>
      <c r="AM102" s="299">
        <v>26089.84</v>
      </c>
      <c r="AN102" s="299">
        <v>608.75</v>
      </c>
      <c r="AO102" s="299">
        <v>21132.5</v>
      </c>
      <c r="AP102" s="299">
        <v>3917.15</v>
      </c>
      <c r="AQ102" s="299">
        <v>4871.5600000000004</v>
      </c>
      <c r="AR102" s="299">
        <v>72859.08</v>
      </c>
      <c r="AS102" s="299">
        <v>23399.49</v>
      </c>
      <c r="AT102" s="299">
        <v>0</v>
      </c>
      <c r="AU102" s="299">
        <v>7742.91</v>
      </c>
      <c r="AV102" s="299">
        <v>3345.74</v>
      </c>
      <c r="AW102" s="299">
        <v>0</v>
      </c>
      <c r="AX102" s="299">
        <v>33380.01</v>
      </c>
      <c r="AY102" s="299">
        <v>29535.45</v>
      </c>
      <c r="AZ102" s="299">
        <v>19118.18</v>
      </c>
      <c r="BA102" s="299">
        <v>19198.330000000002</v>
      </c>
      <c r="BB102" s="299">
        <v>0</v>
      </c>
      <c r="BC102" s="299">
        <v>0</v>
      </c>
      <c r="BD102" s="299">
        <v>0</v>
      </c>
      <c r="BE102" s="299">
        <v>1145940.98</v>
      </c>
      <c r="BF102" s="299">
        <v>-7220.1199999998789</v>
      </c>
      <c r="BG102" s="299">
        <v>264859.26</v>
      </c>
      <c r="BH102" s="299">
        <v>257639.14000000013</v>
      </c>
      <c r="BI102" s="299">
        <v>0</v>
      </c>
      <c r="BJ102" s="299">
        <v>0</v>
      </c>
      <c r="BK102" s="299">
        <v>0</v>
      </c>
      <c r="BL102" s="299">
        <v>0</v>
      </c>
      <c r="BM102" s="299">
        <v>0</v>
      </c>
      <c r="BN102" s="299">
        <v>0</v>
      </c>
      <c r="BO102" s="299">
        <v>0</v>
      </c>
      <c r="BP102" s="299">
        <v>0</v>
      </c>
      <c r="BQ102" s="299">
        <v>0</v>
      </c>
      <c r="BR102" s="299">
        <v>2520.91</v>
      </c>
      <c r="BS102" s="299">
        <v>255118.23000000013</v>
      </c>
      <c r="BT102" s="299">
        <v>0</v>
      </c>
      <c r="BU102" s="299">
        <v>257639.14000000013</v>
      </c>
      <c r="BV102" s="299">
        <v>0</v>
      </c>
      <c r="BW102" s="299">
        <v>0</v>
      </c>
      <c r="BX102" s="299">
        <v>0</v>
      </c>
      <c r="BY102" s="299">
        <v>0</v>
      </c>
      <c r="BZ102" s="299">
        <v>0</v>
      </c>
      <c r="CA102" s="299">
        <v>0</v>
      </c>
      <c r="CB102" s="299">
        <v>0</v>
      </c>
      <c r="CC102" s="299">
        <v>0</v>
      </c>
      <c r="CD102" s="299">
        <v>0</v>
      </c>
      <c r="CE102" s="299">
        <v>0</v>
      </c>
      <c r="CF102" s="299">
        <v>0</v>
      </c>
      <c r="CG102" s="299">
        <v>0</v>
      </c>
      <c r="CH102" s="299">
        <v>0</v>
      </c>
      <c r="CI102" s="299">
        <v>0</v>
      </c>
      <c r="CJ102" s="299">
        <v>0</v>
      </c>
    </row>
    <row r="103" spans="1:88" ht="13.8">
      <c r="A103" s="252" t="s">
        <v>1377</v>
      </c>
      <c r="B103" s="288">
        <v>3358</v>
      </c>
      <c r="C103" s="288" t="s">
        <v>806</v>
      </c>
      <c r="D103" s="248" t="s">
        <v>708</v>
      </c>
      <c r="E103" s="399" t="str">
        <f t="shared" si="5"/>
        <v>30EP3358</v>
      </c>
      <c r="F103" s="299">
        <v>1405482.16</v>
      </c>
      <c r="G103" s="299">
        <v>0</v>
      </c>
      <c r="H103" s="299">
        <v>62243.05</v>
      </c>
      <c r="I103" s="299">
        <v>0</v>
      </c>
      <c r="J103" s="299">
        <v>121960</v>
      </c>
      <c r="K103" s="299">
        <v>4455.93</v>
      </c>
      <c r="L103" s="299">
        <v>0</v>
      </c>
      <c r="M103" s="299">
        <v>8484.85</v>
      </c>
      <c r="N103" s="299">
        <v>230020.71</v>
      </c>
      <c r="O103" s="299">
        <v>98.3</v>
      </c>
      <c r="P103" s="299">
        <v>0</v>
      </c>
      <c r="Q103" s="299">
        <v>0</v>
      </c>
      <c r="R103" s="299">
        <v>18257.080000000002</v>
      </c>
      <c r="S103" s="299">
        <v>0</v>
      </c>
      <c r="T103" s="299">
        <v>0</v>
      </c>
      <c r="U103" s="299">
        <v>0</v>
      </c>
      <c r="V103" s="299">
        <v>0</v>
      </c>
      <c r="W103" s="299">
        <v>28.75</v>
      </c>
      <c r="X103" s="299">
        <v>49766</v>
      </c>
      <c r="Y103" s="299">
        <v>1900796.83</v>
      </c>
      <c r="Z103" s="299">
        <v>855066.3</v>
      </c>
      <c r="AA103" s="299">
        <v>66452.38</v>
      </c>
      <c r="AB103" s="299">
        <v>359422.2</v>
      </c>
      <c r="AC103" s="299">
        <v>53746.79</v>
      </c>
      <c r="AD103" s="299">
        <v>95347.87</v>
      </c>
      <c r="AE103" s="299">
        <v>0</v>
      </c>
      <c r="AF103" s="299">
        <v>9073.32</v>
      </c>
      <c r="AG103" s="299">
        <v>2018.05</v>
      </c>
      <c r="AH103" s="299">
        <v>5690.84</v>
      </c>
      <c r="AI103" s="299">
        <v>6575</v>
      </c>
      <c r="AJ103" s="299">
        <v>0</v>
      </c>
      <c r="AK103" s="299">
        <v>118549.42</v>
      </c>
      <c r="AL103" s="299">
        <v>945</v>
      </c>
      <c r="AM103" s="299">
        <v>2394.63</v>
      </c>
      <c r="AN103" s="299">
        <v>6359.77</v>
      </c>
      <c r="AO103" s="299">
        <v>26756.76</v>
      </c>
      <c r="AP103" s="299">
        <v>6770.4</v>
      </c>
      <c r="AQ103" s="299">
        <v>10506.73</v>
      </c>
      <c r="AR103" s="299">
        <v>83371.77</v>
      </c>
      <c r="AS103" s="299">
        <v>36891.49</v>
      </c>
      <c r="AT103" s="299">
        <v>0</v>
      </c>
      <c r="AU103" s="299">
        <v>10329.530000000001</v>
      </c>
      <c r="AV103" s="299">
        <v>6575</v>
      </c>
      <c r="AW103" s="299">
        <v>0</v>
      </c>
      <c r="AX103" s="299">
        <v>44775.45</v>
      </c>
      <c r="AY103" s="299">
        <v>12706.57</v>
      </c>
      <c r="AZ103" s="299">
        <v>41700</v>
      </c>
      <c r="BA103" s="299">
        <v>20930.87</v>
      </c>
      <c r="BB103" s="299">
        <v>0</v>
      </c>
      <c r="BC103" s="299">
        <v>0</v>
      </c>
      <c r="BD103" s="299">
        <v>0</v>
      </c>
      <c r="BE103" s="299">
        <v>1882956.1400000001</v>
      </c>
      <c r="BF103" s="299">
        <v>17840.689999999944</v>
      </c>
      <c r="BG103" s="299">
        <v>12508.35</v>
      </c>
      <c r="BH103" s="299">
        <v>30349.039999999943</v>
      </c>
      <c r="BI103" s="299">
        <v>0</v>
      </c>
      <c r="BJ103" s="299">
        <v>114976.15</v>
      </c>
      <c r="BK103" s="299">
        <v>114976.15</v>
      </c>
      <c r="BL103" s="299">
        <v>112109.08</v>
      </c>
      <c r="BM103" s="299">
        <v>2419.6799999999998</v>
      </c>
      <c r="BN103" s="299">
        <v>114528.76</v>
      </c>
      <c r="BO103" s="299">
        <v>447.38999999999942</v>
      </c>
      <c r="BP103" s="299">
        <v>-543.39</v>
      </c>
      <c r="BQ103" s="299">
        <v>-96.000000000000568</v>
      </c>
      <c r="BR103" s="299">
        <v>0</v>
      </c>
      <c r="BS103" s="299">
        <v>29824.039999999943</v>
      </c>
      <c r="BT103" s="299">
        <v>428.99999999999943</v>
      </c>
      <c r="BU103" s="299">
        <v>30253.039999999943</v>
      </c>
      <c r="BV103" s="299">
        <v>0</v>
      </c>
      <c r="BW103" s="299">
        <v>0</v>
      </c>
      <c r="BX103" s="299">
        <v>0</v>
      </c>
      <c r="BY103" s="299">
        <v>0</v>
      </c>
      <c r="BZ103" s="299">
        <v>0</v>
      </c>
      <c r="CA103" s="299">
        <v>0</v>
      </c>
      <c r="CB103" s="299">
        <v>0</v>
      </c>
      <c r="CC103" s="299">
        <v>0</v>
      </c>
      <c r="CD103" s="299">
        <v>0</v>
      </c>
      <c r="CE103" s="299">
        <v>0</v>
      </c>
      <c r="CF103" s="299">
        <v>0</v>
      </c>
      <c r="CG103" s="299">
        <v>0</v>
      </c>
      <c r="CH103" s="299">
        <v>0</v>
      </c>
      <c r="CI103" s="299">
        <v>0</v>
      </c>
      <c r="CJ103" s="299">
        <v>0</v>
      </c>
    </row>
    <row r="104" spans="1:88" ht="13.8">
      <c r="A104" s="252" t="s">
        <v>1377</v>
      </c>
      <c r="B104" s="288">
        <v>3029</v>
      </c>
      <c r="C104" s="288" t="s">
        <v>807</v>
      </c>
      <c r="D104" s="248" t="s">
        <v>708</v>
      </c>
      <c r="E104" s="399" t="str">
        <f t="shared" si="5"/>
        <v>30EP3029</v>
      </c>
      <c r="F104" s="299">
        <v>896378.65</v>
      </c>
      <c r="G104" s="299">
        <v>0</v>
      </c>
      <c r="H104" s="299">
        <v>39112.93</v>
      </c>
      <c r="I104" s="299">
        <v>0</v>
      </c>
      <c r="J104" s="299">
        <v>41440</v>
      </c>
      <c r="K104" s="299">
        <v>1485</v>
      </c>
      <c r="L104" s="299">
        <v>0</v>
      </c>
      <c r="M104" s="299">
        <v>0</v>
      </c>
      <c r="N104" s="299">
        <v>5320.71</v>
      </c>
      <c r="O104" s="299">
        <v>14252.29</v>
      </c>
      <c r="P104" s="299">
        <v>18032</v>
      </c>
      <c r="Q104" s="299">
        <v>0</v>
      </c>
      <c r="R104" s="299">
        <v>13318.13</v>
      </c>
      <c r="S104" s="299">
        <v>13470.32</v>
      </c>
      <c r="T104" s="299">
        <v>0</v>
      </c>
      <c r="U104" s="299">
        <v>0</v>
      </c>
      <c r="V104" s="299">
        <v>0</v>
      </c>
      <c r="W104" s="299">
        <v>-126.87</v>
      </c>
      <c r="X104" s="299">
        <v>40448</v>
      </c>
      <c r="Y104" s="299">
        <v>1083131.1600000001</v>
      </c>
      <c r="Z104" s="299">
        <v>567382.64</v>
      </c>
      <c r="AA104" s="299">
        <v>23549.759999999998</v>
      </c>
      <c r="AB104" s="299">
        <v>202161.1</v>
      </c>
      <c r="AC104" s="299">
        <v>16782.29</v>
      </c>
      <c r="AD104" s="299">
        <v>45906.239999999998</v>
      </c>
      <c r="AE104" s="299">
        <v>36326.07</v>
      </c>
      <c r="AF104" s="299">
        <v>20838.849999999999</v>
      </c>
      <c r="AG104" s="299">
        <v>4174.87</v>
      </c>
      <c r="AH104" s="299">
        <v>2621.9</v>
      </c>
      <c r="AI104" s="299">
        <v>4125</v>
      </c>
      <c r="AJ104" s="299">
        <v>0</v>
      </c>
      <c r="AK104" s="299">
        <v>11730.76</v>
      </c>
      <c r="AL104" s="299">
        <v>1308.48</v>
      </c>
      <c r="AM104" s="299">
        <v>4138.95</v>
      </c>
      <c r="AN104" s="299">
        <v>3966.89</v>
      </c>
      <c r="AO104" s="299">
        <v>22666.880000000001</v>
      </c>
      <c r="AP104" s="299">
        <v>19960</v>
      </c>
      <c r="AQ104" s="299">
        <v>3788.22</v>
      </c>
      <c r="AR104" s="299">
        <v>47351.360000000001</v>
      </c>
      <c r="AS104" s="299">
        <v>25382.51</v>
      </c>
      <c r="AT104" s="299">
        <v>0</v>
      </c>
      <c r="AU104" s="299">
        <v>5332.85</v>
      </c>
      <c r="AV104" s="299">
        <v>3756.44</v>
      </c>
      <c r="AW104" s="299">
        <v>534.5</v>
      </c>
      <c r="AX104" s="299">
        <v>19194.25</v>
      </c>
      <c r="AY104" s="299">
        <v>14650.6</v>
      </c>
      <c r="AZ104" s="299">
        <v>2775</v>
      </c>
      <c r="BA104" s="299">
        <v>21595.9</v>
      </c>
      <c r="BB104" s="299">
        <v>0</v>
      </c>
      <c r="BC104" s="299">
        <v>1462.24</v>
      </c>
      <c r="BD104" s="299">
        <v>4633.16</v>
      </c>
      <c r="BE104" s="299">
        <v>1138097.7099999997</v>
      </c>
      <c r="BF104" s="299">
        <v>-54966.549999999581</v>
      </c>
      <c r="BG104" s="299">
        <v>-4591.5</v>
      </c>
      <c r="BH104" s="299">
        <v>-59558.049999999581</v>
      </c>
      <c r="BI104" s="299">
        <v>0</v>
      </c>
      <c r="BJ104" s="299">
        <v>0</v>
      </c>
      <c r="BK104" s="299">
        <v>0</v>
      </c>
      <c r="BL104" s="299">
        <v>0</v>
      </c>
      <c r="BM104" s="299">
        <v>0</v>
      </c>
      <c r="BN104" s="299">
        <v>0</v>
      </c>
      <c r="BO104" s="299">
        <v>0</v>
      </c>
      <c r="BP104" s="299">
        <v>0</v>
      </c>
      <c r="BQ104" s="299">
        <v>0</v>
      </c>
      <c r="BR104" s="299">
        <v>6196.9</v>
      </c>
      <c r="BS104" s="299">
        <v>-65754.949999999808</v>
      </c>
      <c r="BT104" s="299">
        <v>0</v>
      </c>
      <c r="BU104" s="299">
        <v>-59558.049999999806</v>
      </c>
      <c r="BV104" s="299">
        <v>5935</v>
      </c>
      <c r="BW104" s="299">
        <v>0</v>
      </c>
      <c r="BX104" s="299">
        <v>0</v>
      </c>
      <c r="BY104" s="299">
        <v>5935</v>
      </c>
      <c r="BZ104" s="299">
        <v>0</v>
      </c>
      <c r="CA104" s="299">
        <v>3915.67</v>
      </c>
      <c r="CB104" s="299">
        <v>0</v>
      </c>
      <c r="CC104" s="299">
        <v>0</v>
      </c>
      <c r="CD104" s="299">
        <v>3915.67</v>
      </c>
      <c r="CE104" s="299">
        <v>2019.33</v>
      </c>
      <c r="CF104" s="299">
        <v>15369.79</v>
      </c>
      <c r="CG104" s="299">
        <v>17389.120000000003</v>
      </c>
      <c r="CH104" s="299">
        <v>16795.68</v>
      </c>
      <c r="CI104" s="299">
        <v>593.44000000000005</v>
      </c>
      <c r="CJ104" s="299">
        <v>17389.12</v>
      </c>
    </row>
    <row r="105" spans="1:88" ht="13.8">
      <c r="A105" s="252" t="s">
        <v>1377</v>
      </c>
      <c r="B105" s="288">
        <v>2084</v>
      </c>
      <c r="C105" s="288" t="s">
        <v>808</v>
      </c>
      <c r="D105" s="248" t="s">
        <v>708</v>
      </c>
      <c r="E105" s="399" t="str">
        <f t="shared" si="5"/>
        <v>30EP2084</v>
      </c>
      <c r="F105" s="299">
        <v>940589.01</v>
      </c>
      <c r="G105" s="299">
        <v>0</v>
      </c>
      <c r="H105" s="299">
        <v>31110.23</v>
      </c>
      <c r="I105" s="299">
        <v>0</v>
      </c>
      <c r="J105" s="299">
        <v>68780</v>
      </c>
      <c r="K105" s="299">
        <v>3820</v>
      </c>
      <c r="L105" s="299">
        <v>0</v>
      </c>
      <c r="M105" s="299">
        <v>4319.3599999999997</v>
      </c>
      <c r="N105" s="299">
        <v>11954.99</v>
      </c>
      <c r="O105" s="299">
        <v>14375.3</v>
      </c>
      <c r="P105" s="299">
        <v>2250</v>
      </c>
      <c r="Q105" s="299">
        <v>0</v>
      </c>
      <c r="R105" s="299">
        <v>13135.06</v>
      </c>
      <c r="S105" s="299">
        <v>16180.08</v>
      </c>
      <c r="T105" s="299">
        <v>0</v>
      </c>
      <c r="U105" s="299">
        <v>0</v>
      </c>
      <c r="V105" s="299">
        <v>0</v>
      </c>
      <c r="W105" s="299">
        <v>-101.25</v>
      </c>
      <c r="X105" s="299">
        <v>34774</v>
      </c>
      <c r="Y105" s="299">
        <v>1141186.7800000003</v>
      </c>
      <c r="Z105" s="299">
        <v>625632.63</v>
      </c>
      <c r="AA105" s="299">
        <v>8167.2</v>
      </c>
      <c r="AB105" s="299">
        <v>237466.49</v>
      </c>
      <c r="AC105" s="299">
        <v>25400.75</v>
      </c>
      <c r="AD105" s="299">
        <v>51095.14</v>
      </c>
      <c r="AE105" s="299">
        <v>36632.449999999997</v>
      </c>
      <c r="AF105" s="299">
        <v>17549.73</v>
      </c>
      <c r="AG105" s="299">
        <v>4305.5</v>
      </c>
      <c r="AH105" s="299">
        <v>6472.35</v>
      </c>
      <c r="AI105" s="299">
        <v>4275</v>
      </c>
      <c r="AJ105" s="299">
        <v>222.5</v>
      </c>
      <c r="AK105" s="299">
        <v>4861.55</v>
      </c>
      <c r="AL105" s="299">
        <v>3718.58</v>
      </c>
      <c r="AM105" s="299">
        <v>2694.46</v>
      </c>
      <c r="AN105" s="299">
        <v>7490</v>
      </c>
      <c r="AO105" s="299">
        <v>11849.87</v>
      </c>
      <c r="AP105" s="299">
        <v>22205.5</v>
      </c>
      <c r="AQ105" s="299">
        <v>1881.78</v>
      </c>
      <c r="AR105" s="299">
        <v>65046.06</v>
      </c>
      <c r="AS105" s="299">
        <v>16288.2</v>
      </c>
      <c r="AT105" s="299">
        <v>0</v>
      </c>
      <c r="AU105" s="299">
        <v>6257.49</v>
      </c>
      <c r="AV105" s="299">
        <v>3489.73</v>
      </c>
      <c r="AW105" s="299">
        <v>6984.55</v>
      </c>
      <c r="AX105" s="299">
        <v>19051.5</v>
      </c>
      <c r="AY105" s="299">
        <v>0</v>
      </c>
      <c r="AZ105" s="299">
        <v>12511.25</v>
      </c>
      <c r="BA105" s="299">
        <v>9581.2800000000007</v>
      </c>
      <c r="BB105" s="299">
        <v>0</v>
      </c>
      <c r="BC105" s="299">
        <v>0</v>
      </c>
      <c r="BD105" s="299">
        <v>0</v>
      </c>
      <c r="BE105" s="299">
        <v>1211131.5399999998</v>
      </c>
      <c r="BF105" s="299">
        <v>-69944.759999999544</v>
      </c>
      <c r="BG105" s="299">
        <v>111852.81</v>
      </c>
      <c r="BH105" s="299">
        <v>41908.050000000454</v>
      </c>
      <c r="BI105" s="299">
        <v>0</v>
      </c>
      <c r="BJ105" s="299">
        <v>0</v>
      </c>
      <c r="BK105" s="299">
        <v>0</v>
      </c>
      <c r="BL105" s="299">
        <v>0</v>
      </c>
      <c r="BM105" s="299">
        <v>0</v>
      </c>
      <c r="BN105" s="299">
        <v>0</v>
      </c>
      <c r="BO105" s="299">
        <v>0</v>
      </c>
      <c r="BP105" s="299">
        <v>0</v>
      </c>
      <c r="BQ105" s="299">
        <v>0</v>
      </c>
      <c r="BR105" s="299">
        <v>2280</v>
      </c>
      <c r="BS105" s="299">
        <v>39628.050000000454</v>
      </c>
      <c r="BT105" s="299">
        <v>0</v>
      </c>
      <c r="BU105" s="299">
        <v>41908.050000000454</v>
      </c>
      <c r="BV105" s="299">
        <v>310263.5</v>
      </c>
      <c r="BW105" s="299">
        <v>140584.35999999999</v>
      </c>
      <c r="BX105" s="299">
        <v>0</v>
      </c>
      <c r="BY105" s="299">
        <v>450847.86</v>
      </c>
      <c r="BZ105" s="299">
        <v>0</v>
      </c>
      <c r="CA105" s="299">
        <v>382337.75</v>
      </c>
      <c r="CB105" s="299">
        <v>0</v>
      </c>
      <c r="CC105" s="299">
        <v>0</v>
      </c>
      <c r="CD105" s="299">
        <v>382337.75</v>
      </c>
      <c r="CE105" s="299">
        <v>68510.109999999986</v>
      </c>
      <c r="CF105" s="299">
        <v>23620.15</v>
      </c>
      <c r="CG105" s="299">
        <v>92130.25999999998</v>
      </c>
      <c r="CH105" s="299">
        <v>259.5</v>
      </c>
      <c r="CI105" s="299">
        <v>91870.760000000009</v>
      </c>
      <c r="CJ105" s="299">
        <v>92130.260000000009</v>
      </c>
    </row>
    <row r="106" spans="1:88" ht="13.8">
      <c r="A106" s="252" t="s">
        <v>1377</v>
      </c>
      <c r="B106" s="288">
        <v>2443</v>
      </c>
      <c r="C106" s="288" t="s">
        <v>809</v>
      </c>
      <c r="D106" s="248" t="s">
        <v>708</v>
      </c>
      <c r="E106" s="399" t="str">
        <f t="shared" si="5"/>
        <v>30EP2443</v>
      </c>
      <c r="F106" s="299">
        <v>1983341.85</v>
      </c>
      <c r="G106" s="299">
        <v>0</v>
      </c>
      <c r="H106" s="299">
        <v>135319.26999999999</v>
      </c>
      <c r="I106" s="299">
        <v>0</v>
      </c>
      <c r="J106" s="299">
        <v>74662.5</v>
      </c>
      <c r="K106" s="299">
        <v>7344.57</v>
      </c>
      <c r="L106" s="299">
        <v>0</v>
      </c>
      <c r="M106" s="299">
        <v>42948.05</v>
      </c>
      <c r="N106" s="299">
        <v>8962.06</v>
      </c>
      <c r="O106" s="299">
        <v>37573.300000000003</v>
      </c>
      <c r="P106" s="299">
        <v>900</v>
      </c>
      <c r="Q106" s="299">
        <v>0</v>
      </c>
      <c r="R106" s="299">
        <v>23428.05</v>
      </c>
      <c r="S106" s="299">
        <v>8425.93</v>
      </c>
      <c r="T106" s="299">
        <v>0</v>
      </c>
      <c r="U106" s="299">
        <v>0</v>
      </c>
      <c r="V106" s="299">
        <v>0</v>
      </c>
      <c r="W106" s="299">
        <v>-419.37</v>
      </c>
      <c r="X106" s="299">
        <v>88865</v>
      </c>
      <c r="Y106" s="299">
        <v>2411351.2099999995</v>
      </c>
      <c r="Z106" s="299">
        <v>1123876.8899999999</v>
      </c>
      <c r="AA106" s="299">
        <v>26302.240000000002</v>
      </c>
      <c r="AB106" s="299">
        <v>661676.23</v>
      </c>
      <c r="AC106" s="299">
        <v>59661.14</v>
      </c>
      <c r="AD106" s="299">
        <v>101275.97</v>
      </c>
      <c r="AE106" s="299">
        <v>0</v>
      </c>
      <c r="AF106" s="299">
        <v>38968.019999999997</v>
      </c>
      <c r="AG106" s="299">
        <v>8704.77</v>
      </c>
      <c r="AH106" s="299">
        <v>4008.27</v>
      </c>
      <c r="AI106" s="299">
        <v>0</v>
      </c>
      <c r="AJ106" s="299">
        <v>0</v>
      </c>
      <c r="AK106" s="299">
        <v>8927.8700000000008</v>
      </c>
      <c r="AL106" s="299">
        <v>1742.81</v>
      </c>
      <c r="AM106" s="299">
        <v>4330.1499999999996</v>
      </c>
      <c r="AN106" s="299">
        <v>10480.58</v>
      </c>
      <c r="AO106" s="299">
        <v>36652.33</v>
      </c>
      <c r="AP106" s="299">
        <v>55146</v>
      </c>
      <c r="AQ106" s="299">
        <v>9969.98</v>
      </c>
      <c r="AR106" s="299">
        <v>56195.33</v>
      </c>
      <c r="AS106" s="299">
        <v>37806.720000000001</v>
      </c>
      <c r="AT106" s="299">
        <v>0</v>
      </c>
      <c r="AU106" s="299">
        <v>13808.36</v>
      </c>
      <c r="AV106" s="299">
        <v>7601.77</v>
      </c>
      <c r="AW106" s="299">
        <v>0</v>
      </c>
      <c r="AX106" s="299">
        <v>114592.18</v>
      </c>
      <c r="AY106" s="299">
        <v>37525.019999999997</v>
      </c>
      <c r="AZ106" s="299">
        <v>20810</v>
      </c>
      <c r="BA106" s="299">
        <v>11173.09</v>
      </c>
      <c r="BB106" s="299">
        <v>0</v>
      </c>
      <c r="BC106" s="299">
        <v>2627.85</v>
      </c>
      <c r="BD106" s="299">
        <v>6987.64</v>
      </c>
      <c r="BE106" s="299">
        <v>2460851.2100000004</v>
      </c>
      <c r="BF106" s="299">
        <v>-49500.000000000931</v>
      </c>
      <c r="BG106" s="299">
        <v>147125.82</v>
      </c>
      <c r="BH106" s="299">
        <v>97625.819999999076</v>
      </c>
      <c r="BI106" s="299">
        <v>0</v>
      </c>
      <c r="BJ106" s="299">
        <v>0</v>
      </c>
      <c r="BK106" s="299">
        <v>0</v>
      </c>
      <c r="BL106" s="299">
        <v>0</v>
      </c>
      <c r="BM106" s="299">
        <v>0</v>
      </c>
      <c r="BN106" s="299">
        <v>0</v>
      </c>
      <c r="BO106" s="299">
        <v>0</v>
      </c>
      <c r="BP106" s="299">
        <v>0</v>
      </c>
      <c r="BQ106" s="299">
        <v>0</v>
      </c>
      <c r="BR106" s="299">
        <v>0</v>
      </c>
      <c r="BS106" s="299">
        <v>97625.819999999541</v>
      </c>
      <c r="BT106" s="299">
        <v>0</v>
      </c>
      <c r="BU106" s="299">
        <v>97625.819999999541</v>
      </c>
      <c r="BV106" s="299">
        <v>14555.99</v>
      </c>
      <c r="BW106" s="299">
        <v>0</v>
      </c>
      <c r="BX106" s="299">
        <v>0</v>
      </c>
      <c r="BY106" s="299">
        <v>14555.99</v>
      </c>
      <c r="BZ106" s="299">
        <v>0</v>
      </c>
      <c r="CA106" s="299">
        <v>1114.2</v>
      </c>
      <c r="CB106" s="299">
        <v>0</v>
      </c>
      <c r="CC106" s="299">
        <v>4007</v>
      </c>
      <c r="CD106" s="299">
        <v>5121.2</v>
      </c>
      <c r="CE106" s="299">
        <v>9434.7900000000009</v>
      </c>
      <c r="CF106" s="299">
        <v>11040.65</v>
      </c>
      <c r="CG106" s="299">
        <v>20475.440000000002</v>
      </c>
      <c r="CH106" s="299">
        <v>14430.7</v>
      </c>
      <c r="CI106" s="299">
        <v>6044.74</v>
      </c>
      <c r="CJ106" s="299">
        <v>20475.440000000002</v>
      </c>
    </row>
    <row r="107" spans="1:88" ht="13.8">
      <c r="A107" s="252" t="s">
        <v>1377</v>
      </c>
      <c r="B107" s="288">
        <v>3052</v>
      </c>
      <c r="C107" s="288" t="s">
        <v>810</v>
      </c>
      <c r="D107" s="248" t="s">
        <v>708</v>
      </c>
      <c r="E107" s="399" t="str">
        <f t="shared" si="5"/>
        <v>30EP3052</v>
      </c>
      <c r="F107" s="299">
        <v>1394470.75</v>
      </c>
      <c r="G107" s="299">
        <v>0</v>
      </c>
      <c r="H107" s="299">
        <v>126198.43</v>
      </c>
      <c r="I107" s="299">
        <v>0</v>
      </c>
      <c r="J107" s="299">
        <v>65255</v>
      </c>
      <c r="K107" s="299">
        <v>0</v>
      </c>
      <c r="L107" s="299">
        <v>0</v>
      </c>
      <c r="M107" s="299">
        <v>7589.75</v>
      </c>
      <c r="N107" s="299">
        <v>74419.67</v>
      </c>
      <c r="O107" s="299">
        <v>22293.67</v>
      </c>
      <c r="P107" s="299">
        <v>0</v>
      </c>
      <c r="Q107" s="299">
        <v>0</v>
      </c>
      <c r="R107" s="299">
        <v>15650.81</v>
      </c>
      <c r="S107" s="299">
        <v>30986.37</v>
      </c>
      <c r="T107" s="299">
        <v>0</v>
      </c>
      <c r="U107" s="299">
        <v>0</v>
      </c>
      <c r="V107" s="299">
        <v>0</v>
      </c>
      <c r="W107" s="299">
        <v>-176.87</v>
      </c>
      <c r="X107" s="299">
        <v>55600</v>
      </c>
      <c r="Y107" s="299">
        <v>1792287.5799999998</v>
      </c>
      <c r="Z107" s="299">
        <v>873593.69</v>
      </c>
      <c r="AA107" s="299">
        <v>13237.19</v>
      </c>
      <c r="AB107" s="299">
        <v>369896.03</v>
      </c>
      <c r="AC107" s="299">
        <v>67086.67</v>
      </c>
      <c r="AD107" s="299">
        <v>69305.23</v>
      </c>
      <c r="AE107" s="299">
        <v>51747.08</v>
      </c>
      <c r="AF107" s="299">
        <v>0</v>
      </c>
      <c r="AG107" s="299">
        <v>7325.08</v>
      </c>
      <c r="AH107" s="299">
        <v>5378.92</v>
      </c>
      <c r="AI107" s="299">
        <v>6175</v>
      </c>
      <c r="AJ107" s="299">
        <v>500</v>
      </c>
      <c r="AK107" s="299">
        <v>21721.72</v>
      </c>
      <c r="AL107" s="299">
        <v>4351.5600000000004</v>
      </c>
      <c r="AM107" s="299">
        <v>5293.31</v>
      </c>
      <c r="AN107" s="299">
        <v>5730.66</v>
      </c>
      <c r="AO107" s="299">
        <v>25894.38</v>
      </c>
      <c r="AP107" s="299">
        <v>35490</v>
      </c>
      <c r="AQ107" s="299">
        <v>24595.73</v>
      </c>
      <c r="AR107" s="299">
        <v>85960.87</v>
      </c>
      <c r="AS107" s="299">
        <v>29882.57</v>
      </c>
      <c r="AT107" s="299">
        <v>0</v>
      </c>
      <c r="AU107" s="299">
        <v>17255.89</v>
      </c>
      <c r="AV107" s="299">
        <v>5778.95</v>
      </c>
      <c r="AW107" s="299">
        <v>1475.73</v>
      </c>
      <c r="AX107" s="299">
        <v>27110.67</v>
      </c>
      <c r="AY107" s="299">
        <v>3283.12</v>
      </c>
      <c r="AZ107" s="299">
        <v>7753.85</v>
      </c>
      <c r="BA107" s="299">
        <v>21061.22</v>
      </c>
      <c r="BB107" s="299">
        <v>0</v>
      </c>
      <c r="BC107" s="299">
        <v>1997.7</v>
      </c>
      <c r="BD107" s="299">
        <v>5652.84</v>
      </c>
      <c r="BE107" s="299">
        <v>1794535.6599999997</v>
      </c>
      <c r="BF107" s="299">
        <v>-2248.0799999998417</v>
      </c>
      <c r="BG107" s="299">
        <v>34661.230000000003</v>
      </c>
      <c r="BH107" s="299">
        <v>32413.150000000162</v>
      </c>
      <c r="BI107" s="299">
        <v>0</v>
      </c>
      <c r="BJ107" s="299">
        <v>269440.39</v>
      </c>
      <c r="BK107" s="299">
        <v>269440.39</v>
      </c>
      <c r="BL107" s="299">
        <v>223383.87</v>
      </c>
      <c r="BM107" s="299">
        <v>22635.64</v>
      </c>
      <c r="BN107" s="299">
        <v>246019.51</v>
      </c>
      <c r="BO107" s="299">
        <v>23420.880000000005</v>
      </c>
      <c r="BP107" s="299">
        <v>27038.22</v>
      </c>
      <c r="BQ107" s="299">
        <v>50459.100000000006</v>
      </c>
      <c r="BR107" s="299">
        <v>13146.26</v>
      </c>
      <c r="BS107" s="299">
        <v>19266.889999999927</v>
      </c>
      <c r="BT107" s="299">
        <v>50459.100000000006</v>
      </c>
      <c r="BU107" s="299">
        <v>82872.249999999927</v>
      </c>
      <c r="BV107" s="299">
        <v>6868.75</v>
      </c>
      <c r="BW107" s="299">
        <v>0</v>
      </c>
      <c r="BX107" s="299">
        <v>0</v>
      </c>
      <c r="BY107" s="299">
        <v>6868.75</v>
      </c>
      <c r="BZ107" s="299">
        <v>0</v>
      </c>
      <c r="CA107" s="299">
        <v>2216</v>
      </c>
      <c r="CB107" s="299">
        <v>0</v>
      </c>
      <c r="CC107" s="299">
        <v>6378.36</v>
      </c>
      <c r="CD107" s="299">
        <v>8594.36</v>
      </c>
      <c r="CE107" s="299">
        <v>-1725.6100000000006</v>
      </c>
      <c r="CF107" s="299">
        <v>1725.61</v>
      </c>
      <c r="CG107" s="299">
        <v>0</v>
      </c>
      <c r="CH107" s="299">
        <v>0</v>
      </c>
      <c r="CI107" s="299">
        <v>0</v>
      </c>
      <c r="CJ107" s="299">
        <v>0</v>
      </c>
    </row>
    <row r="108" spans="1:88" ht="13.8">
      <c r="A108" s="252" t="s">
        <v>1377</v>
      </c>
      <c r="B108" s="288">
        <v>2046</v>
      </c>
      <c r="C108" s="288" t="s">
        <v>811</v>
      </c>
      <c r="D108" s="248" t="s">
        <v>708</v>
      </c>
      <c r="E108" s="399" t="str">
        <f t="shared" si="5"/>
        <v>30EP2046</v>
      </c>
      <c r="F108" s="299">
        <v>1532317.63</v>
      </c>
      <c r="G108" s="299">
        <v>0</v>
      </c>
      <c r="H108" s="299">
        <v>81312.84</v>
      </c>
      <c r="I108" s="299">
        <v>0</v>
      </c>
      <c r="J108" s="299">
        <v>47600</v>
      </c>
      <c r="K108" s="299">
        <v>1200</v>
      </c>
      <c r="L108" s="299">
        <v>0</v>
      </c>
      <c r="M108" s="299">
        <v>4477.5</v>
      </c>
      <c r="N108" s="299">
        <v>137300.6</v>
      </c>
      <c r="O108" s="299">
        <v>27234.89</v>
      </c>
      <c r="P108" s="299">
        <v>11222</v>
      </c>
      <c r="Q108" s="299">
        <v>8366.0400000000009</v>
      </c>
      <c r="R108" s="299">
        <v>27896.25</v>
      </c>
      <c r="S108" s="299">
        <v>4526.21</v>
      </c>
      <c r="T108" s="299">
        <v>0</v>
      </c>
      <c r="U108" s="299">
        <v>0</v>
      </c>
      <c r="V108" s="299">
        <v>0</v>
      </c>
      <c r="W108" s="299">
        <v>1569.38</v>
      </c>
      <c r="X108" s="299">
        <v>69549</v>
      </c>
      <c r="Y108" s="299">
        <v>1954572.3399999999</v>
      </c>
      <c r="Z108" s="299">
        <v>1051566.96</v>
      </c>
      <c r="AA108" s="299">
        <v>23958.48</v>
      </c>
      <c r="AB108" s="299">
        <v>301208.56</v>
      </c>
      <c r="AC108" s="299">
        <v>76083.25</v>
      </c>
      <c r="AD108" s="299">
        <v>103288.28</v>
      </c>
      <c r="AE108" s="299">
        <v>0</v>
      </c>
      <c r="AF108" s="299">
        <v>28726.52</v>
      </c>
      <c r="AG108" s="299">
        <v>7748.93</v>
      </c>
      <c r="AH108" s="299">
        <v>8858.85</v>
      </c>
      <c r="AI108" s="299">
        <v>7625</v>
      </c>
      <c r="AJ108" s="299">
        <v>1456.25</v>
      </c>
      <c r="AK108" s="299">
        <v>7746.09</v>
      </c>
      <c r="AL108" s="299">
        <v>41.2</v>
      </c>
      <c r="AM108" s="299">
        <v>5836.72</v>
      </c>
      <c r="AN108" s="299">
        <v>3908.38</v>
      </c>
      <c r="AO108" s="299">
        <v>27494.45</v>
      </c>
      <c r="AP108" s="299">
        <v>45318</v>
      </c>
      <c r="AQ108" s="299">
        <v>6689.24</v>
      </c>
      <c r="AR108" s="299">
        <v>62622.3</v>
      </c>
      <c r="AS108" s="299">
        <v>32476.800000000003</v>
      </c>
      <c r="AT108" s="299">
        <v>0</v>
      </c>
      <c r="AU108" s="299">
        <v>6477.39</v>
      </c>
      <c r="AV108" s="299">
        <v>6144.24</v>
      </c>
      <c r="AW108" s="299">
        <v>0</v>
      </c>
      <c r="AX108" s="299">
        <v>77812.210000000006</v>
      </c>
      <c r="AY108" s="299">
        <v>5538.57</v>
      </c>
      <c r="AZ108" s="299">
        <v>3910</v>
      </c>
      <c r="BA108" s="299">
        <v>14717.56</v>
      </c>
      <c r="BB108" s="299">
        <v>0</v>
      </c>
      <c r="BC108" s="299">
        <v>1375.62</v>
      </c>
      <c r="BD108" s="299">
        <v>10574.41</v>
      </c>
      <c r="BE108" s="299">
        <v>1929204.26</v>
      </c>
      <c r="BF108" s="299">
        <v>25368.079999999842</v>
      </c>
      <c r="BG108" s="299">
        <v>99109.57</v>
      </c>
      <c r="BH108" s="299">
        <v>124477.64999999985</v>
      </c>
      <c r="BI108" s="299">
        <v>157706.09</v>
      </c>
      <c r="BJ108" s="299">
        <v>136105.10999999999</v>
      </c>
      <c r="BK108" s="299">
        <v>293811.19999999995</v>
      </c>
      <c r="BL108" s="299">
        <v>200507</v>
      </c>
      <c r="BM108" s="299">
        <v>83540.800000000003</v>
      </c>
      <c r="BN108" s="299">
        <v>284047.8</v>
      </c>
      <c r="BO108" s="299">
        <v>9763.3999999999651</v>
      </c>
      <c r="BP108" s="299">
        <v>56106.51</v>
      </c>
      <c r="BQ108" s="299">
        <v>65869.909999999974</v>
      </c>
      <c r="BR108" s="299">
        <v>8823.4499999999989</v>
      </c>
      <c r="BS108" s="299">
        <v>115654.19999999985</v>
      </c>
      <c r="BT108" s="299">
        <v>65869.909999999974</v>
      </c>
      <c r="BU108" s="299">
        <v>190347.55999999982</v>
      </c>
      <c r="BV108" s="299">
        <v>7408.75</v>
      </c>
      <c r="BW108" s="299">
        <v>0</v>
      </c>
      <c r="BX108" s="299">
        <v>6586.47</v>
      </c>
      <c r="BY108" s="299">
        <v>13995.220000000001</v>
      </c>
      <c r="BZ108" s="299">
        <v>0</v>
      </c>
      <c r="CA108" s="299">
        <v>6586.47</v>
      </c>
      <c r="CB108" s="299">
        <v>0</v>
      </c>
      <c r="CC108" s="299">
        <v>0</v>
      </c>
      <c r="CD108" s="299">
        <v>6586.47</v>
      </c>
      <c r="CE108" s="299">
        <v>7408.7500000000009</v>
      </c>
      <c r="CF108" s="299">
        <v>2075.4299999999998</v>
      </c>
      <c r="CG108" s="299">
        <v>9484.18</v>
      </c>
      <c r="CH108" s="299">
        <v>9484.18</v>
      </c>
      <c r="CI108" s="299">
        <v>0</v>
      </c>
      <c r="CJ108" s="299">
        <v>9484.18</v>
      </c>
    </row>
    <row r="109" spans="1:88" ht="13.8">
      <c r="A109" s="252" t="s">
        <v>1377</v>
      </c>
      <c r="B109" s="288">
        <v>3325</v>
      </c>
      <c r="C109" s="288" t="s">
        <v>812</v>
      </c>
      <c r="D109" s="248" t="s">
        <v>708</v>
      </c>
      <c r="E109" s="399" t="str">
        <f t="shared" si="5"/>
        <v>30EP3325</v>
      </c>
      <c r="F109" s="299">
        <v>991960.36</v>
      </c>
      <c r="G109" s="299">
        <v>0</v>
      </c>
      <c r="H109" s="299">
        <v>96533.77</v>
      </c>
      <c r="I109" s="299">
        <v>0</v>
      </c>
      <c r="J109" s="299">
        <v>111253</v>
      </c>
      <c r="K109" s="299">
        <v>2099.86</v>
      </c>
      <c r="L109" s="299">
        <v>0</v>
      </c>
      <c r="M109" s="299">
        <v>4590</v>
      </c>
      <c r="N109" s="299">
        <v>31046.62</v>
      </c>
      <c r="O109" s="299">
        <v>16466.400000000001</v>
      </c>
      <c r="P109" s="299">
        <v>0</v>
      </c>
      <c r="Q109" s="299">
        <v>0</v>
      </c>
      <c r="R109" s="299">
        <v>17245.5</v>
      </c>
      <c r="S109" s="299">
        <v>13493.57</v>
      </c>
      <c r="T109" s="299">
        <v>0</v>
      </c>
      <c r="U109" s="299">
        <v>0</v>
      </c>
      <c r="V109" s="299">
        <v>0</v>
      </c>
      <c r="W109" s="299">
        <v>-234.37</v>
      </c>
      <c r="X109" s="299">
        <v>40575</v>
      </c>
      <c r="Y109" s="299">
        <v>1325029.71</v>
      </c>
      <c r="Z109" s="299">
        <v>615961.41</v>
      </c>
      <c r="AA109" s="299">
        <v>0</v>
      </c>
      <c r="AB109" s="299">
        <v>313585.15000000002</v>
      </c>
      <c r="AC109" s="299">
        <v>0</v>
      </c>
      <c r="AD109" s="299">
        <v>74704.509999999995</v>
      </c>
      <c r="AE109" s="299">
        <v>0</v>
      </c>
      <c r="AF109" s="299">
        <v>40316.6</v>
      </c>
      <c r="AG109" s="299">
        <v>344.7</v>
      </c>
      <c r="AH109" s="299">
        <v>6383.21</v>
      </c>
      <c r="AI109" s="299">
        <v>4375</v>
      </c>
      <c r="AJ109" s="299">
        <v>0</v>
      </c>
      <c r="AK109" s="299">
        <v>10117.549999999999</v>
      </c>
      <c r="AL109" s="299">
        <v>3825.82</v>
      </c>
      <c r="AM109" s="299">
        <v>28138.21</v>
      </c>
      <c r="AN109" s="299">
        <v>3858.38</v>
      </c>
      <c r="AO109" s="299">
        <v>25799.99</v>
      </c>
      <c r="AP109" s="299">
        <v>4391.2</v>
      </c>
      <c r="AQ109" s="299">
        <v>6805.52</v>
      </c>
      <c r="AR109" s="299">
        <v>33334.01</v>
      </c>
      <c r="AS109" s="299">
        <v>25147.71</v>
      </c>
      <c r="AT109" s="299">
        <v>0</v>
      </c>
      <c r="AU109" s="299">
        <v>9825.39</v>
      </c>
      <c r="AV109" s="299">
        <v>3841.54</v>
      </c>
      <c r="AW109" s="299">
        <v>1112.75</v>
      </c>
      <c r="AX109" s="299">
        <v>61399.16</v>
      </c>
      <c r="AY109" s="299">
        <v>3951.15</v>
      </c>
      <c r="AZ109" s="299">
        <v>67887.42</v>
      </c>
      <c r="BA109" s="299">
        <v>25540</v>
      </c>
      <c r="BB109" s="299">
        <v>0</v>
      </c>
      <c r="BC109" s="299">
        <v>0</v>
      </c>
      <c r="BD109" s="299">
        <v>2130.3200000000002</v>
      </c>
      <c r="BE109" s="299">
        <v>1372776.6999999997</v>
      </c>
      <c r="BF109" s="299">
        <v>-47746.989999999758</v>
      </c>
      <c r="BG109" s="299">
        <v>104430.42</v>
      </c>
      <c r="BH109" s="299">
        <v>56683.43000000024</v>
      </c>
      <c r="BI109" s="299">
        <v>40941.83</v>
      </c>
      <c r="BJ109" s="299">
        <v>8373.0499999999993</v>
      </c>
      <c r="BK109" s="299">
        <v>49314.880000000005</v>
      </c>
      <c r="BL109" s="299">
        <v>46607.35</v>
      </c>
      <c r="BM109" s="299">
        <v>9817.66</v>
      </c>
      <c r="BN109" s="299">
        <v>56425.009999999995</v>
      </c>
      <c r="BO109" s="299">
        <v>-7110.1299999999901</v>
      </c>
      <c r="BP109" s="299">
        <v>275.14000000000033</v>
      </c>
      <c r="BQ109" s="299">
        <v>-6834.9899999999898</v>
      </c>
      <c r="BR109" s="299">
        <v>2829.24</v>
      </c>
      <c r="BS109" s="299">
        <v>46843.910000000011</v>
      </c>
      <c r="BT109" s="299">
        <v>175.29000000000974</v>
      </c>
      <c r="BU109" s="299">
        <v>49848.440000000017</v>
      </c>
      <c r="BV109" s="299">
        <v>0</v>
      </c>
      <c r="BW109" s="299">
        <v>0</v>
      </c>
      <c r="BX109" s="299">
        <v>0</v>
      </c>
      <c r="BY109" s="299">
        <v>0</v>
      </c>
      <c r="BZ109" s="299">
        <v>0</v>
      </c>
      <c r="CA109" s="299">
        <v>0</v>
      </c>
      <c r="CB109" s="299">
        <v>0</v>
      </c>
      <c r="CC109" s="299">
        <v>0</v>
      </c>
      <c r="CD109" s="299">
        <v>0</v>
      </c>
      <c r="CE109" s="299">
        <v>0</v>
      </c>
      <c r="CF109" s="299">
        <v>0</v>
      </c>
      <c r="CG109" s="299">
        <v>0</v>
      </c>
      <c r="CH109" s="299">
        <v>0</v>
      </c>
      <c r="CI109" s="299">
        <v>0</v>
      </c>
      <c r="CJ109" s="299">
        <v>0</v>
      </c>
    </row>
    <row r="110" spans="1:88" ht="13.8">
      <c r="A110" s="252" t="s">
        <v>1377</v>
      </c>
      <c r="B110" s="288">
        <v>1001</v>
      </c>
      <c r="C110" s="288" t="s">
        <v>813</v>
      </c>
      <c r="D110" s="248" t="s">
        <v>724</v>
      </c>
      <c r="E110" s="399" t="str">
        <f t="shared" si="5"/>
        <v>30EN1001</v>
      </c>
      <c r="F110" s="299">
        <v>479339.93</v>
      </c>
      <c r="G110" s="299">
        <v>0</v>
      </c>
      <c r="H110" s="299">
        <v>8167.01</v>
      </c>
      <c r="I110" s="299">
        <v>0</v>
      </c>
      <c r="J110" s="299">
        <v>0</v>
      </c>
      <c r="K110" s="299">
        <v>0</v>
      </c>
      <c r="L110" s="299">
        <v>0</v>
      </c>
      <c r="M110" s="299">
        <v>5459.18</v>
      </c>
      <c r="N110" s="299">
        <v>21135.78</v>
      </c>
      <c r="O110" s="299">
        <v>38312.76</v>
      </c>
      <c r="P110" s="299">
        <v>0</v>
      </c>
      <c r="Q110" s="299">
        <v>0</v>
      </c>
      <c r="R110" s="299">
        <v>68186.179999999993</v>
      </c>
      <c r="S110" s="299">
        <v>3772.47</v>
      </c>
      <c r="T110" s="299">
        <v>0</v>
      </c>
      <c r="U110" s="299">
        <v>0</v>
      </c>
      <c r="V110" s="299">
        <v>0</v>
      </c>
      <c r="W110" s="299">
        <v>0</v>
      </c>
      <c r="X110" s="299">
        <v>0</v>
      </c>
      <c r="Y110" s="299">
        <v>624373.31000000006</v>
      </c>
      <c r="Z110" s="299">
        <v>166916.14000000001</v>
      </c>
      <c r="AA110" s="299">
        <v>0</v>
      </c>
      <c r="AB110" s="299">
        <v>301145.8</v>
      </c>
      <c r="AC110" s="299">
        <v>0</v>
      </c>
      <c r="AD110" s="299">
        <v>32034.49</v>
      </c>
      <c r="AE110" s="299">
        <v>54458.26</v>
      </c>
      <c r="AF110" s="299">
        <v>4953.72</v>
      </c>
      <c r="AG110" s="299">
        <v>6166.2</v>
      </c>
      <c r="AH110" s="299">
        <v>810.66</v>
      </c>
      <c r="AI110" s="299">
        <v>1300</v>
      </c>
      <c r="AJ110" s="299">
        <v>0</v>
      </c>
      <c r="AK110" s="299">
        <v>19145.46</v>
      </c>
      <c r="AL110" s="299">
        <v>1887.64</v>
      </c>
      <c r="AM110" s="299">
        <v>19378.34</v>
      </c>
      <c r="AN110" s="299">
        <v>4000.02</v>
      </c>
      <c r="AO110" s="299">
        <v>6000</v>
      </c>
      <c r="AP110" s="299">
        <v>14595.75</v>
      </c>
      <c r="AQ110" s="299">
        <v>1170</v>
      </c>
      <c r="AR110" s="299">
        <v>4338.53</v>
      </c>
      <c r="AS110" s="299">
        <v>4690.6400000000003</v>
      </c>
      <c r="AT110" s="299">
        <v>0</v>
      </c>
      <c r="AU110" s="299">
        <v>4095.32</v>
      </c>
      <c r="AV110" s="299">
        <v>1178.95</v>
      </c>
      <c r="AW110" s="299">
        <v>0</v>
      </c>
      <c r="AX110" s="299">
        <v>13581.32</v>
      </c>
      <c r="AY110" s="299">
        <v>0</v>
      </c>
      <c r="AZ110" s="299">
        <v>0</v>
      </c>
      <c r="BA110" s="299">
        <v>8246.82</v>
      </c>
      <c r="BB110" s="299">
        <v>0</v>
      </c>
      <c r="BC110" s="299">
        <v>0</v>
      </c>
      <c r="BD110" s="299">
        <v>0</v>
      </c>
      <c r="BE110" s="299">
        <v>670094.05999999971</v>
      </c>
      <c r="BF110" s="299">
        <v>-45720.749999999651</v>
      </c>
      <c r="BG110" s="299">
        <v>-138176.35999999999</v>
      </c>
      <c r="BH110" s="299">
        <v>-183897.10999999964</v>
      </c>
      <c r="BI110" s="299">
        <v>70278.28</v>
      </c>
      <c r="BJ110" s="299">
        <v>0</v>
      </c>
      <c r="BK110" s="299">
        <v>70278.28</v>
      </c>
      <c r="BL110" s="299">
        <v>41227.99</v>
      </c>
      <c r="BM110" s="299">
        <v>21882.05</v>
      </c>
      <c r="BN110" s="299">
        <v>63110.039999999994</v>
      </c>
      <c r="BO110" s="299">
        <v>7168.2400000000052</v>
      </c>
      <c r="BP110" s="299">
        <v>-7991.65</v>
      </c>
      <c r="BQ110" s="299">
        <v>-823.4099999999944</v>
      </c>
      <c r="BR110" s="299">
        <v>0</v>
      </c>
      <c r="BS110" s="299">
        <v>-183897.10999999964</v>
      </c>
      <c r="BT110" s="299">
        <v>-823.4099999999944</v>
      </c>
      <c r="BU110" s="299">
        <v>-184720.51999999964</v>
      </c>
      <c r="BV110" s="299">
        <v>4561.6000000000004</v>
      </c>
      <c r="BW110" s="299">
        <v>0</v>
      </c>
      <c r="BX110" s="299">
        <v>0</v>
      </c>
      <c r="BY110" s="299">
        <v>4561.6000000000004</v>
      </c>
      <c r="BZ110" s="299">
        <v>0</v>
      </c>
      <c r="CA110" s="299">
        <v>0</v>
      </c>
      <c r="CB110" s="299">
        <v>0</v>
      </c>
      <c r="CC110" s="299">
        <v>0</v>
      </c>
      <c r="CD110" s="299">
        <v>0</v>
      </c>
      <c r="CE110" s="299">
        <v>4561.6000000000004</v>
      </c>
      <c r="CF110" s="299">
        <v>32548.23</v>
      </c>
      <c r="CG110" s="299">
        <v>37109.83</v>
      </c>
      <c r="CH110" s="299">
        <v>37109.83</v>
      </c>
      <c r="CI110" s="299">
        <v>0</v>
      </c>
      <c r="CJ110" s="299">
        <v>37109.83</v>
      </c>
    </row>
    <row r="111" spans="1:88" ht="13.8">
      <c r="A111" s="252" t="s">
        <v>1377</v>
      </c>
      <c r="B111" s="288">
        <v>2123</v>
      </c>
      <c r="C111" s="288" t="s">
        <v>814</v>
      </c>
      <c r="D111" s="248" t="s">
        <v>708</v>
      </c>
      <c r="E111" s="399" t="str">
        <f t="shared" si="5"/>
        <v>30EP2123</v>
      </c>
      <c r="F111" s="299">
        <v>1255071.04</v>
      </c>
      <c r="G111" s="299">
        <v>0</v>
      </c>
      <c r="H111" s="299">
        <v>147407.99</v>
      </c>
      <c r="I111" s="299">
        <v>0</v>
      </c>
      <c r="J111" s="299">
        <v>119760</v>
      </c>
      <c r="K111" s="299">
        <v>3256.93</v>
      </c>
      <c r="L111" s="299">
        <v>0</v>
      </c>
      <c r="M111" s="299">
        <v>74151.08</v>
      </c>
      <c r="N111" s="299">
        <v>54456.7</v>
      </c>
      <c r="O111" s="299">
        <v>17514.03</v>
      </c>
      <c r="P111" s="299">
        <v>0</v>
      </c>
      <c r="Q111" s="299">
        <v>17031.8</v>
      </c>
      <c r="R111" s="299">
        <v>14550.92</v>
      </c>
      <c r="S111" s="299">
        <v>11828.7</v>
      </c>
      <c r="T111" s="299">
        <v>0</v>
      </c>
      <c r="U111" s="299">
        <v>0</v>
      </c>
      <c r="V111" s="299">
        <v>0</v>
      </c>
      <c r="W111" s="299">
        <v>5150</v>
      </c>
      <c r="X111" s="299">
        <v>49119</v>
      </c>
      <c r="Y111" s="299">
        <v>1769298.19</v>
      </c>
      <c r="Z111" s="299">
        <v>710951.49</v>
      </c>
      <c r="AA111" s="299">
        <v>0</v>
      </c>
      <c r="AB111" s="299">
        <v>436916.2</v>
      </c>
      <c r="AC111" s="299">
        <v>114991.43</v>
      </c>
      <c r="AD111" s="299">
        <v>60617.43</v>
      </c>
      <c r="AE111" s="299">
        <v>0</v>
      </c>
      <c r="AF111" s="299">
        <v>51159.65</v>
      </c>
      <c r="AG111" s="299">
        <v>6637.33</v>
      </c>
      <c r="AH111" s="299">
        <v>6430.87</v>
      </c>
      <c r="AI111" s="299">
        <v>5275</v>
      </c>
      <c r="AJ111" s="299">
        <v>125</v>
      </c>
      <c r="AK111" s="299">
        <v>78954.45</v>
      </c>
      <c r="AL111" s="299">
        <v>4116.5</v>
      </c>
      <c r="AM111" s="299">
        <v>5059.84</v>
      </c>
      <c r="AN111" s="299">
        <v>10370</v>
      </c>
      <c r="AO111" s="299">
        <v>42578.8</v>
      </c>
      <c r="AP111" s="299">
        <v>37401</v>
      </c>
      <c r="AQ111" s="299">
        <v>13797.32</v>
      </c>
      <c r="AR111" s="299">
        <v>53294.98</v>
      </c>
      <c r="AS111" s="299">
        <v>15487.66</v>
      </c>
      <c r="AT111" s="299">
        <v>0</v>
      </c>
      <c r="AU111" s="299">
        <v>23718.41</v>
      </c>
      <c r="AV111" s="299">
        <v>5473.56</v>
      </c>
      <c r="AW111" s="299">
        <v>6016.32</v>
      </c>
      <c r="AX111" s="299">
        <v>62881.97</v>
      </c>
      <c r="AY111" s="299">
        <v>2806.32</v>
      </c>
      <c r="AZ111" s="299">
        <v>10111.85</v>
      </c>
      <c r="BA111" s="299">
        <v>59963.59</v>
      </c>
      <c r="BB111" s="299">
        <v>0</v>
      </c>
      <c r="BC111" s="299">
        <v>0</v>
      </c>
      <c r="BD111" s="299">
        <v>12235.42</v>
      </c>
      <c r="BE111" s="299">
        <v>1837372.3900000001</v>
      </c>
      <c r="BF111" s="299">
        <v>-68074.200000000186</v>
      </c>
      <c r="BG111" s="299">
        <v>52993.74</v>
      </c>
      <c r="BH111" s="299">
        <v>-15080.460000000188</v>
      </c>
      <c r="BI111" s="299">
        <v>123315.24</v>
      </c>
      <c r="BJ111" s="299">
        <v>66526.94</v>
      </c>
      <c r="BK111" s="299">
        <v>189842.18</v>
      </c>
      <c r="BL111" s="299">
        <v>166689.87</v>
      </c>
      <c r="BM111" s="299">
        <v>0</v>
      </c>
      <c r="BN111" s="299">
        <v>166689.87</v>
      </c>
      <c r="BO111" s="299">
        <v>23152.309999999998</v>
      </c>
      <c r="BP111" s="299">
        <v>-27898.59</v>
      </c>
      <c r="BQ111" s="299">
        <v>-4746.2800000000025</v>
      </c>
      <c r="BR111" s="299">
        <v>4238.12</v>
      </c>
      <c r="BS111" s="299">
        <v>-39568.290000000161</v>
      </c>
      <c r="BT111" s="299">
        <v>15503.43</v>
      </c>
      <c r="BU111" s="299">
        <v>-19826.740000000162</v>
      </c>
      <c r="BV111" s="299">
        <v>6711.25</v>
      </c>
      <c r="BW111" s="299">
        <v>0</v>
      </c>
      <c r="BX111" s="299">
        <v>0</v>
      </c>
      <c r="BY111" s="299">
        <v>6711.25</v>
      </c>
      <c r="BZ111" s="299">
        <v>0</v>
      </c>
      <c r="CA111" s="299">
        <v>8233.69</v>
      </c>
      <c r="CB111" s="299">
        <v>0</v>
      </c>
      <c r="CC111" s="299">
        <v>0</v>
      </c>
      <c r="CD111" s="299">
        <v>8233.69</v>
      </c>
      <c r="CE111" s="299">
        <v>-1522.4400000000005</v>
      </c>
      <c r="CF111" s="299">
        <v>2123.85</v>
      </c>
      <c r="CG111" s="299">
        <v>601.4099999999994</v>
      </c>
      <c r="CH111" s="299">
        <v>601.4099999999994</v>
      </c>
      <c r="CI111" s="299">
        <v>0</v>
      </c>
      <c r="CJ111" s="299">
        <v>601.4099999999994</v>
      </c>
    </row>
    <row r="112" spans="1:88" ht="13.8">
      <c r="A112" s="252" t="s">
        <v>1377</v>
      </c>
      <c r="B112" s="288">
        <v>2260</v>
      </c>
      <c r="C112" s="288" t="s">
        <v>815</v>
      </c>
      <c r="D112" s="248" t="s">
        <v>708</v>
      </c>
      <c r="E112" s="399" t="str">
        <f t="shared" si="5"/>
        <v>30EP2260</v>
      </c>
      <c r="F112" s="299">
        <v>451001.25</v>
      </c>
      <c r="G112" s="299">
        <v>0</v>
      </c>
      <c r="H112" s="299">
        <v>25741.200000000001</v>
      </c>
      <c r="I112" s="299">
        <v>0</v>
      </c>
      <c r="J112" s="299">
        <v>19240</v>
      </c>
      <c r="K112" s="299">
        <v>2056.9299999999998</v>
      </c>
      <c r="L112" s="299">
        <v>0</v>
      </c>
      <c r="M112" s="299">
        <v>0</v>
      </c>
      <c r="N112" s="299">
        <v>31298.52</v>
      </c>
      <c r="O112" s="299">
        <v>4343.5</v>
      </c>
      <c r="P112" s="299">
        <v>0</v>
      </c>
      <c r="Q112" s="299">
        <v>0</v>
      </c>
      <c r="R112" s="299">
        <v>2053.6</v>
      </c>
      <c r="S112" s="299">
        <v>3612.96</v>
      </c>
      <c r="T112" s="299">
        <v>0</v>
      </c>
      <c r="U112" s="299">
        <v>0</v>
      </c>
      <c r="V112" s="299">
        <v>0</v>
      </c>
      <c r="W112" s="299">
        <v>145.63</v>
      </c>
      <c r="X112" s="299">
        <v>25242</v>
      </c>
      <c r="Y112" s="299">
        <v>564735.59</v>
      </c>
      <c r="Z112" s="299">
        <v>255851.17</v>
      </c>
      <c r="AA112" s="299">
        <v>2925.44</v>
      </c>
      <c r="AB112" s="299">
        <v>97230.24</v>
      </c>
      <c r="AC112" s="299">
        <v>0</v>
      </c>
      <c r="AD112" s="299">
        <v>40802.79</v>
      </c>
      <c r="AE112" s="299">
        <v>7493.66</v>
      </c>
      <c r="AF112" s="299">
        <v>29224.23</v>
      </c>
      <c r="AG112" s="299">
        <v>1896</v>
      </c>
      <c r="AH112" s="299">
        <v>677</v>
      </c>
      <c r="AI112" s="299">
        <v>1325</v>
      </c>
      <c r="AJ112" s="299">
        <v>0</v>
      </c>
      <c r="AK112" s="299">
        <v>6176.55</v>
      </c>
      <c r="AL112" s="299">
        <v>2235.31</v>
      </c>
      <c r="AM112" s="299">
        <v>17188.349999999999</v>
      </c>
      <c r="AN112" s="299">
        <v>1355.97</v>
      </c>
      <c r="AO112" s="299">
        <v>13142.77</v>
      </c>
      <c r="AP112" s="299">
        <v>12724.5</v>
      </c>
      <c r="AQ112" s="299">
        <v>1773.44</v>
      </c>
      <c r="AR112" s="299">
        <v>10024.459999999999</v>
      </c>
      <c r="AS112" s="299">
        <v>17165.32</v>
      </c>
      <c r="AT112" s="299">
        <v>0</v>
      </c>
      <c r="AU112" s="299">
        <v>2737.31</v>
      </c>
      <c r="AV112" s="299">
        <v>1539.38</v>
      </c>
      <c r="AW112" s="299">
        <v>4145.6499999999996</v>
      </c>
      <c r="AX112" s="299">
        <v>17386.060000000001</v>
      </c>
      <c r="AY112" s="299">
        <v>6722.25</v>
      </c>
      <c r="AZ112" s="299">
        <v>10150</v>
      </c>
      <c r="BA112" s="299">
        <v>9047.02</v>
      </c>
      <c r="BB112" s="299">
        <v>0</v>
      </c>
      <c r="BC112" s="299">
        <v>0</v>
      </c>
      <c r="BD112" s="299">
        <v>0</v>
      </c>
      <c r="BE112" s="299">
        <v>570939.87</v>
      </c>
      <c r="BF112" s="299">
        <v>-6204.2800000000279</v>
      </c>
      <c r="BG112" s="299">
        <v>67604.479999999996</v>
      </c>
      <c r="BH112" s="299">
        <v>61400.199999999968</v>
      </c>
      <c r="BI112" s="299">
        <v>0</v>
      </c>
      <c r="BJ112" s="299">
        <v>0</v>
      </c>
      <c r="BK112" s="299">
        <v>0</v>
      </c>
      <c r="BL112" s="299">
        <v>0</v>
      </c>
      <c r="BM112" s="299">
        <v>0</v>
      </c>
      <c r="BN112" s="299">
        <v>0</v>
      </c>
      <c r="BO112" s="299">
        <v>0</v>
      </c>
      <c r="BP112" s="299">
        <v>0</v>
      </c>
      <c r="BQ112" s="299">
        <v>0</v>
      </c>
      <c r="BR112" s="299">
        <v>8543</v>
      </c>
      <c r="BS112" s="299">
        <v>52857.200000000084</v>
      </c>
      <c r="BT112" s="299">
        <v>0</v>
      </c>
      <c r="BU112" s="299">
        <v>61400.200000000084</v>
      </c>
      <c r="BV112" s="299">
        <v>4686.25</v>
      </c>
      <c r="BW112" s="299">
        <v>0</v>
      </c>
      <c r="BX112" s="299">
        <v>0</v>
      </c>
      <c r="BY112" s="299">
        <v>4686.25</v>
      </c>
      <c r="BZ112" s="299">
        <v>0</v>
      </c>
      <c r="CA112" s="299">
        <v>1509</v>
      </c>
      <c r="CB112" s="299">
        <v>0</v>
      </c>
      <c r="CC112" s="299">
        <v>0</v>
      </c>
      <c r="CD112" s="299">
        <v>1509</v>
      </c>
      <c r="CE112" s="299">
        <v>3177.25</v>
      </c>
      <c r="CF112" s="299">
        <v>2935.29</v>
      </c>
      <c r="CG112" s="299">
        <v>6112.54</v>
      </c>
      <c r="CH112" s="299">
        <v>6112.54</v>
      </c>
      <c r="CI112" s="299">
        <v>0</v>
      </c>
      <c r="CJ112" s="299">
        <v>6112.54</v>
      </c>
    </row>
    <row r="113" spans="1:88" ht="13.8">
      <c r="A113" s="252" t="s">
        <v>1377</v>
      </c>
      <c r="B113" s="288">
        <v>3058</v>
      </c>
      <c r="C113" s="288" t="s">
        <v>816</v>
      </c>
      <c r="D113" s="248" t="s">
        <v>708</v>
      </c>
      <c r="E113" s="399" t="str">
        <f t="shared" si="5"/>
        <v>30EP3058</v>
      </c>
      <c r="F113" s="299">
        <v>1572900.84</v>
      </c>
      <c r="G113" s="299">
        <v>0</v>
      </c>
      <c r="H113" s="299">
        <v>177184.7</v>
      </c>
      <c r="I113" s="299">
        <v>0</v>
      </c>
      <c r="J113" s="299">
        <v>98474</v>
      </c>
      <c r="K113" s="299">
        <v>10742.57</v>
      </c>
      <c r="L113" s="299">
        <v>0</v>
      </c>
      <c r="M113" s="299">
        <v>0</v>
      </c>
      <c r="N113" s="299">
        <v>5339.34</v>
      </c>
      <c r="O113" s="299">
        <v>33801.599999999999</v>
      </c>
      <c r="P113" s="299">
        <v>17036.900000000001</v>
      </c>
      <c r="Q113" s="299">
        <v>3415.36</v>
      </c>
      <c r="R113" s="299">
        <v>57308.68</v>
      </c>
      <c r="S113" s="299">
        <v>9183.3700000000008</v>
      </c>
      <c r="T113" s="299">
        <v>0</v>
      </c>
      <c r="U113" s="299">
        <v>0</v>
      </c>
      <c r="V113" s="299">
        <v>0</v>
      </c>
      <c r="W113" s="299">
        <v>3921.13</v>
      </c>
      <c r="X113" s="299">
        <v>72436</v>
      </c>
      <c r="Y113" s="299">
        <v>2061744.4900000002</v>
      </c>
      <c r="Z113" s="299">
        <v>894348.98</v>
      </c>
      <c r="AA113" s="299">
        <v>2217.06</v>
      </c>
      <c r="AB113" s="299">
        <v>496375.96</v>
      </c>
      <c r="AC113" s="299">
        <v>73684.33</v>
      </c>
      <c r="AD113" s="299">
        <v>100976.35</v>
      </c>
      <c r="AE113" s="299">
        <v>60240.59</v>
      </c>
      <c r="AF113" s="299">
        <v>76632.899999999994</v>
      </c>
      <c r="AG113" s="299">
        <v>8931.76</v>
      </c>
      <c r="AH113" s="299">
        <v>5779.08</v>
      </c>
      <c r="AI113" s="299">
        <v>7775</v>
      </c>
      <c r="AJ113" s="299">
        <v>1915</v>
      </c>
      <c r="AK113" s="299">
        <v>28137.54</v>
      </c>
      <c r="AL113" s="299">
        <v>1604.67</v>
      </c>
      <c r="AM113" s="299">
        <v>5602.13</v>
      </c>
      <c r="AN113" s="299">
        <v>10064</v>
      </c>
      <c r="AO113" s="299">
        <v>26266.67</v>
      </c>
      <c r="AP113" s="299">
        <v>37401</v>
      </c>
      <c r="AQ113" s="299">
        <v>16679.34</v>
      </c>
      <c r="AR113" s="299">
        <v>73646.66</v>
      </c>
      <c r="AS113" s="299">
        <v>32732.13</v>
      </c>
      <c r="AT113" s="299">
        <v>0</v>
      </c>
      <c r="AU113" s="299">
        <v>15045.48</v>
      </c>
      <c r="AV113" s="299">
        <v>5979.49</v>
      </c>
      <c r="AW113" s="299">
        <v>372.76</v>
      </c>
      <c r="AX113" s="299">
        <v>48548.79</v>
      </c>
      <c r="AY113" s="299">
        <v>21287.34</v>
      </c>
      <c r="AZ113" s="299">
        <v>14052.1</v>
      </c>
      <c r="BA113" s="299">
        <v>17473.73</v>
      </c>
      <c r="BB113" s="299">
        <v>0</v>
      </c>
      <c r="BC113" s="299">
        <v>1527.99</v>
      </c>
      <c r="BD113" s="299">
        <v>3967.02</v>
      </c>
      <c r="BE113" s="299">
        <v>2089265.85</v>
      </c>
      <c r="BF113" s="299">
        <v>-27521.35999999987</v>
      </c>
      <c r="BG113" s="299">
        <v>84323.92</v>
      </c>
      <c r="BH113" s="299">
        <v>56802.560000000129</v>
      </c>
      <c r="BI113" s="299">
        <v>0</v>
      </c>
      <c r="BJ113" s="299">
        <v>140520.18</v>
      </c>
      <c r="BK113" s="299">
        <v>140520.18</v>
      </c>
      <c r="BL113" s="299">
        <v>85566.23</v>
      </c>
      <c r="BM113" s="299">
        <v>28418.41</v>
      </c>
      <c r="BN113" s="299">
        <v>113984.64</v>
      </c>
      <c r="BO113" s="299">
        <v>26535.539999999994</v>
      </c>
      <c r="BP113" s="299">
        <v>0</v>
      </c>
      <c r="BQ113" s="299">
        <v>26535.539999999994</v>
      </c>
      <c r="BR113" s="299">
        <v>0</v>
      </c>
      <c r="BS113" s="299">
        <v>56568.560000000129</v>
      </c>
      <c r="BT113" s="299">
        <v>26769.540000000008</v>
      </c>
      <c r="BU113" s="299">
        <v>83338.100000000137</v>
      </c>
      <c r="BV113" s="299">
        <v>7465</v>
      </c>
      <c r="BW113" s="299">
        <v>0</v>
      </c>
      <c r="BX113" s="299">
        <v>0</v>
      </c>
      <c r="BY113" s="299">
        <v>7465</v>
      </c>
      <c r="BZ113" s="299">
        <v>0</v>
      </c>
      <c r="CA113" s="299">
        <v>5460</v>
      </c>
      <c r="CB113" s="299">
        <v>0</v>
      </c>
      <c r="CC113" s="299">
        <v>6351.31</v>
      </c>
      <c r="CD113" s="299">
        <v>11811.310000000001</v>
      </c>
      <c r="CE113" s="299">
        <v>-4346.3100000000013</v>
      </c>
      <c r="CF113" s="299">
        <v>10284.25</v>
      </c>
      <c r="CG113" s="299">
        <v>5937.9399999999987</v>
      </c>
      <c r="CH113" s="299">
        <v>5937.9399999999987</v>
      </c>
      <c r="CI113" s="299">
        <v>0</v>
      </c>
      <c r="CJ113" s="299">
        <v>5937.9399999999987</v>
      </c>
    </row>
    <row r="114" spans="1:88" ht="13.8">
      <c r="A114" s="252" t="s">
        <v>1377</v>
      </c>
      <c r="B114" s="288">
        <v>2335</v>
      </c>
      <c r="C114" s="288" t="s">
        <v>817</v>
      </c>
      <c r="D114" s="248" t="s">
        <v>708</v>
      </c>
      <c r="E114" s="399" t="str">
        <f t="shared" si="5"/>
        <v>30EP2335</v>
      </c>
      <c r="F114" s="299">
        <v>1058870.9099999999</v>
      </c>
      <c r="G114" s="299">
        <v>0</v>
      </c>
      <c r="H114" s="299">
        <v>65894.350000000006</v>
      </c>
      <c r="I114" s="299">
        <v>0</v>
      </c>
      <c r="J114" s="299">
        <v>24380</v>
      </c>
      <c r="K114" s="299">
        <v>6571.29</v>
      </c>
      <c r="L114" s="299">
        <v>10000</v>
      </c>
      <c r="M114" s="299">
        <v>0</v>
      </c>
      <c r="N114" s="299">
        <v>102916.86</v>
      </c>
      <c r="O114" s="299">
        <v>20281.509999999998</v>
      </c>
      <c r="P114" s="299">
        <v>0</v>
      </c>
      <c r="Q114" s="299">
        <v>960.44</v>
      </c>
      <c r="R114" s="299">
        <v>17016.77</v>
      </c>
      <c r="S114" s="299">
        <v>914.08</v>
      </c>
      <c r="T114" s="299">
        <v>0</v>
      </c>
      <c r="U114" s="299">
        <v>0</v>
      </c>
      <c r="V114" s="299">
        <v>0</v>
      </c>
      <c r="W114" s="299">
        <v>-7.5</v>
      </c>
      <c r="X114" s="299">
        <v>49405</v>
      </c>
      <c r="Y114" s="299">
        <v>1357203.7100000002</v>
      </c>
      <c r="Z114" s="299">
        <v>499012.9</v>
      </c>
      <c r="AA114" s="299">
        <v>0</v>
      </c>
      <c r="AB114" s="299">
        <v>190776.03</v>
      </c>
      <c r="AC114" s="299">
        <v>24324.639999999999</v>
      </c>
      <c r="AD114" s="299">
        <v>30152.04</v>
      </c>
      <c r="AE114" s="299">
        <v>0</v>
      </c>
      <c r="AF114" s="299">
        <v>67054.95</v>
      </c>
      <c r="AG114" s="299">
        <v>4502.84</v>
      </c>
      <c r="AH114" s="299">
        <v>16056.4</v>
      </c>
      <c r="AI114" s="299">
        <v>6170</v>
      </c>
      <c r="AJ114" s="299">
        <v>0</v>
      </c>
      <c r="AK114" s="299">
        <v>10622.13</v>
      </c>
      <c r="AL114" s="299">
        <v>3193.87</v>
      </c>
      <c r="AM114" s="299">
        <v>11317.6</v>
      </c>
      <c r="AN114" s="299">
        <v>1132.55</v>
      </c>
      <c r="AO114" s="299">
        <v>17714.68</v>
      </c>
      <c r="AP114" s="299">
        <v>22455</v>
      </c>
      <c r="AQ114" s="299">
        <v>6453.4</v>
      </c>
      <c r="AR114" s="299">
        <v>84908.82</v>
      </c>
      <c r="AS114" s="299">
        <v>32561.939999999995</v>
      </c>
      <c r="AT114" s="299">
        <v>0</v>
      </c>
      <c r="AU114" s="299">
        <v>11084.25</v>
      </c>
      <c r="AV114" s="299">
        <v>4137.67</v>
      </c>
      <c r="AW114" s="299">
        <v>3404.94</v>
      </c>
      <c r="AX114" s="299">
        <v>68902.12</v>
      </c>
      <c r="AY114" s="299">
        <v>35717.449999999997</v>
      </c>
      <c r="AZ114" s="299">
        <v>21455.77</v>
      </c>
      <c r="BA114" s="299">
        <v>51778.39</v>
      </c>
      <c r="BB114" s="299">
        <v>0</v>
      </c>
      <c r="BC114" s="299">
        <v>0</v>
      </c>
      <c r="BD114" s="299">
        <v>0</v>
      </c>
      <c r="BE114" s="299">
        <v>1224890.3799999999</v>
      </c>
      <c r="BF114" s="299">
        <v>132313.33000000031</v>
      </c>
      <c r="BG114" s="299">
        <v>-31616.35</v>
      </c>
      <c r="BH114" s="299">
        <v>100696.9800000003</v>
      </c>
      <c r="BI114" s="299">
        <v>0</v>
      </c>
      <c r="BJ114" s="299">
        <v>0</v>
      </c>
      <c r="BK114" s="299">
        <v>0</v>
      </c>
      <c r="BL114" s="299">
        <v>0</v>
      </c>
      <c r="BM114" s="299">
        <v>0</v>
      </c>
      <c r="BN114" s="299">
        <v>0</v>
      </c>
      <c r="BO114" s="299">
        <v>0</v>
      </c>
      <c r="BP114" s="299">
        <v>0</v>
      </c>
      <c r="BQ114" s="299">
        <v>0</v>
      </c>
      <c r="BR114" s="299">
        <v>26774.34</v>
      </c>
      <c r="BS114" s="299">
        <v>73922.640000000538</v>
      </c>
      <c r="BT114" s="299">
        <v>0</v>
      </c>
      <c r="BU114" s="299">
        <v>100696.98000000053</v>
      </c>
      <c r="BV114" s="299">
        <v>6328.75</v>
      </c>
      <c r="BW114" s="299">
        <v>0</v>
      </c>
      <c r="BX114" s="299">
        <v>0</v>
      </c>
      <c r="BY114" s="299">
        <v>6328.75</v>
      </c>
      <c r="BZ114" s="299">
        <v>0</v>
      </c>
      <c r="CA114" s="299">
        <v>4100.7</v>
      </c>
      <c r="CB114" s="299">
        <v>0</v>
      </c>
      <c r="CC114" s="299">
        <v>2060.92</v>
      </c>
      <c r="CD114" s="299">
        <v>6161.62</v>
      </c>
      <c r="CE114" s="299">
        <v>167.13000000000011</v>
      </c>
      <c r="CF114" s="299">
        <v>15044.41</v>
      </c>
      <c r="CG114" s="299">
        <v>15211.54</v>
      </c>
      <c r="CH114" s="299">
        <v>14560.02</v>
      </c>
      <c r="CI114" s="299">
        <v>651.52</v>
      </c>
      <c r="CJ114" s="299">
        <v>15211.54</v>
      </c>
    </row>
    <row r="115" spans="1:88" ht="13.8">
      <c r="A115" s="252" t="s">
        <v>1377</v>
      </c>
      <c r="B115" s="288">
        <v>3389</v>
      </c>
      <c r="C115" s="288" t="s">
        <v>818</v>
      </c>
      <c r="D115" s="248" t="s">
        <v>708</v>
      </c>
      <c r="E115" s="399" t="str">
        <f t="shared" si="5"/>
        <v>30EP3389</v>
      </c>
      <c r="F115" s="299">
        <v>1926444.21</v>
      </c>
      <c r="G115" s="299">
        <v>0</v>
      </c>
      <c r="H115" s="299">
        <v>95558.39</v>
      </c>
      <c r="I115" s="299">
        <v>0</v>
      </c>
      <c r="J115" s="299">
        <v>98720</v>
      </c>
      <c r="K115" s="299">
        <v>5634.22</v>
      </c>
      <c r="L115" s="299">
        <v>0</v>
      </c>
      <c r="M115" s="299">
        <v>970</v>
      </c>
      <c r="N115" s="299">
        <v>185464.87</v>
      </c>
      <c r="O115" s="299">
        <v>24176.41</v>
      </c>
      <c r="P115" s="299">
        <v>4500</v>
      </c>
      <c r="Q115" s="299">
        <v>0</v>
      </c>
      <c r="R115" s="299">
        <v>36110.9</v>
      </c>
      <c r="S115" s="299">
        <v>5719.8</v>
      </c>
      <c r="T115" s="299">
        <v>0</v>
      </c>
      <c r="U115" s="299">
        <v>0</v>
      </c>
      <c r="V115" s="299">
        <v>0</v>
      </c>
      <c r="W115" s="299">
        <v>1730.75</v>
      </c>
      <c r="X115" s="299">
        <v>68999</v>
      </c>
      <c r="Y115" s="299">
        <v>2454028.5499999998</v>
      </c>
      <c r="Z115" s="299">
        <v>1195996.99</v>
      </c>
      <c r="AA115" s="299">
        <v>1783.88</v>
      </c>
      <c r="AB115" s="299">
        <v>445726.8</v>
      </c>
      <c r="AC115" s="299">
        <v>62551.3</v>
      </c>
      <c r="AD115" s="299">
        <v>117049.1</v>
      </c>
      <c r="AE115" s="299">
        <v>0</v>
      </c>
      <c r="AF115" s="299">
        <v>92231.81</v>
      </c>
      <c r="AG115" s="299">
        <v>1500.44</v>
      </c>
      <c r="AH115" s="299">
        <v>16678.34</v>
      </c>
      <c r="AI115" s="299">
        <v>0</v>
      </c>
      <c r="AJ115" s="299">
        <v>0</v>
      </c>
      <c r="AK115" s="299">
        <v>18833.599999999999</v>
      </c>
      <c r="AL115" s="299">
        <v>4627.3599999999997</v>
      </c>
      <c r="AM115" s="299">
        <v>46340.95</v>
      </c>
      <c r="AN115" s="299">
        <v>209.55</v>
      </c>
      <c r="AO115" s="299">
        <v>40948.43</v>
      </c>
      <c r="AP115" s="299">
        <v>10374</v>
      </c>
      <c r="AQ115" s="299">
        <v>11794.72</v>
      </c>
      <c r="AR115" s="299">
        <v>72217.11</v>
      </c>
      <c r="AS115" s="299">
        <v>54801.75</v>
      </c>
      <c r="AT115" s="299">
        <v>0</v>
      </c>
      <c r="AU115" s="299">
        <v>8470.0400000000009</v>
      </c>
      <c r="AV115" s="299">
        <v>7845.79</v>
      </c>
      <c r="AW115" s="299">
        <v>7269.03</v>
      </c>
      <c r="AX115" s="299">
        <v>95378.43</v>
      </c>
      <c r="AY115" s="299">
        <v>0</v>
      </c>
      <c r="AZ115" s="299">
        <v>9571.16</v>
      </c>
      <c r="BA115" s="299">
        <v>51352.58</v>
      </c>
      <c r="BB115" s="299">
        <v>0</v>
      </c>
      <c r="BC115" s="299">
        <v>0</v>
      </c>
      <c r="BD115" s="299">
        <v>4019.65</v>
      </c>
      <c r="BE115" s="299">
        <v>2377572.8100000005</v>
      </c>
      <c r="BF115" s="299">
        <v>76455.739999999292</v>
      </c>
      <c r="BG115" s="299">
        <v>47325.24</v>
      </c>
      <c r="BH115" s="299">
        <v>123780.97999999928</v>
      </c>
      <c r="BI115" s="299">
        <v>143401.24</v>
      </c>
      <c r="BJ115" s="299">
        <v>7272.19</v>
      </c>
      <c r="BK115" s="299">
        <v>150673.43</v>
      </c>
      <c r="BL115" s="299">
        <v>116846.41</v>
      </c>
      <c r="BM115" s="299">
        <v>22246.09</v>
      </c>
      <c r="BN115" s="299">
        <v>139092.5</v>
      </c>
      <c r="BO115" s="299">
        <v>11580.929999999993</v>
      </c>
      <c r="BP115" s="299">
        <v>85747.92</v>
      </c>
      <c r="BQ115" s="299">
        <v>97328.849999999991</v>
      </c>
      <c r="BR115" s="299">
        <v>87893.1</v>
      </c>
      <c r="BS115" s="299">
        <v>34057.499999999272</v>
      </c>
      <c r="BT115" s="299">
        <v>99159.23</v>
      </c>
      <c r="BU115" s="299">
        <v>221109.82999999929</v>
      </c>
      <c r="BV115" s="299">
        <v>0</v>
      </c>
      <c r="BW115" s="299">
        <v>0</v>
      </c>
      <c r="BX115" s="299">
        <v>0</v>
      </c>
      <c r="BY115" s="299">
        <v>0</v>
      </c>
      <c r="BZ115" s="299">
        <v>0</v>
      </c>
      <c r="CA115" s="299">
        <v>0</v>
      </c>
      <c r="CB115" s="299">
        <v>0</v>
      </c>
      <c r="CC115" s="299">
        <v>0</v>
      </c>
      <c r="CD115" s="299">
        <v>0</v>
      </c>
      <c r="CE115" s="299">
        <v>0</v>
      </c>
      <c r="CF115" s="299">
        <v>0</v>
      </c>
      <c r="CG115" s="299">
        <v>0</v>
      </c>
      <c r="CH115" s="299">
        <v>0</v>
      </c>
      <c r="CI115" s="299">
        <v>0</v>
      </c>
      <c r="CJ115" s="299">
        <v>0</v>
      </c>
    </row>
    <row r="116" spans="1:88" ht="13.8">
      <c r="A116" s="252" t="s">
        <v>1377</v>
      </c>
      <c r="B116" s="290">
        <v>2001</v>
      </c>
      <c r="C116" s="290" t="s">
        <v>819</v>
      </c>
      <c r="D116" s="248" t="s">
        <v>708</v>
      </c>
      <c r="E116" s="399" t="str">
        <f t="shared" si="5"/>
        <v>30EP2001</v>
      </c>
      <c r="F116" s="299">
        <v>2474329.0499999998</v>
      </c>
      <c r="G116" s="299">
        <v>0</v>
      </c>
      <c r="H116" s="299">
        <v>132910.54999999999</v>
      </c>
      <c r="I116" s="299">
        <v>0</v>
      </c>
      <c r="J116" s="299">
        <v>149232</v>
      </c>
      <c r="K116" s="299">
        <v>744</v>
      </c>
      <c r="L116" s="299">
        <v>0</v>
      </c>
      <c r="M116" s="299">
        <v>16369.5</v>
      </c>
      <c r="N116" s="299">
        <v>68111.289999999994</v>
      </c>
      <c r="O116" s="299">
        <v>40735.83</v>
      </c>
      <c r="P116" s="299">
        <v>33108.22</v>
      </c>
      <c r="Q116" s="299">
        <v>0</v>
      </c>
      <c r="R116" s="299">
        <v>48596.4</v>
      </c>
      <c r="S116" s="299">
        <v>29126.400000000001</v>
      </c>
      <c r="T116" s="299">
        <v>0</v>
      </c>
      <c r="U116" s="299">
        <v>0</v>
      </c>
      <c r="V116" s="299">
        <v>0</v>
      </c>
      <c r="W116" s="299">
        <v>-293.75</v>
      </c>
      <c r="X116" s="299">
        <v>90648</v>
      </c>
      <c r="Y116" s="299">
        <v>3083617.4899999998</v>
      </c>
      <c r="Z116" s="299">
        <v>1655758.06</v>
      </c>
      <c r="AA116" s="299">
        <v>26522.13</v>
      </c>
      <c r="AB116" s="299">
        <v>655447.86</v>
      </c>
      <c r="AC116" s="299">
        <v>95108.62</v>
      </c>
      <c r="AD116" s="299">
        <v>144693.5</v>
      </c>
      <c r="AE116" s="299">
        <v>0</v>
      </c>
      <c r="AF116" s="299">
        <v>103678.99</v>
      </c>
      <c r="AG116" s="299">
        <v>12950.6</v>
      </c>
      <c r="AH116" s="299">
        <v>7502.68</v>
      </c>
      <c r="AI116" s="299">
        <v>12525</v>
      </c>
      <c r="AJ116" s="299">
        <v>372.5</v>
      </c>
      <c r="AK116" s="299">
        <v>38283.19</v>
      </c>
      <c r="AL116" s="299">
        <v>5747.5</v>
      </c>
      <c r="AM116" s="299">
        <v>6801.75</v>
      </c>
      <c r="AN116" s="299">
        <v>11996.29</v>
      </c>
      <c r="AO116" s="299">
        <v>99980.95</v>
      </c>
      <c r="AP116" s="299">
        <v>36036</v>
      </c>
      <c r="AQ116" s="299">
        <v>13792.4</v>
      </c>
      <c r="AR116" s="299">
        <v>154384.57999999999</v>
      </c>
      <c r="AS116" s="299">
        <v>20494.560000000001</v>
      </c>
      <c r="AT116" s="299">
        <v>0</v>
      </c>
      <c r="AU116" s="299">
        <v>7831.22</v>
      </c>
      <c r="AV116" s="299">
        <v>10201.969999999999</v>
      </c>
      <c r="AW116" s="299">
        <v>1847.05</v>
      </c>
      <c r="AX116" s="299">
        <v>125804.45</v>
      </c>
      <c r="AY116" s="299">
        <v>13830.72</v>
      </c>
      <c r="AZ116" s="299">
        <v>15680</v>
      </c>
      <c r="BA116" s="299">
        <v>24017.33</v>
      </c>
      <c r="BB116" s="299">
        <v>0</v>
      </c>
      <c r="BC116" s="299">
        <v>0</v>
      </c>
      <c r="BD116" s="299">
        <v>0</v>
      </c>
      <c r="BE116" s="299">
        <v>3301289.9000000013</v>
      </c>
      <c r="BF116" s="299">
        <v>-217672.41000000155</v>
      </c>
      <c r="BG116" s="299">
        <v>74433.2</v>
      </c>
      <c r="BH116" s="299">
        <v>-143239.21000000153</v>
      </c>
      <c r="BI116" s="299">
        <v>190592.12</v>
      </c>
      <c r="BJ116" s="299">
        <v>10663.53</v>
      </c>
      <c r="BK116" s="299">
        <v>201255.65</v>
      </c>
      <c r="BL116" s="299">
        <v>198933.38</v>
      </c>
      <c r="BM116" s="299">
        <v>13707.7</v>
      </c>
      <c r="BN116" s="299">
        <v>212641.08000000002</v>
      </c>
      <c r="BO116" s="299">
        <v>-11385.430000000022</v>
      </c>
      <c r="BP116" s="299">
        <v>51276.18</v>
      </c>
      <c r="BQ116" s="299">
        <v>39890.749999999978</v>
      </c>
      <c r="BR116" s="299">
        <v>5737.33</v>
      </c>
      <c r="BS116" s="299">
        <v>-152045.84000000134</v>
      </c>
      <c r="BT116" s="299">
        <v>42960.049999999967</v>
      </c>
      <c r="BU116" s="299">
        <v>-103348.46000000137</v>
      </c>
      <c r="BV116" s="299">
        <v>9810.6299999999992</v>
      </c>
      <c r="BW116" s="299">
        <v>0</v>
      </c>
      <c r="BX116" s="299">
        <v>0</v>
      </c>
      <c r="BY116" s="299">
        <v>9810.6299999999992</v>
      </c>
      <c r="BZ116" s="299">
        <v>0</v>
      </c>
      <c r="CA116" s="299">
        <v>18160.439999999999</v>
      </c>
      <c r="CB116" s="299">
        <v>0</v>
      </c>
      <c r="CC116" s="299">
        <v>2380</v>
      </c>
      <c r="CD116" s="299">
        <v>20540.439999999999</v>
      </c>
      <c r="CE116" s="299">
        <v>-10729.81</v>
      </c>
      <c r="CF116" s="299">
        <v>44003.27</v>
      </c>
      <c r="CG116" s="299">
        <v>33273.46</v>
      </c>
      <c r="CH116" s="299">
        <v>33273.46</v>
      </c>
      <c r="CI116" s="299">
        <v>0</v>
      </c>
      <c r="CJ116" s="299">
        <v>33273.46</v>
      </c>
    </row>
    <row r="117" spans="1:88" ht="13.8">
      <c r="A117" s="252" t="s">
        <v>1377</v>
      </c>
      <c r="B117" s="288">
        <v>2064</v>
      </c>
      <c r="C117" s="288" t="s">
        <v>820</v>
      </c>
      <c r="D117" s="248" t="s">
        <v>708</v>
      </c>
      <c r="E117" s="399" t="str">
        <f t="shared" si="5"/>
        <v>30EP2064</v>
      </c>
      <c r="F117" s="299">
        <v>773566.47</v>
      </c>
      <c r="G117" s="299">
        <v>0</v>
      </c>
      <c r="H117" s="299">
        <v>96990.76</v>
      </c>
      <c r="I117" s="299">
        <v>0</v>
      </c>
      <c r="J117" s="299">
        <v>34614</v>
      </c>
      <c r="K117" s="299">
        <v>1200</v>
      </c>
      <c r="L117" s="299">
        <v>10000</v>
      </c>
      <c r="M117" s="299">
        <v>0</v>
      </c>
      <c r="N117" s="299">
        <v>30242.98</v>
      </c>
      <c r="O117" s="299">
        <v>18.62</v>
      </c>
      <c r="P117" s="299">
        <v>1859.5</v>
      </c>
      <c r="Q117" s="299">
        <v>0</v>
      </c>
      <c r="R117" s="299">
        <v>7045.03</v>
      </c>
      <c r="S117" s="299">
        <v>0</v>
      </c>
      <c r="T117" s="299">
        <v>0</v>
      </c>
      <c r="U117" s="299">
        <v>0</v>
      </c>
      <c r="V117" s="299">
        <v>0</v>
      </c>
      <c r="W117" s="299">
        <v>951.88</v>
      </c>
      <c r="X117" s="299">
        <v>27579</v>
      </c>
      <c r="Y117" s="299">
        <v>984068.24</v>
      </c>
      <c r="Z117" s="299">
        <v>358534.14</v>
      </c>
      <c r="AA117" s="299">
        <v>29167.06</v>
      </c>
      <c r="AB117" s="299">
        <v>320160.59999999998</v>
      </c>
      <c r="AC117" s="299">
        <v>22830.97</v>
      </c>
      <c r="AD117" s="299">
        <v>37181.94</v>
      </c>
      <c r="AE117" s="299">
        <v>0</v>
      </c>
      <c r="AF117" s="299">
        <v>10739.4</v>
      </c>
      <c r="AG117" s="299">
        <v>3337.5</v>
      </c>
      <c r="AH117" s="299">
        <v>8936.73</v>
      </c>
      <c r="AI117" s="299">
        <v>2150</v>
      </c>
      <c r="AJ117" s="299">
        <v>1815</v>
      </c>
      <c r="AK117" s="299">
        <v>6817.31</v>
      </c>
      <c r="AL117" s="299">
        <v>3062.5</v>
      </c>
      <c r="AM117" s="299">
        <v>2976.93</v>
      </c>
      <c r="AN117" s="299">
        <v>951.88</v>
      </c>
      <c r="AO117" s="299">
        <v>24189.360000000001</v>
      </c>
      <c r="AP117" s="299">
        <v>17839.25</v>
      </c>
      <c r="AQ117" s="299">
        <v>1021.7</v>
      </c>
      <c r="AR117" s="299">
        <v>22629.34</v>
      </c>
      <c r="AS117" s="299">
        <v>20259.910000000003</v>
      </c>
      <c r="AT117" s="299">
        <v>0</v>
      </c>
      <c r="AU117" s="299">
        <v>8246.91</v>
      </c>
      <c r="AV117" s="299">
        <v>2385.31</v>
      </c>
      <c r="AW117" s="299">
        <v>430.01</v>
      </c>
      <c r="AX117" s="299">
        <v>26281.45</v>
      </c>
      <c r="AY117" s="299">
        <v>0</v>
      </c>
      <c r="AZ117" s="299">
        <v>1263.9000000000001</v>
      </c>
      <c r="BA117" s="299">
        <v>11489.56</v>
      </c>
      <c r="BB117" s="299">
        <v>0</v>
      </c>
      <c r="BC117" s="299">
        <v>0</v>
      </c>
      <c r="BD117" s="299">
        <v>0</v>
      </c>
      <c r="BE117" s="299">
        <v>944698.66000000015</v>
      </c>
      <c r="BF117" s="299">
        <v>39369.579999999842</v>
      </c>
      <c r="BG117" s="299">
        <v>127469.59</v>
      </c>
      <c r="BH117" s="299">
        <v>166839.16999999984</v>
      </c>
      <c r="BI117" s="299">
        <v>0</v>
      </c>
      <c r="BJ117" s="299">
        <v>0</v>
      </c>
      <c r="BK117" s="299">
        <v>0</v>
      </c>
      <c r="BL117" s="299">
        <v>0</v>
      </c>
      <c r="BM117" s="299">
        <v>0</v>
      </c>
      <c r="BN117" s="299">
        <v>0</v>
      </c>
      <c r="BO117" s="299">
        <v>0</v>
      </c>
      <c r="BP117" s="299">
        <v>0</v>
      </c>
      <c r="BQ117" s="299">
        <v>0</v>
      </c>
      <c r="BR117" s="299">
        <v>29157.760000000002</v>
      </c>
      <c r="BS117" s="299">
        <v>137681.40999999983</v>
      </c>
      <c r="BT117" s="299">
        <v>0</v>
      </c>
      <c r="BU117" s="299">
        <v>166839.16999999984</v>
      </c>
      <c r="BV117" s="299">
        <v>262228.15999999997</v>
      </c>
      <c r="BW117" s="299">
        <v>0</v>
      </c>
      <c r="BX117" s="299">
        <v>0</v>
      </c>
      <c r="BY117" s="299">
        <v>262228.15999999997</v>
      </c>
      <c r="BZ117" s="299">
        <v>0</v>
      </c>
      <c r="CA117" s="299">
        <v>16171.33</v>
      </c>
      <c r="CB117" s="299">
        <v>0</v>
      </c>
      <c r="CC117" s="299">
        <v>0</v>
      </c>
      <c r="CD117" s="299">
        <v>16171.33</v>
      </c>
      <c r="CE117" s="299">
        <v>246056.83</v>
      </c>
      <c r="CF117" s="299">
        <v>24931.69</v>
      </c>
      <c r="CG117" s="299">
        <v>270988.51999999996</v>
      </c>
      <c r="CH117" s="299">
        <v>13831.359999999999</v>
      </c>
      <c r="CI117" s="299">
        <v>257157.16</v>
      </c>
      <c r="CJ117" s="299">
        <v>270988.52</v>
      </c>
    </row>
    <row r="118" spans="1:88" ht="13.8">
      <c r="A118" s="252" t="s">
        <v>1377</v>
      </c>
      <c r="B118" s="290">
        <v>1</v>
      </c>
      <c r="C118" s="290" t="s">
        <v>1381</v>
      </c>
      <c r="D118" s="248" t="s">
        <v>708</v>
      </c>
      <c r="E118" s="399" t="str">
        <f t="shared" si="5"/>
        <v>30EP1</v>
      </c>
      <c r="F118" s="299">
        <v>1382317.94</v>
      </c>
      <c r="G118" s="299">
        <v>0</v>
      </c>
      <c r="H118" s="299">
        <v>80164.75</v>
      </c>
      <c r="I118" s="299">
        <v>0</v>
      </c>
      <c r="J118" s="299">
        <v>170617</v>
      </c>
      <c r="K118" s="299">
        <v>2660.5</v>
      </c>
      <c r="L118" s="299">
        <v>0</v>
      </c>
      <c r="M118" s="299">
        <v>27500</v>
      </c>
      <c r="N118" s="299">
        <v>139080.82</v>
      </c>
      <c r="O118" s="299">
        <v>13719.67</v>
      </c>
      <c r="P118" s="299">
        <v>3630</v>
      </c>
      <c r="Q118" s="299">
        <v>12938.51</v>
      </c>
      <c r="R118" s="299">
        <v>0</v>
      </c>
      <c r="S118" s="299">
        <v>837.25</v>
      </c>
      <c r="T118" s="299">
        <v>0</v>
      </c>
      <c r="U118" s="299">
        <v>0</v>
      </c>
      <c r="V118" s="299">
        <v>0</v>
      </c>
      <c r="W118" s="299">
        <v>-398.75</v>
      </c>
      <c r="X118" s="299">
        <v>40824</v>
      </c>
      <c r="Y118" s="299">
        <v>1873891.69</v>
      </c>
      <c r="Z118" s="299">
        <v>860697.66</v>
      </c>
      <c r="AA118" s="299">
        <v>0</v>
      </c>
      <c r="AB118" s="299">
        <v>340498.68</v>
      </c>
      <c r="AC118" s="299">
        <v>34090.699999999997</v>
      </c>
      <c r="AD118" s="299">
        <v>143989.57</v>
      </c>
      <c r="AE118" s="299">
        <v>0</v>
      </c>
      <c r="AF118" s="299">
        <v>47432.33</v>
      </c>
      <c r="AG118" s="299">
        <v>422.7</v>
      </c>
      <c r="AH118" s="299">
        <v>3423.97</v>
      </c>
      <c r="AI118" s="299">
        <v>6525</v>
      </c>
      <c r="AJ118" s="299">
        <v>2042.5</v>
      </c>
      <c r="AK118" s="299">
        <v>27745.16</v>
      </c>
      <c r="AL118" s="299">
        <v>4299.96</v>
      </c>
      <c r="AM118" s="299">
        <v>34987.660000000003</v>
      </c>
      <c r="AN118" s="299">
        <v>3239.3</v>
      </c>
      <c r="AO118" s="299">
        <v>74725.62</v>
      </c>
      <c r="AP118" s="299">
        <v>11568.89</v>
      </c>
      <c r="AQ118" s="299">
        <v>4583.63</v>
      </c>
      <c r="AR118" s="299">
        <v>33988.22</v>
      </c>
      <c r="AS118" s="299">
        <v>31696.89</v>
      </c>
      <c r="AT118" s="299">
        <v>0</v>
      </c>
      <c r="AU118" s="299">
        <v>8177.38</v>
      </c>
      <c r="AV118" s="299">
        <v>5459.89</v>
      </c>
      <c r="AW118" s="299">
        <v>672.92</v>
      </c>
      <c r="AX118" s="299">
        <v>74834.960000000006</v>
      </c>
      <c r="AY118" s="299">
        <v>47029.88</v>
      </c>
      <c r="AZ118" s="299">
        <v>13965.95</v>
      </c>
      <c r="BA118" s="299">
        <v>12401.81</v>
      </c>
      <c r="BB118" s="299">
        <v>0</v>
      </c>
      <c r="BC118" s="299">
        <v>1380.63</v>
      </c>
      <c r="BD118" s="299">
        <v>4545.42</v>
      </c>
      <c r="BE118" s="299">
        <v>1834427.2799999991</v>
      </c>
      <c r="BF118" s="299">
        <v>39464.410000000848</v>
      </c>
      <c r="BG118" s="299">
        <v>-4160.6400000002704</v>
      </c>
      <c r="BH118" s="299">
        <v>35303.770000000579</v>
      </c>
      <c r="BI118" s="299">
        <v>0</v>
      </c>
      <c r="BJ118" s="299">
        <v>0</v>
      </c>
      <c r="BK118" s="299">
        <v>0</v>
      </c>
      <c r="BL118" s="299">
        <v>0</v>
      </c>
      <c r="BM118" s="299">
        <v>0</v>
      </c>
      <c r="BN118" s="299">
        <v>0</v>
      </c>
      <c r="BO118" s="299">
        <v>0</v>
      </c>
      <c r="BP118" s="299">
        <v>107560.72</v>
      </c>
      <c r="BQ118" s="299">
        <v>107560.72</v>
      </c>
      <c r="BR118" s="299">
        <v>69030</v>
      </c>
      <c r="BS118" s="299">
        <v>-33726.229999999385</v>
      </c>
      <c r="BT118" s="299">
        <v>99920.549999999988</v>
      </c>
      <c r="BU118" s="299">
        <v>135224.32000000059</v>
      </c>
      <c r="BV118" s="299">
        <v>7134.25</v>
      </c>
      <c r="BW118" s="299">
        <v>0</v>
      </c>
      <c r="BX118" s="299">
        <v>0</v>
      </c>
      <c r="BY118" s="299">
        <v>7134.25</v>
      </c>
      <c r="BZ118" s="299">
        <v>0</v>
      </c>
      <c r="CA118" s="299">
        <v>19369.25</v>
      </c>
      <c r="CB118" s="299">
        <v>0</v>
      </c>
      <c r="CC118" s="299">
        <v>0</v>
      </c>
      <c r="CD118" s="299">
        <v>19369.25</v>
      </c>
      <c r="CE118" s="299">
        <v>-12235</v>
      </c>
      <c r="CF118" s="299">
        <v>18702.009999999998</v>
      </c>
      <c r="CG118" s="299">
        <v>6467.0099999999984</v>
      </c>
      <c r="CH118" s="299">
        <v>6467.0099999999984</v>
      </c>
      <c r="CI118" s="299">
        <v>0</v>
      </c>
      <c r="CJ118" s="299">
        <v>6467.0099999999984</v>
      </c>
    </row>
    <row r="119" spans="1:88" ht="13.8">
      <c r="A119" s="252"/>
      <c r="B119" s="290">
        <v>2000</v>
      </c>
      <c r="C119" s="290" t="s">
        <v>821</v>
      </c>
      <c r="D119" s="248"/>
      <c r="E119" s="399"/>
      <c r="F119" s="299">
        <f>F118+F40</f>
        <v>3498681.28</v>
      </c>
      <c r="G119" s="299">
        <f t="shared" ref="G119:BR119" si="6">G118+G40</f>
        <v>0</v>
      </c>
      <c r="H119" s="299">
        <f t="shared" si="6"/>
        <v>160259.78</v>
      </c>
      <c r="I119" s="299">
        <f t="shared" si="6"/>
        <v>0</v>
      </c>
      <c r="J119" s="299">
        <f t="shared" si="6"/>
        <v>337467</v>
      </c>
      <c r="K119" s="299">
        <f t="shared" si="6"/>
        <v>10518.93</v>
      </c>
      <c r="L119" s="299">
        <f t="shared" si="6"/>
        <v>0</v>
      </c>
      <c r="M119" s="299">
        <f t="shared" si="6"/>
        <v>69629.25</v>
      </c>
      <c r="N119" s="299">
        <f t="shared" si="6"/>
        <v>318600.98</v>
      </c>
      <c r="O119" s="299">
        <f t="shared" si="6"/>
        <v>42267.24</v>
      </c>
      <c r="P119" s="299">
        <f t="shared" si="6"/>
        <v>7448</v>
      </c>
      <c r="Q119" s="299">
        <f t="shared" si="6"/>
        <v>18196.190000000002</v>
      </c>
      <c r="R119" s="299">
        <f t="shared" si="6"/>
        <v>42470.97</v>
      </c>
      <c r="S119" s="299">
        <f t="shared" si="6"/>
        <v>10108.56</v>
      </c>
      <c r="T119" s="299">
        <f t="shared" si="6"/>
        <v>0</v>
      </c>
      <c r="U119" s="299">
        <f t="shared" si="6"/>
        <v>0</v>
      </c>
      <c r="V119" s="299">
        <f t="shared" si="6"/>
        <v>0</v>
      </c>
      <c r="W119" s="299">
        <f t="shared" si="6"/>
        <v>-433.75</v>
      </c>
      <c r="X119" s="299">
        <f t="shared" si="6"/>
        <v>113827</v>
      </c>
      <c r="Y119" s="299">
        <f t="shared" si="6"/>
        <v>4629041.43</v>
      </c>
      <c r="Z119" s="299">
        <f t="shared" si="6"/>
        <v>2013925.13</v>
      </c>
      <c r="AA119" s="299">
        <f t="shared" si="6"/>
        <v>0</v>
      </c>
      <c r="AB119" s="299">
        <f t="shared" si="6"/>
        <v>785687.33000000007</v>
      </c>
      <c r="AC119" s="299">
        <f t="shared" si="6"/>
        <v>123981.68</v>
      </c>
      <c r="AD119" s="299">
        <f t="shared" si="6"/>
        <v>273813.66000000003</v>
      </c>
      <c r="AE119" s="299">
        <f t="shared" si="6"/>
        <v>0</v>
      </c>
      <c r="AF119" s="299">
        <f t="shared" si="6"/>
        <v>125969.59</v>
      </c>
      <c r="AG119" s="299">
        <f t="shared" si="6"/>
        <v>1520.64</v>
      </c>
      <c r="AH119" s="299">
        <f t="shared" si="6"/>
        <v>11770.67</v>
      </c>
      <c r="AI119" s="299">
        <f t="shared" si="6"/>
        <v>16625</v>
      </c>
      <c r="AJ119" s="299">
        <f t="shared" si="6"/>
        <v>5172.5</v>
      </c>
      <c r="AK119" s="299">
        <f t="shared" si="6"/>
        <v>57406.29</v>
      </c>
      <c r="AL119" s="299">
        <f t="shared" si="6"/>
        <v>16309.96</v>
      </c>
      <c r="AM119" s="299">
        <f t="shared" si="6"/>
        <v>66258.78</v>
      </c>
      <c r="AN119" s="299">
        <f t="shared" si="6"/>
        <v>13242.34</v>
      </c>
      <c r="AO119" s="299">
        <f t="shared" si="6"/>
        <v>175016.19</v>
      </c>
      <c r="AP119" s="299">
        <f t="shared" si="6"/>
        <v>24563.69</v>
      </c>
      <c r="AQ119" s="299">
        <f t="shared" si="6"/>
        <v>19883.099999999999</v>
      </c>
      <c r="AR119" s="299">
        <f t="shared" si="6"/>
        <v>105173.55</v>
      </c>
      <c r="AS119" s="299">
        <f t="shared" si="6"/>
        <v>68964.28</v>
      </c>
      <c r="AT119" s="299">
        <f t="shared" si="6"/>
        <v>0</v>
      </c>
      <c r="AU119" s="299">
        <f t="shared" si="6"/>
        <v>22219.77</v>
      </c>
      <c r="AV119" s="299">
        <f t="shared" si="6"/>
        <v>13667.46</v>
      </c>
      <c r="AW119" s="299">
        <f t="shared" si="6"/>
        <v>3336.56</v>
      </c>
      <c r="AX119" s="299">
        <f t="shared" si="6"/>
        <v>200541.55</v>
      </c>
      <c r="AY119" s="299">
        <f t="shared" si="6"/>
        <v>160007.84</v>
      </c>
      <c r="AZ119" s="299">
        <f t="shared" si="6"/>
        <v>198090.99000000002</v>
      </c>
      <c r="BA119" s="299">
        <f t="shared" si="6"/>
        <v>46073.369999999995</v>
      </c>
      <c r="BB119" s="299">
        <f t="shared" si="6"/>
        <v>0</v>
      </c>
      <c r="BC119" s="299">
        <f t="shared" si="6"/>
        <v>3619.54</v>
      </c>
      <c r="BD119" s="299">
        <f t="shared" si="6"/>
        <v>11916.41</v>
      </c>
      <c r="BE119" s="299">
        <f t="shared" si="6"/>
        <v>4564757.87</v>
      </c>
      <c r="BF119" s="299">
        <f t="shared" si="6"/>
        <v>64283.560000000289</v>
      </c>
      <c r="BG119" s="299">
        <f t="shared" si="6"/>
        <v>173015.92999999973</v>
      </c>
      <c r="BH119" s="299">
        <f t="shared" si="6"/>
        <v>237299.49000000002</v>
      </c>
      <c r="BI119" s="299">
        <f t="shared" si="6"/>
        <v>0</v>
      </c>
      <c r="BJ119" s="299">
        <f t="shared" si="6"/>
        <v>123340.52</v>
      </c>
      <c r="BK119" s="299">
        <f t="shared" si="6"/>
        <v>123340.52</v>
      </c>
      <c r="BL119" s="299">
        <f t="shared" si="6"/>
        <v>53135.94</v>
      </c>
      <c r="BM119" s="299">
        <f t="shared" si="6"/>
        <v>77844.75</v>
      </c>
      <c r="BN119" s="299">
        <f t="shared" si="6"/>
        <v>130980.69</v>
      </c>
      <c r="BO119" s="299">
        <f t="shared" si="6"/>
        <v>-7640.1699999999983</v>
      </c>
      <c r="BP119" s="299">
        <f t="shared" si="6"/>
        <v>107560.72</v>
      </c>
      <c r="BQ119" s="299">
        <f t="shared" si="6"/>
        <v>99920.55</v>
      </c>
      <c r="BR119" s="299">
        <f t="shared" si="6"/>
        <v>128417</v>
      </c>
      <c r="BS119" s="299">
        <f t="shared" ref="BS119:CJ119" si="7">BS118+BS40</f>
        <v>108882.49000000006</v>
      </c>
      <c r="BT119" s="299">
        <f t="shared" si="7"/>
        <v>99920.549999999988</v>
      </c>
      <c r="BU119" s="299">
        <f t="shared" si="7"/>
        <v>337220.04000000004</v>
      </c>
      <c r="BV119" s="299">
        <f t="shared" si="7"/>
        <v>15508.25</v>
      </c>
      <c r="BW119" s="299">
        <f t="shared" si="7"/>
        <v>0</v>
      </c>
      <c r="BX119" s="299">
        <f t="shared" si="7"/>
        <v>0</v>
      </c>
      <c r="BY119" s="299">
        <f t="shared" si="7"/>
        <v>15508.25</v>
      </c>
      <c r="BZ119" s="299">
        <f t="shared" si="7"/>
        <v>0</v>
      </c>
      <c r="CA119" s="299">
        <f t="shared" si="7"/>
        <v>27244.25</v>
      </c>
      <c r="CB119" s="299">
        <f t="shared" si="7"/>
        <v>0</v>
      </c>
      <c r="CC119" s="299">
        <f t="shared" si="7"/>
        <v>2382</v>
      </c>
      <c r="CD119" s="299">
        <f t="shared" si="7"/>
        <v>29626.25</v>
      </c>
      <c r="CE119" s="299">
        <f t="shared" si="7"/>
        <v>-14118</v>
      </c>
      <c r="CF119" s="299">
        <f t="shared" si="7"/>
        <v>21128.68</v>
      </c>
      <c r="CG119" s="299">
        <f t="shared" si="7"/>
        <v>7010.6799999999985</v>
      </c>
      <c r="CH119" s="299">
        <f t="shared" si="7"/>
        <v>7010.6799999999985</v>
      </c>
      <c r="CI119" s="299">
        <f t="shared" si="7"/>
        <v>0</v>
      </c>
      <c r="CJ119" s="299">
        <f t="shared" si="7"/>
        <v>7010.6799999999985</v>
      </c>
    </row>
    <row r="120" spans="1:88" ht="13.8">
      <c r="A120" s="252" t="s">
        <v>1377</v>
      </c>
      <c r="B120" s="288">
        <v>2048</v>
      </c>
      <c r="C120" s="288" t="s">
        <v>822</v>
      </c>
      <c r="D120" s="248" t="s">
        <v>708</v>
      </c>
      <c r="E120" s="399" t="str">
        <f t="shared" si="5"/>
        <v>30EP2048</v>
      </c>
      <c r="F120" s="299">
        <v>2683522.67</v>
      </c>
      <c r="G120" s="299">
        <v>0</v>
      </c>
      <c r="H120" s="299">
        <v>101236.85</v>
      </c>
      <c r="I120" s="299">
        <v>0</v>
      </c>
      <c r="J120" s="299">
        <v>154715</v>
      </c>
      <c r="K120" s="299">
        <v>1737.93</v>
      </c>
      <c r="L120" s="299">
        <v>0</v>
      </c>
      <c r="M120" s="299">
        <v>35356.730000000003</v>
      </c>
      <c r="N120" s="299">
        <v>21106.799999999999</v>
      </c>
      <c r="O120" s="299">
        <v>43704.83</v>
      </c>
      <c r="P120" s="299">
        <v>13040</v>
      </c>
      <c r="Q120" s="299">
        <v>2473.94</v>
      </c>
      <c r="R120" s="299">
        <v>66912</v>
      </c>
      <c r="S120" s="299">
        <v>8082</v>
      </c>
      <c r="T120" s="299">
        <v>0</v>
      </c>
      <c r="U120" s="299">
        <v>0</v>
      </c>
      <c r="V120" s="299">
        <v>0</v>
      </c>
      <c r="W120" s="299">
        <v>435.63</v>
      </c>
      <c r="X120" s="299">
        <v>112892</v>
      </c>
      <c r="Y120" s="299">
        <v>3245216.38</v>
      </c>
      <c r="Z120" s="299">
        <v>1407619.9</v>
      </c>
      <c r="AA120" s="299">
        <v>43244.98</v>
      </c>
      <c r="AB120" s="299">
        <v>579590.18000000005</v>
      </c>
      <c r="AC120" s="299">
        <v>79752.5</v>
      </c>
      <c r="AD120" s="299">
        <v>148302.21</v>
      </c>
      <c r="AE120" s="299">
        <v>0</v>
      </c>
      <c r="AF120" s="299">
        <v>69185.53</v>
      </c>
      <c r="AG120" s="299">
        <v>10582.24</v>
      </c>
      <c r="AH120" s="299">
        <v>7325.7</v>
      </c>
      <c r="AI120" s="299">
        <v>12925</v>
      </c>
      <c r="AJ120" s="299">
        <v>1224.3800000000001</v>
      </c>
      <c r="AK120" s="299">
        <v>19511.66</v>
      </c>
      <c r="AL120" s="299">
        <v>11090.3</v>
      </c>
      <c r="AM120" s="299">
        <v>61255.55</v>
      </c>
      <c r="AN120" s="299">
        <v>7897.94</v>
      </c>
      <c r="AO120" s="299">
        <v>58846.41</v>
      </c>
      <c r="AP120" s="299">
        <v>103740</v>
      </c>
      <c r="AQ120" s="299">
        <v>13950.94</v>
      </c>
      <c r="AR120" s="299">
        <v>132942.17000000001</v>
      </c>
      <c r="AS120" s="299">
        <v>63528.7</v>
      </c>
      <c r="AT120" s="299">
        <v>0</v>
      </c>
      <c r="AU120" s="299">
        <v>17364.509999999998</v>
      </c>
      <c r="AV120" s="299">
        <v>10938.73</v>
      </c>
      <c r="AW120" s="299">
        <v>2341.08</v>
      </c>
      <c r="AX120" s="299">
        <v>151901.23000000001</v>
      </c>
      <c r="AY120" s="299">
        <v>136108.07</v>
      </c>
      <c r="AZ120" s="299">
        <v>41208.129999999997</v>
      </c>
      <c r="BA120" s="299">
        <v>23253.360000000001</v>
      </c>
      <c r="BB120" s="299">
        <v>0</v>
      </c>
      <c r="BC120" s="299">
        <v>0</v>
      </c>
      <c r="BD120" s="299">
        <v>0</v>
      </c>
      <c r="BE120" s="299">
        <v>3215631.3999999994</v>
      </c>
      <c r="BF120" s="299">
        <v>29584.980000000447</v>
      </c>
      <c r="BG120" s="299">
        <v>19740.55</v>
      </c>
      <c r="BH120" s="299">
        <v>49325.53000000045</v>
      </c>
      <c r="BI120" s="299">
        <v>0</v>
      </c>
      <c r="BJ120" s="299">
        <v>0</v>
      </c>
      <c r="BK120" s="299">
        <v>0</v>
      </c>
      <c r="BL120" s="299">
        <v>0</v>
      </c>
      <c r="BM120" s="299">
        <v>0</v>
      </c>
      <c r="BN120" s="299">
        <v>0</v>
      </c>
      <c r="BO120" s="299">
        <v>0</v>
      </c>
      <c r="BP120" s="299">
        <v>0</v>
      </c>
      <c r="BQ120" s="299">
        <v>0</v>
      </c>
      <c r="BR120" s="299">
        <v>4394.26</v>
      </c>
      <c r="BS120" s="299">
        <v>44931.270000000914</v>
      </c>
      <c r="BT120" s="299">
        <v>0</v>
      </c>
      <c r="BU120" s="299">
        <v>49325.530000000916</v>
      </c>
      <c r="BV120" s="299">
        <v>9512.5</v>
      </c>
      <c r="BW120" s="299">
        <v>0</v>
      </c>
      <c r="BX120" s="299">
        <v>0</v>
      </c>
      <c r="BY120" s="299">
        <v>9512.5</v>
      </c>
      <c r="BZ120" s="299">
        <v>0</v>
      </c>
      <c r="CA120" s="299">
        <v>9179.74</v>
      </c>
      <c r="CB120" s="299">
        <v>0</v>
      </c>
      <c r="CC120" s="299">
        <v>0</v>
      </c>
      <c r="CD120" s="299">
        <v>9179.74</v>
      </c>
      <c r="CE120" s="299">
        <v>332.76000000000022</v>
      </c>
      <c r="CF120" s="299">
        <v>1271.78</v>
      </c>
      <c r="CG120" s="299">
        <v>1604.5400000000002</v>
      </c>
      <c r="CH120" s="299">
        <v>1604.5400000000002</v>
      </c>
      <c r="CI120" s="299">
        <v>0</v>
      </c>
      <c r="CJ120" s="299">
        <v>1604.5400000000002</v>
      </c>
    </row>
    <row r="121" spans="1:88" ht="13.8">
      <c r="A121" s="252" t="s">
        <v>1377</v>
      </c>
      <c r="B121" s="288">
        <v>2232</v>
      </c>
      <c r="C121" s="288" t="s">
        <v>823</v>
      </c>
      <c r="D121" s="248" t="s">
        <v>708</v>
      </c>
      <c r="E121" s="399" t="str">
        <f t="shared" si="5"/>
        <v>30EP2232</v>
      </c>
      <c r="F121" s="299">
        <v>1273556.3999999999</v>
      </c>
      <c r="G121" s="299">
        <v>0</v>
      </c>
      <c r="H121" s="299">
        <v>97938.91</v>
      </c>
      <c r="I121" s="299">
        <v>0</v>
      </c>
      <c r="J121" s="299">
        <v>79137</v>
      </c>
      <c r="K121" s="299">
        <v>330</v>
      </c>
      <c r="L121" s="299">
        <v>0</v>
      </c>
      <c r="M121" s="299">
        <v>24532.25</v>
      </c>
      <c r="N121" s="299">
        <v>24158.12</v>
      </c>
      <c r="O121" s="299">
        <v>51694.51</v>
      </c>
      <c r="P121" s="299">
        <v>3450</v>
      </c>
      <c r="Q121" s="299">
        <v>153.4</v>
      </c>
      <c r="R121" s="299">
        <v>46887</v>
      </c>
      <c r="S121" s="299">
        <v>1278.5</v>
      </c>
      <c r="T121" s="299">
        <v>0</v>
      </c>
      <c r="U121" s="299">
        <v>0</v>
      </c>
      <c r="V121" s="299">
        <v>0</v>
      </c>
      <c r="W121" s="299">
        <v>-441.25</v>
      </c>
      <c r="X121" s="299">
        <v>18611</v>
      </c>
      <c r="Y121" s="299">
        <v>1621285.8399999999</v>
      </c>
      <c r="Z121" s="299">
        <v>878905.14</v>
      </c>
      <c r="AA121" s="299">
        <v>11902.45</v>
      </c>
      <c r="AB121" s="299">
        <v>296242.02</v>
      </c>
      <c r="AC121" s="299">
        <v>42101.56</v>
      </c>
      <c r="AD121" s="299">
        <v>63504.98</v>
      </c>
      <c r="AE121" s="299">
        <v>52625.279999999999</v>
      </c>
      <c r="AF121" s="299">
        <v>39354.15</v>
      </c>
      <c r="AG121" s="299">
        <v>7194.47</v>
      </c>
      <c r="AH121" s="299">
        <v>6387.33</v>
      </c>
      <c r="AI121" s="299">
        <v>6200</v>
      </c>
      <c r="AJ121" s="299">
        <v>2155</v>
      </c>
      <c r="AK121" s="299">
        <v>3196.37</v>
      </c>
      <c r="AL121" s="299">
        <v>4164.67</v>
      </c>
      <c r="AM121" s="299">
        <v>1331.61</v>
      </c>
      <c r="AN121" s="299">
        <v>2483</v>
      </c>
      <c r="AO121" s="299">
        <v>27963.5</v>
      </c>
      <c r="AP121" s="299">
        <v>23078.75</v>
      </c>
      <c r="AQ121" s="299">
        <v>7316.64</v>
      </c>
      <c r="AR121" s="299">
        <v>73996.19</v>
      </c>
      <c r="AS121" s="299">
        <v>24197.42</v>
      </c>
      <c r="AT121" s="299">
        <v>0</v>
      </c>
      <c r="AU121" s="299">
        <v>8889.2999999999993</v>
      </c>
      <c r="AV121" s="299">
        <v>5049.07</v>
      </c>
      <c r="AW121" s="299">
        <v>0</v>
      </c>
      <c r="AX121" s="299">
        <v>31077.02</v>
      </c>
      <c r="AY121" s="299">
        <v>0</v>
      </c>
      <c r="AZ121" s="299">
        <v>0</v>
      </c>
      <c r="BA121" s="299">
        <v>10377.19</v>
      </c>
      <c r="BB121" s="299">
        <v>0</v>
      </c>
      <c r="BC121" s="299">
        <v>719.46</v>
      </c>
      <c r="BD121" s="299">
        <v>5470.8</v>
      </c>
      <c r="BE121" s="299">
        <v>1635883.3699999999</v>
      </c>
      <c r="BF121" s="299">
        <v>-14597.530000000028</v>
      </c>
      <c r="BG121" s="299">
        <v>1802.27</v>
      </c>
      <c r="BH121" s="299">
        <v>-12795.260000000028</v>
      </c>
      <c r="BI121" s="299">
        <v>0</v>
      </c>
      <c r="BJ121" s="299">
        <v>0</v>
      </c>
      <c r="BK121" s="299">
        <v>0</v>
      </c>
      <c r="BL121" s="299">
        <v>0</v>
      </c>
      <c r="BM121" s="299">
        <v>0</v>
      </c>
      <c r="BN121" s="299">
        <v>0</v>
      </c>
      <c r="BO121" s="299">
        <v>0</v>
      </c>
      <c r="BP121" s="299">
        <v>0</v>
      </c>
      <c r="BQ121" s="299">
        <v>0</v>
      </c>
      <c r="BR121" s="299">
        <v>7621.32</v>
      </c>
      <c r="BS121" s="299">
        <v>-20416.58000000026</v>
      </c>
      <c r="BT121" s="299">
        <v>0</v>
      </c>
      <c r="BU121" s="299">
        <v>-12795.26000000026</v>
      </c>
      <c r="BV121" s="299">
        <v>7048.75</v>
      </c>
      <c r="BW121" s="299">
        <v>0</v>
      </c>
      <c r="BX121" s="299">
        <v>0</v>
      </c>
      <c r="BY121" s="299">
        <v>7048.75</v>
      </c>
      <c r="BZ121" s="299">
        <v>0</v>
      </c>
      <c r="CA121" s="299">
        <v>314.97000000000003</v>
      </c>
      <c r="CB121" s="299">
        <v>0</v>
      </c>
      <c r="CC121" s="299">
        <v>11632.2</v>
      </c>
      <c r="CD121" s="299">
        <v>11947.17</v>
      </c>
      <c r="CE121" s="299">
        <v>-4898.42</v>
      </c>
      <c r="CF121" s="299">
        <v>21672.799999999999</v>
      </c>
      <c r="CG121" s="299">
        <v>16774.379999999997</v>
      </c>
      <c r="CH121" s="299">
        <v>2562.9499999999989</v>
      </c>
      <c r="CI121" s="299">
        <v>14211.43</v>
      </c>
      <c r="CJ121" s="299">
        <v>16774.379999999997</v>
      </c>
    </row>
    <row r="122" spans="1:88" ht="13.8">
      <c r="A122" s="252" t="s">
        <v>1377</v>
      </c>
      <c r="B122" s="290">
        <v>3392</v>
      </c>
      <c r="C122" s="290" t="s">
        <v>824</v>
      </c>
      <c r="D122" s="248" t="s">
        <v>708</v>
      </c>
      <c r="E122" s="399" t="str">
        <f t="shared" si="5"/>
        <v>30EP3392</v>
      </c>
      <c r="F122" s="299">
        <v>1496751.92</v>
      </c>
      <c r="G122" s="299">
        <v>0</v>
      </c>
      <c r="H122" s="299">
        <v>34382.839999999997</v>
      </c>
      <c r="I122" s="299">
        <v>0</v>
      </c>
      <c r="J122" s="299">
        <v>76960</v>
      </c>
      <c r="K122" s="299">
        <v>1021.93</v>
      </c>
      <c r="L122" s="299">
        <v>0</v>
      </c>
      <c r="M122" s="299">
        <v>26028</v>
      </c>
      <c r="N122" s="299">
        <v>97627.7</v>
      </c>
      <c r="O122" s="299">
        <v>40634.68</v>
      </c>
      <c r="P122" s="299">
        <v>0</v>
      </c>
      <c r="Q122" s="299">
        <v>0</v>
      </c>
      <c r="R122" s="299">
        <v>28549.33</v>
      </c>
      <c r="S122" s="299">
        <v>32648.44</v>
      </c>
      <c r="T122" s="299">
        <v>0</v>
      </c>
      <c r="U122" s="299">
        <v>0</v>
      </c>
      <c r="V122" s="299">
        <v>0</v>
      </c>
      <c r="W122" s="299">
        <v>3741.25</v>
      </c>
      <c r="X122" s="299">
        <v>56087</v>
      </c>
      <c r="Y122" s="299">
        <v>1894433.0899999999</v>
      </c>
      <c r="Z122" s="299">
        <v>920772.17</v>
      </c>
      <c r="AA122" s="299">
        <v>10263.4</v>
      </c>
      <c r="AB122" s="299">
        <v>374676.65</v>
      </c>
      <c r="AC122" s="299">
        <v>79831.38</v>
      </c>
      <c r="AD122" s="299">
        <v>88902.38</v>
      </c>
      <c r="AE122" s="299">
        <v>60894.38</v>
      </c>
      <c r="AF122" s="299">
        <v>86293.16</v>
      </c>
      <c r="AG122" s="299">
        <v>416.2</v>
      </c>
      <c r="AH122" s="299">
        <v>8649.1200000000008</v>
      </c>
      <c r="AI122" s="299">
        <v>7525</v>
      </c>
      <c r="AJ122" s="299">
        <v>0</v>
      </c>
      <c r="AK122" s="299">
        <v>18237.580000000002</v>
      </c>
      <c r="AL122" s="299">
        <v>8957</v>
      </c>
      <c r="AM122" s="299">
        <v>7133.61</v>
      </c>
      <c r="AN122" s="299">
        <v>6453.87</v>
      </c>
      <c r="AO122" s="299">
        <v>50445.21</v>
      </c>
      <c r="AP122" s="299">
        <v>7480.2</v>
      </c>
      <c r="AQ122" s="299">
        <v>33680.25</v>
      </c>
      <c r="AR122" s="299">
        <v>115008.52</v>
      </c>
      <c r="AS122" s="299">
        <v>20542.260000000002</v>
      </c>
      <c r="AT122" s="299">
        <v>0</v>
      </c>
      <c r="AU122" s="299">
        <v>12991.53</v>
      </c>
      <c r="AV122" s="299">
        <v>6113.1</v>
      </c>
      <c r="AW122" s="299">
        <v>894.2</v>
      </c>
      <c r="AX122" s="299">
        <v>36452.370000000003</v>
      </c>
      <c r="AY122" s="299">
        <v>9267.18</v>
      </c>
      <c r="AZ122" s="299">
        <v>0</v>
      </c>
      <c r="BA122" s="299">
        <v>15965.87</v>
      </c>
      <c r="BB122" s="299">
        <v>0</v>
      </c>
      <c r="BC122" s="299">
        <v>0</v>
      </c>
      <c r="BD122" s="299">
        <v>0</v>
      </c>
      <c r="BE122" s="299">
        <v>1987846.5900000003</v>
      </c>
      <c r="BF122" s="299">
        <v>-93413.500000000466</v>
      </c>
      <c r="BG122" s="299">
        <v>-3406.5399999999972</v>
      </c>
      <c r="BH122" s="299">
        <v>-96820.040000000459</v>
      </c>
      <c r="BI122" s="299">
        <v>110248.33</v>
      </c>
      <c r="BJ122" s="299">
        <v>7519.3</v>
      </c>
      <c r="BK122" s="299">
        <v>117767.63</v>
      </c>
      <c r="BL122" s="299">
        <v>96271.58</v>
      </c>
      <c r="BM122" s="299">
        <v>5342.53</v>
      </c>
      <c r="BN122" s="299">
        <v>101614.11</v>
      </c>
      <c r="BO122" s="299">
        <v>16153.520000000004</v>
      </c>
      <c r="BP122" s="299">
        <v>4481.9399999999996</v>
      </c>
      <c r="BQ122" s="299">
        <v>20635.460000000003</v>
      </c>
      <c r="BR122" s="299">
        <v>12204.49</v>
      </c>
      <c r="BS122" s="299">
        <v>-111871.7000000007</v>
      </c>
      <c r="BT122" s="299">
        <v>23482.630000000005</v>
      </c>
      <c r="BU122" s="299">
        <v>-76184.580000000686</v>
      </c>
      <c r="BV122" s="299">
        <v>7701.25</v>
      </c>
      <c r="BW122" s="299">
        <v>0</v>
      </c>
      <c r="BX122" s="299">
        <v>0</v>
      </c>
      <c r="BY122" s="299">
        <v>7701.25</v>
      </c>
      <c r="BZ122" s="299">
        <v>0</v>
      </c>
      <c r="CA122" s="299">
        <v>33883.64</v>
      </c>
      <c r="CB122" s="299">
        <v>0</v>
      </c>
      <c r="CC122" s="299">
        <v>1350.49</v>
      </c>
      <c r="CD122" s="299">
        <v>35234.129999999997</v>
      </c>
      <c r="CE122" s="299">
        <v>-27532.879999999997</v>
      </c>
      <c r="CF122" s="299">
        <v>43635.28</v>
      </c>
      <c r="CG122" s="299">
        <v>16102.400000000001</v>
      </c>
      <c r="CH122" s="299">
        <v>16102.400000000001</v>
      </c>
      <c r="CI122" s="299">
        <v>0</v>
      </c>
      <c r="CJ122" s="299">
        <v>16102.400000000001</v>
      </c>
    </row>
    <row r="123" spans="1:88" ht="13.8">
      <c r="A123" s="252" t="s">
        <v>1377</v>
      </c>
      <c r="B123" s="288">
        <v>3054</v>
      </c>
      <c r="C123" s="288" t="s">
        <v>825</v>
      </c>
      <c r="D123" s="248" t="s">
        <v>708</v>
      </c>
      <c r="E123" s="399" t="str">
        <f t="shared" si="5"/>
        <v>30EP3054</v>
      </c>
      <c r="F123" s="299">
        <v>694512.68</v>
      </c>
      <c r="G123" s="299">
        <v>0</v>
      </c>
      <c r="H123" s="299">
        <v>48362.6</v>
      </c>
      <c r="I123" s="299">
        <v>0</v>
      </c>
      <c r="J123" s="299">
        <v>35130</v>
      </c>
      <c r="K123" s="299">
        <v>3993.22</v>
      </c>
      <c r="L123" s="299">
        <v>18469.91</v>
      </c>
      <c r="M123" s="299">
        <v>2200</v>
      </c>
      <c r="N123" s="299">
        <v>18498.98</v>
      </c>
      <c r="O123" s="299">
        <v>11691.91</v>
      </c>
      <c r="P123" s="299">
        <v>0</v>
      </c>
      <c r="Q123" s="299">
        <v>570.96</v>
      </c>
      <c r="R123" s="299">
        <v>8641.2999999999993</v>
      </c>
      <c r="S123" s="299">
        <v>0</v>
      </c>
      <c r="T123" s="299">
        <v>0</v>
      </c>
      <c r="U123" s="299">
        <v>0</v>
      </c>
      <c r="V123" s="299">
        <v>0</v>
      </c>
      <c r="W123" s="299">
        <v>85.63</v>
      </c>
      <c r="X123" s="299">
        <v>27348</v>
      </c>
      <c r="Y123" s="299">
        <v>869505.19000000006</v>
      </c>
      <c r="Z123" s="299">
        <v>416318.64</v>
      </c>
      <c r="AA123" s="299">
        <v>8879.02</v>
      </c>
      <c r="AB123" s="299">
        <v>189192.27</v>
      </c>
      <c r="AC123" s="299">
        <v>23129.72</v>
      </c>
      <c r="AD123" s="299">
        <v>40367.279999999999</v>
      </c>
      <c r="AE123" s="299">
        <v>26293.03</v>
      </c>
      <c r="AF123" s="299">
        <v>7863.11</v>
      </c>
      <c r="AG123" s="299">
        <v>6646.15</v>
      </c>
      <c r="AH123" s="299">
        <v>4720.3</v>
      </c>
      <c r="AI123" s="299">
        <v>2750</v>
      </c>
      <c r="AJ123" s="299">
        <v>856.25</v>
      </c>
      <c r="AK123" s="299">
        <v>7075.44</v>
      </c>
      <c r="AL123" s="299">
        <v>3000</v>
      </c>
      <c r="AM123" s="299">
        <v>2362.1999999999998</v>
      </c>
      <c r="AN123" s="299">
        <v>3999.17</v>
      </c>
      <c r="AO123" s="299">
        <v>16534.73</v>
      </c>
      <c r="AP123" s="299">
        <v>12849.25</v>
      </c>
      <c r="AQ123" s="299">
        <v>6608.84</v>
      </c>
      <c r="AR123" s="299">
        <v>31275.74</v>
      </c>
      <c r="AS123" s="299">
        <v>17416.32</v>
      </c>
      <c r="AT123" s="299">
        <v>0</v>
      </c>
      <c r="AU123" s="299">
        <v>4245.5200000000004</v>
      </c>
      <c r="AV123" s="299">
        <v>2400.37</v>
      </c>
      <c r="AW123" s="299">
        <v>475.5</v>
      </c>
      <c r="AX123" s="299">
        <v>16244.39</v>
      </c>
      <c r="AY123" s="299">
        <v>6009.29</v>
      </c>
      <c r="AZ123" s="299">
        <v>0</v>
      </c>
      <c r="BA123" s="299">
        <v>12383.81</v>
      </c>
      <c r="BB123" s="299">
        <v>0</v>
      </c>
      <c r="BC123" s="299">
        <v>0</v>
      </c>
      <c r="BD123" s="299">
        <v>0</v>
      </c>
      <c r="BE123" s="299">
        <v>869896.34000000008</v>
      </c>
      <c r="BF123" s="299">
        <v>-391.15000000002328</v>
      </c>
      <c r="BG123" s="299">
        <v>24085.13</v>
      </c>
      <c r="BH123" s="299">
        <v>23693.979999999978</v>
      </c>
      <c r="BI123" s="299">
        <v>0</v>
      </c>
      <c r="BJ123" s="299">
        <v>0</v>
      </c>
      <c r="BK123" s="299">
        <v>0</v>
      </c>
      <c r="BL123" s="299">
        <v>0</v>
      </c>
      <c r="BM123" s="299">
        <v>0</v>
      </c>
      <c r="BN123" s="299">
        <v>0</v>
      </c>
      <c r="BO123" s="299">
        <v>0</v>
      </c>
      <c r="BP123" s="299">
        <v>0</v>
      </c>
      <c r="BQ123" s="299">
        <v>0</v>
      </c>
      <c r="BR123" s="299">
        <v>3593</v>
      </c>
      <c r="BS123" s="299">
        <v>20100.979999999974</v>
      </c>
      <c r="BT123" s="299">
        <v>0</v>
      </c>
      <c r="BU123" s="299">
        <v>23693.979999999974</v>
      </c>
      <c r="BV123" s="299">
        <v>5299.38</v>
      </c>
      <c r="BW123" s="299">
        <v>1000</v>
      </c>
      <c r="BX123" s="299">
        <v>0</v>
      </c>
      <c r="BY123" s="299">
        <v>6299.38</v>
      </c>
      <c r="BZ123" s="299">
        <v>0</v>
      </c>
      <c r="CA123" s="299">
        <v>590</v>
      </c>
      <c r="CB123" s="299">
        <v>0</v>
      </c>
      <c r="CC123" s="299">
        <v>3906.55</v>
      </c>
      <c r="CD123" s="299">
        <v>4496.55</v>
      </c>
      <c r="CE123" s="299">
        <v>1802.83</v>
      </c>
      <c r="CF123" s="299">
        <v>6481.08</v>
      </c>
      <c r="CG123" s="299">
        <v>8283.91</v>
      </c>
      <c r="CH123" s="299">
        <v>7283.91</v>
      </c>
      <c r="CI123" s="299">
        <v>1000</v>
      </c>
      <c r="CJ123" s="299">
        <v>8283.91</v>
      </c>
    </row>
    <row r="124" spans="1:88" ht="13.8">
      <c r="A124" s="252" t="s">
        <v>1377</v>
      </c>
      <c r="B124" s="288">
        <v>3032</v>
      </c>
      <c r="C124" s="288" t="s">
        <v>826</v>
      </c>
      <c r="D124" s="248" t="s">
        <v>708</v>
      </c>
      <c r="E124" s="399" t="str">
        <f t="shared" si="5"/>
        <v>30EP3032</v>
      </c>
      <c r="F124" s="299">
        <v>950579.59</v>
      </c>
      <c r="G124" s="299">
        <v>0</v>
      </c>
      <c r="H124" s="299">
        <v>65173.279999999999</v>
      </c>
      <c r="I124" s="299">
        <v>0</v>
      </c>
      <c r="J124" s="299">
        <v>32560</v>
      </c>
      <c r="K124" s="299">
        <v>4713.93</v>
      </c>
      <c r="L124" s="299">
        <v>0</v>
      </c>
      <c r="M124" s="299">
        <v>11223.62</v>
      </c>
      <c r="N124" s="299">
        <v>7270.3</v>
      </c>
      <c r="O124" s="299">
        <v>28269.59</v>
      </c>
      <c r="P124" s="299">
        <v>7009.2</v>
      </c>
      <c r="Q124" s="299">
        <v>235</v>
      </c>
      <c r="R124" s="299">
        <v>24826.41</v>
      </c>
      <c r="S124" s="299">
        <v>50751.47</v>
      </c>
      <c r="T124" s="299">
        <v>0</v>
      </c>
      <c r="U124" s="299">
        <v>0</v>
      </c>
      <c r="V124" s="299">
        <v>0</v>
      </c>
      <c r="W124" s="299">
        <v>1472.5</v>
      </c>
      <c r="X124" s="299">
        <v>44336</v>
      </c>
      <c r="Y124" s="299">
        <v>1228420.8900000001</v>
      </c>
      <c r="Z124" s="299">
        <v>604177.22</v>
      </c>
      <c r="AA124" s="299">
        <v>15868.72</v>
      </c>
      <c r="AB124" s="299">
        <v>230751.79</v>
      </c>
      <c r="AC124" s="299">
        <v>31230.65</v>
      </c>
      <c r="AD124" s="299">
        <v>55599.89</v>
      </c>
      <c r="AE124" s="299">
        <v>0</v>
      </c>
      <c r="AF124" s="299">
        <v>11250.47</v>
      </c>
      <c r="AG124" s="299">
        <v>5057.3999999999996</v>
      </c>
      <c r="AH124" s="299">
        <v>9284.5300000000007</v>
      </c>
      <c r="AI124" s="299">
        <v>4625</v>
      </c>
      <c r="AJ124" s="299">
        <v>656.25</v>
      </c>
      <c r="AK124" s="299">
        <v>7640.1</v>
      </c>
      <c r="AL124" s="299">
        <v>3243.75</v>
      </c>
      <c r="AM124" s="299">
        <v>3136.89</v>
      </c>
      <c r="AN124" s="299">
        <v>4394.43</v>
      </c>
      <c r="AO124" s="299">
        <v>21876.74</v>
      </c>
      <c r="AP124" s="299">
        <v>22205.5</v>
      </c>
      <c r="AQ124" s="299">
        <v>4541.84</v>
      </c>
      <c r="AR124" s="299">
        <v>65172.18</v>
      </c>
      <c r="AS124" s="299">
        <v>18788.75</v>
      </c>
      <c r="AT124" s="299">
        <v>0</v>
      </c>
      <c r="AU124" s="299">
        <v>15257.13</v>
      </c>
      <c r="AV124" s="299">
        <v>3757.94</v>
      </c>
      <c r="AW124" s="299">
        <v>3112.57</v>
      </c>
      <c r="AX124" s="299">
        <v>75624.240000000005</v>
      </c>
      <c r="AY124" s="299">
        <v>7964.12</v>
      </c>
      <c r="AZ124" s="299">
        <v>13548.59</v>
      </c>
      <c r="BA124" s="299">
        <v>14897.96</v>
      </c>
      <c r="BB124" s="299">
        <v>0</v>
      </c>
      <c r="BC124" s="299">
        <v>0</v>
      </c>
      <c r="BD124" s="299">
        <v>0</v>
      </c>
      <c r="BE124" s="299">
        <v>1253664.6500000001</v>
      </c>
      <c r="BF124" s="299">
        <v>-25243.760000000009</v>
      </c>
      <c r="BG124" s="299">
        <v>110760.45</v>
      </c>
      <c r="BH124" s="299">
        <v>85516.689999999988</v>
      </c>
      <c r="BI124" s="299">
        <v>0</v>
      </c>
      <c r="BJ124" s="299">
        <v>0</v>
      </c>
      <c r="BK124" s="299">
        <v>0</v>
      </c>
      <c r="BL124" s="299">
        <v>0</v>
      </c>
      <c r="BM124" s="299">
        <v>0</v>
      </c>
      <c r="BN124" s="299">
        <v>0</v>
      </c>
      <c r="BO124" s="299">
        <v>0</v>
      </c>
      <c r="BP124" s="299">
        <v>0</v>
      </c>
      <c r="BQ124" s="299">
        <v>0</v>
      </c>
      <c r="BR124" s="299">
        <v>3063.75</v>
      </c>
      <c r="BS124" s="299">
        <v>82452.939999999988</v>
      </c>
      <c r="BT124" s="299">
        <v>0</v>
      </c>
      <c r="BU124" s="299">
        <v>85516.689999999988</v>
      </c>
      <c r="BV124" s="299">
        <v>6283.75</v>
      </c>
      <c r="BW124" s="299">
        <v>0</v>
      </c>
      <c r="BX124" s="299">
        <v>0</v>
      </c>
      <c r="BY124" s="299">
        <v>6283.75</v>
      </c>
      <c r="BZ124" s="299">
        <v>0</v>
      </c>
      <c r="CA124" s="299">
        <v>14942.17</v>
      </c>
      <c r="CB124" s="299">
        <v>0</v>
      </c>
      <c r="CC124" s="299">
        <v>1283.22</v>
      </c>
      <c r="CD124" s="299">
        <v>16225.39</v>
      </c>
      <c r="CE124" s="299">
        <v>-9941.64</v>
      </c>
      <c r="CF124" s="299">
        <v>19300.47</v>
      </c>
      <c r="CG124" s="299">
        <v>9358.8300000000017</v>
      </c>
      <c r="CH124" s="299">
        <v>9358.8300000000017</v>
      </c>
      <c r="CI124" s="299">
        <v>0</v>
      </c>
      <c r="CJ124" s="299">
        <v>9358.8300000000017</v>
      </c>
    </row>
    <row r="125" spans="1:88" ht="13.8">
      <c r="A125" s="252" t="s">
        <v>1377</v>
      </c>
      <c r="B125" s="288">
        <v>2054</v>
      </c>
      <c r="C125" s="288" t="s">
        <v>827</v>
      </c>
      <c r="D125" s="248" t="s">
        <v>708</v>
      </c>
      <c r="E125" s="399" t="str">
        <f t="shared" si="5"/>
        <v>30EP2054</v>
      </c>
      <c r="F125" s="299">
        <v>1728367.75</v>
      </c>
      <c r="G125" s="299">
        <v>0</v>
      </c>
      <c r="H125" s="299">
        <v>105419</v>
      </c>
      <c r="I125" s="299">
        <v>0</v>
      </c>
      <c r="J125" s="299">
        <v>123208.4</v>
      </c>
      <c r="K125" s="299">
        <v>6025.57</v>
      </c>
      <c r="L125" s="299">
        <v>0</v>
      </c>
      <c r="M125" s="299">
        <v>3667.5</v>
      </c>
      <c r="N125" s="299">
        <v>131159.78</v>
      </c>
      <c r="O125" s="299">
        <v>32939.79</v>
      </c>
      <c r="P125" s="299">
        <v>8690</v>
      </c>
      <c r="Q125" s="299">
        <v>452.4</v>
      </c>
      <c r="R125" s="299">
        <v>32529.97</v>
      </c>
      <c r="S125" s="299">
        <v>16173.99</v>
      </c>
      <c r="T125" s="299">
        <v>0</v>
      </c>
      <c r="U125" s="299">
        <v>0</v>
      </c>
      <c r="V125" s="299">
        <v>0</v>
      </c>
      <c r="W125" s="299">
        <v>4888.75</v>
      </c>
      <c r="X125" s="299">
        <v>68832</v>
      </c>
      <c r="Y125" s="299">
        <v>2262354.9000000004</v>
      </c>
      <c r="Z125" s="299">
        <v>1097590.49</v>
      </c>
      <c r="AA125" s="299">
        <v>34060.080000000002</v>
      </c>
      <c r="AB125" s="299">
        <v>391070.56</v>
      </c>
      <c r="AC125" s="299">
        <v>65351.09</v>
      </c>
      <c r="AD125" s="299">
        <v>127212.99</v>
      </c>
      <c r="AE125" s="299">
        <v>0</v>
      </c>
      <c r="AF125" s="299">
        <v>83571.149999999994</v>
      </c>
      <c r="AG125" s="299">
        <v>8601.27</v>
      </c>
      <c r="AH125" s="299">
        <v>7100</v>
      </c>
      <c r="AI125" s="299">
        <v>8425</v>
      </c>
      <c r="AJ125" s="299">
        <v>3028.75</v>
      </c>
      <c r="AK125" s="299">
        <v>22494.86</v>
      </c>
      <c r="AL125" s="299">
        <v>4317.9399999999996</v>
      </c>
      <c r="AM125" s="299">
        <v>5513.24</v>
      </c>
      <c r="AN125" s="299">
        <v>4530</v>
      </c>
      <c r="AO125" s="299">
        <v>51299.61</v>
      </c>
      <c r="AP125" s="299">
        <v>44772</v>
      </c>
      <c r="AQ125" s="299">
        <v>5917.81</v>
      </c>
      <c r="AR125" s="299">
        <v>73141.320000000007</v>
      </c>
      <c r="AS125" s="299">
        <v>29520.32</v>
      </c>
      <c r="AT125" s="299">
        <v>0</v>
      </c>
      <c r="AU125" s="299">
        <v>10540.3</v>
      </c>
      <c r="AV125" s="299">
        <v>7210.76</v>
      </c>
      <c r="AW125" s="299">
        <v>22830.31</v>
      </c>
      <c r="AX125" s="299">
        <v>112506.09</v>
      </c>
      <c r="AY125" s="299">
        <v>23313.919999999998</v>
      </c>
      <c r="AZ125" s="299">
        <v>584.47</v>
      </c>
      <c r="BA125" s="299">
        <v>18194.55</v>
      </c>
      <c r="BB125" s="299">
        <v>0</v>
      </c>
      <c r="BC125" s="299">
        <v>0</v>
      </c>
      <c r="BD125" s="299">
        <v>0</v>
      </c>
      <c r="BE125" s="299">
        <v>2262698.8800000004</v>
      </c>
      <c r="BF125" s="299">
        <v>-343.97999999998137</v>
      </c>
      <c r="BG125" s="299">
        <v>142029.98000000001</v>
      </c>
      <c r="BH125" s="299">
        <v>141686.00000000003</v>
      </c>
      <c r="BI125" s="299">
        <v>250947.67</v>
      </c>
      <c r="BJ125" s="299">
        <v>24785.24</v>
      </c>
      <c r="BK125" s="299">
        <v>275732.91000000003</v>
      </c>
      <c r="BL125" s="299">
        <v>206554.19</v>
      </c>
      <c r="BM125" s="299">
        <v>50120.15</v>
      </c>
      <c r="BN125" s="299">
        <v>256674.34</v>
      </c>
      <c r="BO125" s="299">
        <v>19058.570000000036</v>
      </c>
      <c r="BP125" s="299">
        <v>46184.04</v>
      </c>
      <c r="BQ125" s="299">
        <v>65242.610000000037</v>
      </c>
      <c r="BR125" s="299">
        <v>0</v>
      </c>
      <c r="BS125" s="299">
        <v>141686.00000000003</v>
      </c>
      <c r="BT125" s="299">
        <v>65242.610000000037</v>
      </c>
      <c r="BU125" s="299">
        <v>206928.61000000007</v>
      </c>
      <c r="BV125" s="299">
        <v>7847.5</v>
      </c>
      <c r="BW125" s="299">
        <v>0</v>
      </c>
      <c r="BX125" s="299">
        <v>0</v>
      </c>
      <c r="BY125" s="299">
        <v>7847.5</v>
      </c>
      <c r="BZ125" s="299">
        <v>0</v>
      </c>
      <c r="CA125" s="299">
        <v>9401.5</v>
      </c>
      <c r="CB125" s="299">
        <v>0</v>
      </c>
      <c r="CC125" s="299">
        <v>0</v>
      </c>
      <c r="CD125" s="299">
        <v>9401.5</v>
      </c>
      <c r="CE125" s="299">
        <v>-1554</v>
      </c>
      <c r="CF125" s="299">
        <v>1554.65</v>
      </c>
      <c r="CG125" s="299">
        <v>0.65000000000009095</v>
      </c>
      <c r="CH125" s="299">
        <v>0.65000000000009095</v>
      </c>
      <c r="CI125" s="299">
        <v>0</v>
      </c>
      <c r="CJ125" s="299">
        <v>0.65000000000009095</v>
      </c>
    </row>
    <row r="126" spans="1:88" ht="13.8">
      <c r="A126" s="252" t="s">
        <v>1377</v>
      </c>
      <c r="B126" s="288">
        <v>2240</v>
      </c>
      <c r="C126" s="288" t="s">
        <v>828</v>
      </c>
      <c r="D126" s="248" t="s">
        <v>708</v>
      </c>
      <c r="E126" s="399" t="str">
        <f t="shared" si="5"/>
        <v>30EP2240</v>
      </c>
      <c r="F126" s="299">
        <v>845401.06</v>
      </c>
      <c r="G126" s="299">
        <v>0</v>
      </c>
      <c r="H126" s="299">
        <v>36603.83</v>
      </c>
      <c r="I126" s="299">
        <v>0</v>
      </c>
      <c r="J126" s="299">
        <v>59340</v>
      </c>
      <c r="K126" s="299">
        <v>0</v>
      </c>
      <c r="L126" s="299">
        <v>0</v>
      </c>
      <c r="M126" s="299">
        <v>12116</v>
      </c>
      <c r="N126" s="299">
        <v>44482.400000000001</v>
      </c>
      <c r="O126" s="299">
        <v>17614.650000000001</v>
      </c>
      <c r="P126" s="299">
        <v>17520</v>
      </c>
      <c r="Q126" s="299">
        <v>0</v>
      </c>
      <c r="R126" s="299">
        <v>7225.6</v>
      </c>
      <c r="S126" s="299">
        <v>18830.259999999998</v>
      </c>
      <c r="T126" s="299">
        <v>0</v>
      </c>
      <c r="U126" s="299">
        <v>0</v>
      </c>
      <c r="V126" s="299">
        <v>0</v>
      </c>
      <c r="W126" s="299">
        <v>6747.3</v>
      </c>
      <c r="X126" s="299">
        <v>43107</v>
      </c>
      <c r="Y126" s="299">
        <v>1108988.1000000001</v>
      </c>
      <c r="Z126" s="299">
        <v>437018.32</v>
      </c>
      <c r="AA126" s="299">
        <v>19171.060000000001</v>
      </c>
      <c r="AB126" s="299">
        <v>195050.66</v>
      </c>
      <c r="AC126" s="299">
        <v>37413.360000000001</v>
      </c>
      <c r="AD126" s="299">
        <v>42332.44</v>
      </c>
      <c r="AE126" s="299">
        <v>30555.5</v>
      </c>
      <c r="AF126" s="299">
        <v>52685.73</v>
      </c>
      <c r="AG126" s="299">
        <v>3383</v>
      </c>
      <c r="AH126" s="299">
        <v>3924.15</v>
      </c>
      <c r="AI126" s="299">
        <v>10442.01</v>
      </c>
      <c r="AJ126" s="299">
        <v>0</v>
      </c>
      <c r="AK126" s="299">
        <v>15037.98</v>
      </c>
      <c r="AL126" s="299">
        <v>2594.96</v>
      </c>
      <c r="AM126" s="299">
        <v>3259.48</v>
      </c>
      <c r="AN126" s="299">
        <v>4135</v>
      </c>
      <c r="AO126" s="299">
        <v>32829.620000000003</v>
      </c>
      <c r="AP126" s="299">
        <v>17340.25</v>
      </c>
      <c r="AQ126" s="299">
        <v>8366.2800000000007</v>
      </c>
      <c r="AR126" s="299">
        <v>35641.85</v>
      </c>
      <c r="AS126" s="299">
        <v>16855.52</v>
      </c>
      <c r="AT126" s="299">
        <v>0</v>
      </c>
      <c r="AU126" s="299">
        <v>6664.81</v>
      </c>
      <c r="AV126" s="299">
        <v>4193.8599999999997</v>
      </c>
      <c r="AW126" s="299">
        <v>7355.14</v>
      </c>
      <c r="AX126" s="299">
        <v>20185.98</v>
      </c>
      <c r="AY126" s="299">
        <v>0</v>
      </c>
      <c r="AZ126" s="299">
        <v>10192.9</v>
      </c>
      <c r="BA126" s="299">
        <v>18867.45</v>
      </c>
      <c r="BB126" s="299">
        <v>0</v>
      </c>
      <c r="BC126" s="299">
        <v>0</v>
      </c>
      <c r="BD126" s="299">
        <v>0</v>
      </c>
      <c r="BE126" s="299">
        <v>1035497.31</v>
      </c>
      <c r="BF126" s="299">
        <v>73490.790000000037</v>
      </c>
      <c r="BG126" s="299">
        <v>-61988.09</v>
      </c>
      <c r="BH126" s="299">
        <v>11502.700000000041</v>
      </c>
      <c r="BI126" s="299">
        <v>90763.08</v>
      </c>
      <c r="BJ126" s="299">
        <v>12957.68</v>
      </c>
      <c r="BK126" s="299">
        <v>103720.76000000001</v>
      </c>
      <c r="BL126" s="299">
        <v>101356.79</v>
      </c>
      <c r="BM126" s="299">
        <v>2655.8</v>
      </c>
      <c r="BN126" s="299">
        <v>104012.59</v>
      </c>
      <c r="BO126" s="299">
        <v>-291.82999999998719</v>
      </c>
      <c r="BP126" s="299">
        <v>1065.1199999999999</v>
      </c>
      <c r="BQ126" s="299">
        <v>773.2900000000127</v>
      </c>
      <c r="BR126" s="299">
        <v>0</v>
      </c>
      <c r="BS126" s="299">
        <v>11502.700000000041</v>
      </c>
      <c r="BT126" s="299">
        <v>773.28999999999814</v>
      </c>
      <c r="BU126" s="299">
        <v>12275.990000000038</v>
      </c>
      <c r="BV126" s="299">
        <v>5968.75</v>
      </c>
      <c r="BW126" s="299">
        <v>0</v>
      </c>
      <c r="BX126" s="299">
        <v>0</v>
      </c>
      <c r="BY126" s="299">
        <v>5968.75</v>
      </c>
      <c r="BZ126" s="299">
        <v>0</v>
      </c>
      <c r="CA126" s="299">
        <v>9211.19</v>
      </c>
      <c r="CB126" s="299">
        <v>0</v>
      </c>
      <c r="CC126" s="299">
        <v>7362.92</v>
      </c>
      <c r="CD126" s="299">
        <v>16574.11</v>
      </c>
      <c r="CE126" s="299">
        <v>-10605.36</v>
      </c>
      <c r="CF126" s="299">
        <v>12037.8</v>
      </c>
      <c r="CG126" s="299">
        <v>1432.4399999999987</v>
      </c>
      <c r="CH126" s="299">
        <v>1432.4399999999987</v>
      </c>
      <c r="CI126" s="299">
        <v>0</v>
      </c>
      <c r="CJ126" s="299">
        <v>1432.4399999999987</v>
      </c>
    </row>
    <row r="127" spans="1:88" ht="13.8">
      <c r="A127" s="252" t="s">
        <v>1377</v>
      </c>
      <c r="B127" s="288">
        <v>2254</v>
      </c>
      <c r="C127" s="288" t="s">
        <v>829</v>
      </c>
      <c r="D127" s="248" t="s">
        <v>708</v>
      </c>
      <c r="E127" s="399" t="str">
        <f t="shared" si="5"/>
        <v>30EP2254</v>
      </c>
      <c r="F127" s="299">
        <v>853206.54</v>
      </c>
      <c r="G127" s="299">
        <v>0</v>
      </c>
      <c r="H127" s="299">
        <v>78586.929999999993</v>
      </c>
      <c r="I127" s="299">
        <v>0</v>
      </c>
      <c r="J127" s="299">
        <v>56210</v>
      </c>
      <c r="K127" s="299">
        <v>1200</v>
      </c>
      <c r="L127" s="299">
        <v>0</v>
      </c>
      <c r="M127" s="299">
        <v>0</v>
      </c>
      <c r="N127" s="299">
        <v>3556.09</v>
      </c>
      <c r="O127" s="299">
        <v>0</v>
      </c>
      <c r="P127" s="299">
        <v>19793</v>
      </c>
      <c r="Q127" s="299">
        <v>96.35</v>
      </c>
      <c r="R127" s="299">
        <v>2046</v>
      </c>
      <c r="S127" s="299">
        <v>2596.0500000000002</v>
      </c>
      <c r="T127" s="299">
        <v>0</v>
      </c>
      <c r="U127" s="299">
        <v>0</v>
      </c>
      <c r="V127" s="299">
        <v>0</v>
      </c>
      <c r="W127" s="299">
        <v>1775</v>
      </c>
      <c r="X127" s="299">
        <v>76546</v>
      </c>
      <c r="Y127" s="299">
        <v>1095611.96</v>
      </c>
      <c r="Z127" s="299">
        <v>478241.05</v>
      </c>
      <c r="AA127" s="299">
        <v>15816.49</v>
      </c>
      <c r="AB127" s="299">
        <v>319402.78999999998</v>
      </c>
      <c r="AC127" s="299">
        <v>21936.36</v>
      </c>
      <c r="AD127" s="299">
        <v>31018.07</v>
      </c>
      <c r="AE127" s="299">
        <v>33196.410000000003</v>
      </c>
      <c r="AF127" s="299">
        <v>13491.85</v>
      </c>
      <c r="AG127" s="299">
        <v>3983</v>
      </c>
      <c r="AH127" s="299">
        <v>2552.89</v>
      </c>
      <c r="AI127" s="299">
        <v>3775</v>
      </c>
      <c r="AJ127" s="299">
        <v>143.75</v>
      </c>
      <c r="AK127" s="299">
        <v>5045.24</v>
      </c>
      <c r="AL127" s="299">
        <v>1474.97</v>
      </c>
      <c r="AM127" s="299">
        <v>1981.52</v>
      </c>
      <c r="AN127" s="299">
        <v>2517.2800000000002</v>
      </c>
      <c r="AO127" s="299">
        <v>16599.25</v>
      </c>
      <c r="AP127" s="299">
        <v>18463</v>
      </c>
      <c r="AQ127" s="299">
        <v>1664.77</v>
      </c>
      <c r="AR127" s="299">
        <v>20692.12</v>
      </c>
      <c r="AS127" s="299">
        <v>17908.38</v>
      </c>
      <c r="AT127" s="299">
        <v>0</v>
      </c>
      <c r="AU127" s="299">
        <v>11868.2</v>
      </c>
      <c r="AV127" s="299">
        <v>3158.82</v>
      </c>
      <c r="AW127" s="299">
        <v>55</v>
      </c>
      <c r="AX127" s="299">
        <v>16249.5</v>
      </c>
      <c r="AY127" s="299">
        <v>0</v>
      </c>
      <c r="AZ127" s="299">
        <v>8475</v>
      </c>
      <c r="BA127" s="299">
        <v>15258.21</v>
      </c>
      <c r="BB127" s="299">
        <v>0</v>
      </c>
      <c r="BC127" s="299">
        <v>0</v>
      </c>
      <c r="BD127" s="299">
        <v>0</v>
      </c>
      <c r="BE127" s="299">
        <v>1064968.92</v>
      </c>
      <c r="BF127" s="299">
        <v>30643.040000000037</v>
      </c>
      <c r="BG127" s="299">
        <v>20832</v>
      </c>
      <c r="BH127" s="299">
        <v>51475.040000000037</v>
      </c>
      <c r="BI127" s="299">
        <v>0</v>
      </c>
      <c r="BJ127" s="299">
        <v>0</v>
      </c>
      <c r="BK127" s="299">
        <v>0</v>
      </c>
      <c r="BL127" s="299">
        <v>0</v>
      </c>
      <c r="BM127" s="299">
        <v>0</v>
      </c>
      <c r="BN127" s="299">
        <v>0</v>
      </c>
      <c r="BO127" s="299">
        <v>0</v>
      </c>
      <c r="BP127" s="299">
        <v>0</v>
      </c>
      <c r="BQ127" s="299">
        <v>0</v>
      </c>
      <c r="BR127" s="299">
        <v>0</v>
      </c>
      <c r="BS127" s="299">
        <v>51475.040000000037</v>
      </c>
      <c r="BT127" s="299">
        <v>0</v>
      </c>
      <c r="BU127" s="299">
        <v>51475.040000000037</v>
      </c>
      <c r="BV127" s="299">
        <v>5473.75</v>
      </c>
      <c r="BW127" s="299">
        <v>0</v>
      </c>
      <c r="BX127" s="299">
        <v>0</v>
      </c>
      <c r="BY127" s="299">
        <v>5473.75</v>
      </c>
      <c r="BZ127" s="299">
        <v>0</v>
      </c>
      <c r="CA127" s="299">
        <v>6475.77</v>
      </c>
      <c r="CB127" s="299">
        <v>0</v>
      </c>
      <c r="CC127" s="299">
        <v>2430</v>
      </c>
      <c r="CD127" s="299">
        <v>8905.77</v>
      </c>
      <c r="CE127" s="299">
        <v>-3432.0200000000004</v>
      </c>
      <c r="CF127" s="299">
        <v>12842.53</v>
      </c>
      <c r="CG127" s="299">
        <v>9410.51</v>
      </c>
      <c r="CH127" s="299">
        <v>9410.51</v>
      </c>
      <c r="CI127" s="299">
        <v>0</v>
      </c>
      <c r="CJ127" s="299">
        <v>9410.51</v>
      </c>
    </row>
  </sheetData>
  <autoFilter ref="A3:CO127" xr:uid="{00000000-0001-0000-0500-000000000000}">
    <sortState xmlns:xlrd2="http://schemas.microsoft.com/office/spreadsheetml/2017/richdata2" ref="A4:CO127">
      <sortCondition ref="C3:C127"/>
    </sortState>
  </autoFilter>
  <phoneticPr fontId="15" type="noConversion"/>
  <conditionalFormatting sqref="BQ128:BQ65411">
    <cfRule type="cellIs" dxfId="6" priority="1" stopIfTrue="1" operator="lessThan">
      <formula>0</formula>
    </cfRule>
  </conditionalFormatting>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tabColor rgb="FF92D050"/>
  </sheetPr>
  <dimension ref="A1:CJ4388"/>
  <sheetViews>
    <sheetView workbookViewId="0">
      <pane xSplit="3" ySplit="2" topLeftCell="BU3" activePane="bottomRight" state="frozen"/>
      <selection pane="topRight" activeCell="D1" sqref="D1"/>
      <selection pane="bottomLeft" activeCell="A3" sqref="A3"/>
      <selection pane="bottomRight" activeCell="CC22" sqref="CC22"/>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13.21875" style="242" customWidth="1"/>
    <col min="7" max="7" width="14.21875" style="242" customWidth="1"/>
    <col min="8" max="8" width="11.44140625" style="242" customWidth="1"/>
    <col min="9" max="10" width="12.21875" style="242" bestFit="1" customWidth="1"/>
    <col min="11" max="12" width="11.21875" style="242" bestFit="1" customWidth="1"/>
    <col min="13" max="13" width="11.21875" style="242" customWidth="1"/>
    <col min="14" max="15" width="12.21875" style="242" bestFit="1" customWidth="1"/>
    <col min="16" max="16" width="11.44140625" style="242" customWidth="1"/>
    <col min="17" max="17" width="10.77734375" style="242" customWidth="1"/>
    <col min="18" max="19" width="11.21875" style="242" bestFit="1" customWidth="1"/>
    <col min="20" max="20" width="12.21875" style="242" bestFit="1" customWidth="1"/>
    <col min="21" max="23" width="12.21875" style="242" customWidth="1"/>
    <col min="24" max="24" width="10.21875" style="242" bestFit="1" customWidth="1"/>
    <col min="25" max="25" width="11.21875" style="242" bestFit="1" customWidth="1"/>
    <col min="26" max="26" width="9.44140625" style="242" bestFit="1" customWidth="1"/>
    <col min="27" max="27" width="14" style="242" bestFit="1" customWidth="1"/>
    <col min="28" max="28" width="11.77734375" style="242" customWidth="1"/>
    <col min="29" max="29" width="11.5546875" style="242" bestFit="1" customWidth="1"/>
    <col min="30" max="30" width="13.77734375" style="242" bestFit="1" customWidth="1"/>
    <col min="31" max="34" width="12.5546875" style="242" bestFit="1" customWidth="1"/>
    <col min="35" max="38" width="11.5546875" style="242" bestFit="1" customWidth="1"/>
    <col min="39" max="39" width="12.5546875" style="242" bestFit="1" customWidth="1"/>
    <col min="40" max="40" width="11.5546875" style="242" bestFit="1" customWidth="1"/>
    <col min="41" max="41" width="12.5546875" style="242" bestFit="1" customWidth="1"/>
    <col min="42" max="42" width="11.5546875" style="242" bestFit="1" customWidth="1"/>
    <col min="43" max="43" width="12.5546875" style="242" bestFit="1" customWidth="1"/>
    <col min="44" max="44" width="11.5546875" style="242" bestFit="1" customWidth="1"/>
    <col min="45" max="49" width="12.5546875" style="242" bestFit="1" customWidth="1"/>
    <col min="50" max="51" width="11.5546875" style="242" bestFit="1" customWidth="1"/>
    <col min="52" max="52" width="12.5546875" style="242" bestFit="1" customWidth="1"/>
    <col min="53" max="53" width="12.5546875" style="242" customWidth="1"/>
    <col min="54" max="54" width="12.5546875" style="242" bestFit="1" customWidth="1"/>
    <col min="55" max="55" width="11.5546875" style="242" bestFit="1" customWidth="1"/>
    <col min="56" max="56" width="12.5546875" style="242" bestFit="1" customWidth="1"/>
    <col min="57" max="57" width="10.21875" style="242" bestFit="1" customWidth="1"/>
    <col min="58" max="60" width="12.5546875" style="242" bestFit="1" customWidth="1"/>
    <col min="61" max="61" width="12" style="242" customWidth="1"/>
    <col min="62" max="63" width="14" style="242" customWidth="1"/>
    <col min="64" max="64" width="14.21875" style="242" bestFit="1" customWidth="1"/>
    <col min="65" max="65" width="15.5546875" style="242" bestFit="1" customWidth="1"/>
    <col min="66" max="66" width="13.5546875" style="242" bestFit="1" customWidth="1"/>
    <col min="67" max="67" width="14.21875" style="242" bestFit="1" customWidth="1"/>
    <col min="68" max="68" width="12.5546875" style="242" bestFit="1" customWidth="1"/>
    <col min="69" max="69" width="15.21875" style="242" bestFit="1" customWidth="1"/>
    <col min="70" max="70" width="11.21875" style="242" bestFit="1" customWidth="1"/>
    <col min="71" max="71" width="12.77734375" style="242" bestFit="1" customWidth="1"/>
    <col min="72" max="73" width="12.5546875" style="242" bestFit="1" customWidth="1"/>
    <col min="74" max="74" width="9.77734375" style="242" bestFit="1" customWidth="1"/>
    <col min="75" max="75" width="12.5546875" style="242" bestFit="1" customWidth="1"/>
    <col min="76" max="77" width="11.5546875" style="242" bestFit="1" customWidth="1"/>
    <col min="78" max="79" width="12.5546875" style="242" bestFit="1" customWidth="1"/>
    <col min="80" max="88" width="9.21875" style="242"/>
    <col min="89" max="16384" width="9.21875" style="215"/>
  </cols>
  <sheetData>
    <row r="1" spans="1:88">
      <c r="A1" s="214" t="s">
        <v>1382</v>
      </c>
      <c r="B1" s="298">
        <v>1</v>
      </c>
      <c r="C1" s="287" t="s">
        <v>1383</v>
      </c>
      <c r="D1" s="400">
        <v>3</v>
      </c>
      <c r="E1" s="298">
        <v>4</v>
      </c>
      <c r="F1" s="401">
        <v>5</v>
      </c>
      <c r="G1" s="401">
        <v>6</v>
      </c>
      <c r="H1" s="401">
        <v>7</v>
      </c>
      <c r="I1" s="401">
        <v>8</v>
      </c>
      <c r="J1" s="401">
        <v>9</v>
      </c>
      <c r="K1" s="401">
        <v>10</v>
      </c>
      <c r="L1" s="401">
        <v>11</v>
      </c>
      <c r="M1" s="401">
        <v>12</v>
      </c>
      <c r="N1" s="401">
        <v>13</v>
      </c>
      <c r="O1" s="401">
        <v>14</v>
      </c>
      <c r="P1" s="401">
        <v>15</v>
      </c>
      <c r="Q1" s="401">
        <v>16</v>
      </c>
      <c r="R1" s="401">
        <v>17</v>
      </c>
      <c r="S1" s="401">
        <v>18</v>
      </c>
      <c r="T1" s="401">
        <v>19</v>
      </c>
      <c r="U1" s="401">
        <v>20</v>
      </c>
      <c r="V1" s="401">
        <v>21</v>
      </c>
      <c r="W1" s="401">
        <v>22</v>
      </c>
      <c r="X1" s="401">
        <v>23</v>
      </c>
      <c r="Y1" s="401">
        <v>24</v>
      </c>
      <c r="Z1" s="401">
        <v>25</v>
      </c>
      <c r="AA1" s="401">
        <v>26</v>
      </c>
      <c r="AB1" s="401">
        <v>27</v>
      </c>
      <c r="AC1" s="401">
        <v>28</v>
      </c>
      <c r="AD1" s="401">
        <v>29</v>
      </c>
      <c r="AE1" s="401">
        <v>30</v>
      </c>
      <c r="AF1" s="401">
        <v>31</v>
      </c>
      <c r="AG1" s="401">
        <v>32</v>
      </c>
      <c r="AH1" s="401">
        <v>33</v>
      </c>
      <c r="AI1" s="401">
        <v>34</v>
      </c>
      <c r="AJ1" s="401">
        <v>35</v>
      </c>
      <c r="AK1" s="401">
        <v>36</v>
      </c>
      <c r="AL1" s="401">
        <v>37</v>
      </c>
      <c r="AM1" s="401">
        <v>38</v>
      </c>
      <c r="AN1" s="401">
        <v>39</v>
      </c>
      <c r="AO1" s="401">
        <v>40</v>
      </c>
      <c r="AP1" s="401">
        <v>41</v>
      </c>
      <c r="AQ1" s="401">
        <v>42</v>
      </c>
      <c r="AR1" s="401">
        <v>43</v>
      </c>
      <c r="AS1" s="401">
        <v>44</v>
      </c>
      <c r="AT1" s="401">
        <v>45</v>
      </c>
      <c r="AU1" s="401">
        <v>46</v>
      </c>
      <c r="AV1" s="401">
        <v>47</v>
      </c>
      <c r="AW1" s="401">
        <v>48</v>
      </c>
      <c r="AX1" s="401">
        <v>49</v>
      </c>
      <c r="AY1" s="401">
        <v>50</v>
      </c>
      <c r="AZ1" s="401">
        <v>51</v>
      </c>
      <c r="BA1" s="401">
        <v>52</v>
      </c>
      <c r="BB1" s="401">
        <v>53</v>
      </c>
      <c r="BC1" s="401">
        <v>54</v>
      </c>
      <c r="BD1" s="401">
        <v>55</v>
      </c>
      <c r="BE1" s="401">
        <v>56</v>
      </c>
      <c r="BF1" s="401">
        <v>57</v>
      </c>
      <c r="BG1" s="401">
        <v>58</v>
      </c>
      <c r="BH1" s="401">
        <v>59</v>
      </c>
      <c r="BI1" s="401">
        <v>60</v>
      </c>
      <c r="BJ1" s="401">
        <v>61</v>
      </c>
      <c r="BK1" s="401">
        <v>62</v>
      </c>
      <c r="BL1" s="401">
        <v>63</v>
      </c>
      <c r="BM1" s="401">
        <v>64</v>
      </c>
      <c r="BN1" s="401">
        <v>65</v>
      </c>
      <c r="BO1" s="401">
        <v>66</v>
      </c>
      <c r="BP1" s="401">
        <v>67</v>
      </c>
      <c r="BQ1" s="401">
        <v>68</v>
      </c>
      <c r="BR1" s="401">
        <v>69</v>
      </c>
      <c r="BS1" s="401">
        <v>70</v>
      </c>
      <c r="BT1" s="401">
        <v>71</v>
      </c>
      <c r="BU1" s="401">
        <v>72</v>
      </c>
      <c r="BV1" s="401">
        <v>73</v>
      </c>
      <c r="BW1" s="401">
        <v>74</v>
      </c>
      <c r="BX1" s="401">
        <v>75</v>
      </c>
      <c r="BY1" s="401">
        <v>76</v>
      </c>
      <c r="BZ1" s="401">
        <v>77</v>
      </c>
      <c r="CA1" s="401">
        <v>78</v>
      </c>
      <c r="CB1" s="401">
        <v>79</v>
      </c>
      <c r="CC1" s="401">
        <v>80</v>
      </c>
      <c r="CD1" s="401">
        <v>81</v>
      </c>
      <c r="CE1" s="401">
        <v>82</v>
      </c>
      <c r="CF1" s="401">
        <v>83</v>
      </c>
      <c r="CG1" s="401">
        <v>84</v>
      </c>
      <c r="CH1" s="401">
        <v>85</v>
      </c>
      <c r="CI1" s="401">
        <v>86</v>
      </c>
      <c r="CJ1" s="401">
        <v>87</v>
      </c>
    </row>
    <row r="2" spans="1:88" s="217" customFormat="1" ht="26.4">
      <c r="A2" s="216" t="s">
        <v>1370</v>
      </c>
      <c r="B2" s="217" t="s">
        <v>882</v>
      </c>
      <c r="C2" s="264" t="s">
        <v>881</v>
      </c>
      <c r="D2" s="218" t="s">
        <v>877</v>
      </c>
      <c r="E2" s="217" t="s">
        <v>1371</v>
      </c>
      <c r="F2" s="241" t="s">
        <v>495</v>
      </c>
      <c r="G2" s="241" t="s">
        <v>498</v>
      </c>
      <c r="H2" s="241" t="s">
        <v>501</v>
      </c>
      <c r="I2" s="241" t="s">
        <v>504</v>
      </c>
      <c r="J2" s="241" t="s">
        <v>507</v>
      </c>
      <c r="K2" s="241" t="s">
        <v>510</v>
      </c>
      <c r="L2" s="241" t="s">
        <v>513</v>
      </c>
      <c r="M2" s="241" t="s">
        <v>516</v>
      </c>
      <c r="N2" s="241" t="s">
        <v>519</v>
      </c>
      <c r="O2" s="241" t="s">
        <v>522</v>
      </c>
      <c r="P2" s="241" t="s">
        <v>525</v>
      </c>
      <c r="Q2" s="241" t="s">
        <v>528</v>
      </c>
      <c r="R2" s="241" t="s">
        <v>531</v>
      </c>
      <c r="S2" s="241" t="s">
        <v>534</v>
      </c>
      <c r="T2" s="241" t="s">
        <v>537</v>
      </c>
      <c r="U2" s="241" t="s">
        <v>539</v>
      </c>
      <c r="V2" s="241" t="s">
        <v>542</v>
      </c>
      <c r="W2" s="241" t="s">
        <v>544</v>
      </c>
      <c r="X2" s="241" t="s">
        <v>546</v>
      </c>
      <c r="Y2" s="241" t="s">
        <v>430</v>
      </c>
      <c r="Z2" s="241" t="s">
        <v>552</v>
      </c>
      <c r="AA2" s="241" t="s">
        <v>555</v>
      </c>
      <c r="AB2" s="241" t="s">
        <v>558</v>
      </c>
      <c r="AC2" s="241" t="s">
        <v>561</v>
      </c>
      <c r="AD2" s="241" t="s">
        <v>564</v>
      </c>
      <c r="AE2" s="241" t="s">
        <v>567</v>
      </c>
      <c r="AF2" s="241" t="s">
        <v>570</v>
      </c>
      <c r="AG2" s="241" t="s">
        <v>573</v>
      </c>
      <c r="AH2" s="241" t="s">
        <v>576</v>
      </c>
      <c r="AI2" s="241" t="s">
        <v>579</v>
      </c>
      <c r="AJ2" s="241" t="s">
        <v>582</v>
      </c>
      <c r="AK2" s="241" t="s">
        <v>585</v>
      </c>
      <c r="AL2" s="241" t="s">
        <v>588</v>
      </c>
      <c r="AM2" s="241" t="s">
        <v>591</v>
      </c>
      <c r="AN2" s="241" t="s">
        <v>594</v>
      </c>
      <c r="AO2" s="241" t="s">
        <v>597</v>
      </c>
      <c r="AP2" s="241" t="s">
        <v>600</v>
      </c>
      <c r="AQ2" s="241" t="s">
        <v>603</v>
      </c>
      <c r="AR2" s="241" t="s">
        <v>606</v>
      </c>
      <c r="AS2" s="241" t="s">
        <v>609</v>
      </c>
      <c r="AT2" s="241" t="s">
        <v>611</v>
      </c>
      <c r="AU2" s="241" t="s">
        <v>614</v>
      </c>
      <c r="AV2" s="241" t="s">
        <v>617</v>
      </c>
      <c r="AW2" s="241" t="s">
        <v>620</v>
      </c>
      <c r="AX2" s="241" t="s">
        <v>623</v>
      </c>
      <c r="AY2" s="241" t="s">
        <v>626</v>
      </c>
      <c r="AZ2" s="241" t="s">
        <v>629</v>
      </c>
      <c r="BA2" s="241" t="s">
        <v>632</v>
      </c>
      <c r="BB2" s="241" t="s">
        <v>635</v>
      </c>
      <c r="BC2" s="241" t="s">
        <v>638</v>
      </c>
      <c r="BD2" s="241" t="s">
        <v>641</v>
      </c>
      <c r="BE2" s="241" t="s">
        <v>883</v>
      </c>
      <c r="BF2" s="241" t="s">
        <v>884</v>
      </c>
      <c r="BG2" s="241" t="s">
        <v>885</v>
      </c>
      <c r="BH2" s="241" t="s">
        <v>886</v>
      </c>
      <c r="BI2" s="241" t="s">
        <v>653</v>
      </c>
      <c r="BJ2" s="241" t="s">
        <v>656</v>
      </c>
      <c r="BK2" s="241" t="s">
        <v>492</v>
      </c>
      <c r="BL2" s="241" t="s">
        <v>661</v>
      </c>
      <c r="BM2" s="241" t="s">
        <v>664</v>
      </c>
      <c r="BN2" s="241" t="s">
        <v>887</v>
      </c>
      <c r="BO2" s="241" t="s">
        <v>888</v>
      </c>
      <c r="BP2" s="241" t="s">
        <v>889</v>
      </c>
      <c r="BQ2" s="241" t="s">
        <v>890</v>
      </c>
      <c r="BR2" s="241" t="s">
        <v>891</v>
      </c>
      <c r="BS2" s="241" t="s">
        <v>892</v>
      </c>
      <c r="BT2" s="241" t="s">
        <v>893</v>
      </c>
      <c r="BU2" s="241" t="s">
        <v>894</v>
      </c>
      <c r="BV2" s="241" t="s">
        <v>682</v>
      </c>
      <c r="BW2" s="241" t="s">
        <v>685</v>
      </c>
      <c r="BX2" s="241" t="s">
        <v>688</v>
      </c>
      <c r="BY2" s="241" t="s">
        <v>895</v>
      </c>
      <c r="BZ2" s="241" t="s">
        <v>692</v>
      </c>
      <c r="CA2" s="241" t="s">
        <v>695</v>
      </c>
      <c r="CB2" s="241" t="s">
        <v>698</v>
      </c>
      <c r="CC2" s="241" t="s">
        <v>701</v>
      </c>
      <c r="CD2" s="241" t="s">
        <v>896</v>
      </c>
      <c r="CE2" s="241" t="s">
        <v>897</v>
      </c>
      <c r="CF2" s="241" t="s">
        <v>898</v>
      </c>
      <c r="CG2" s="241" t="s">
        <v>899</v>
      </c>
      <c r="CH2" s="241" t="s">
        <v>1375</v>
      </c>
      <c r="CI2" s="241" t="s">
        <v>1376</v>
      </c>
      <c r="CJ2" s="241" t="s">
        <v>890</v>
      </c>
    </row>
    <row r="3" spans="1:88" s="220" customFormat="1" ht="13.8">
      <c r="A3" s="252" t="s">
        <v>1384</v>
      </c>
      <c r="B3" s="288">
        <v>3373</v>
      </c>
      <c r="C3" s="288" t="s">
        <v>707</v>
      </c>
      <c r="D3" s="248" t="s">
        <v>708</v>
      </c>
      <c r="E3" s="399"/>
      <c r="F3" s="402">
        <v>617724.66028006992</v>
      </c>
      <c r="G3" s="402">
        <v>0</v>
      </c>
      <c r="H3" s="402">
        <v>0</v>
      </c>
      <c r="I3" s="402">
        <v>0</v>
      </c>
      <c r="J3" s="402">
        <v>16265</v>
      </c>
      <c r="K3" s="402">
        <v>0</v>
      </c>
      <c r="L3" s="402">
        <v>0</v>
      </c>
      <c r="M3" s="402">
        <v>0</v>
      </c>
      <c r="N3" s="402">
        <v>8587</v>
      </c>
      <c r="O3" s="402">
        <v>19000</v>
      </c>
      <c r="P3" s="402">
        <v>0</v>
      </c>
      <c r="Q3" s="402">
        <v>0</v>
      </c>
      <c r="R3" s="402">
        <v>0</v>
      </c>
      <c r="S3" s="402">
        <v>0</v>
      </c>
      <c r="T3" s="402">
        <v>0</v>
      </c>
      <c r="U3" s="402">
        <v>0</v>
      </c>
      <c r="V3" s="402">
        <v>0</v>
      </c>
      <c r="W3" s="402">
        <v>0</v>
      </c>
      <c r="X3" s="402">
        <v>38746</v>
      </c>
      <c r="Y3" s="402">
        <v>700322.66028006992</v>
      </c>
      <c r="Z3" s="402">
        <v>407848.93211385253</v>
      </c>
      <c r="AA3" s="402">
        <v>0</v>
      </c>
      <c r="AB3" s="402">
        <v>115812.25863158055</v>
      </c>
      <c r="AC3" s="402">
        <v>2970.1278221881335</v>
      </c>
      <c r="AD3" s="402">
        <v>33418.641618641028</v>
      </c>
      <c r="AE3" s="402">
        <v>28362.821369345129</v>
      </c>
      <c r="AF3" s="402">
        <v>1603.9924148264245</v>
      </c>
      <c r="AG3" s="402">
        <v>250</v>
      </c>
      <c r="AH3" s="402">
        <v>2000</v>
      </c>
      <c r="AI3" s="402">
        <v>1201</v>
      </c>
      <c r="AJ3" s="402">
        <v>155</v>
      </c>
      <c r="AK3" s="402">
        <v>5725</v>
      </c>
      <c r="AL3" s="402">
        <v>2985</v>
      </c>
      <c r="AM3" s="402">
        <v>14425</v>
      </c>
      <c r="AN3" s="402">
        <v>1200</v>
      </c>
      <c r="AO3" s="402">
        <v>20000</v>
      </c>
      <c r="AP3" s="402">
        <v>0</v>
      </c>
      <c r="AQ3" s="402">
        <v>5800</v>
      </c>
      <c r="AR3" s="402">
        <v>12300</v>
      </c>
      <c r="AS3" s="402">
        <v>24009</v>
      </c>
      <c r="AT3" s="402">
        <v>0</v>
      </c>
      <c r="AU3" s="402">
        <v>5160</v>
      </c>
      <c r="AV3" s="402">
        <v>2966</v>
      </c>
      <c r="AW3" s="402">
        <v>4000</v>
      </c>
      <c r="AX3" s="402">
        <v>18950</v>
      </c>
      <c r="AY3" s="402">
        <v>0</v>
      </c>
      <c r="AZ3" s="402">
        <v>11405</v>
      </c>
      <c r="BA3" s="402">
        <v>15253</v>
      </c>
      <c r="BB3" s="402">
        <v>0</v>
      </c>
      <c r="BC3" s="402">
        <v>0</v>
      </c>
      <c r="BD3" s="402">
        <v>600</v>
      </c>
      <c r="BE3" s="402">
        <v>738400.77397043374</v>
      </c>
      <c r="BF3" s="402">
        <v>-38078.113690363825</v>
      </c>
      <c r="BG3" s="402">
        <v>39157.279999999897</v>
      </c>
      <c r="BH3" s="402">
        <v>1079.1663096360717</v>
      </c>
      <c r="BI3" s="402">
        <v>0</v>
      </c>
      <c r="BJ3" s="402">
        <v>0</v>
      </c>
      <c r="BK3" s="402">
        <v>0</v>
      </c>
      <c r="BL3" s="402">
        <v>0</v>
      </c>
      <c r="BM3" s="402">
        <v>0</v>
      </c>
      <c r="BN3" s="402">
        <v>0</v>
      </c>
      <c r="BO3" s="402">
        <v>0</v>
      </c>
      <c r="BP3" s="402">
        <v>0</v>
      </c>
      <c r="BQ3" s="402">
        <v>0</v>
      </c>
      <c r="BR3" s="402">
        <v>0</v>
      </c>
      <c r="BS3" s="402">
        <v>1079.1663096360717</v>
      </c>
      <c r="BT3" s="402">
        <v>0</v>
      </c>
      <c r="BU3" s="402">
        <v>1079.1663096360717</v>
      </c>
      <c r="BV3" s="402">
        <v>0</v>
      </c>
      <c r="BW3" s="402">
        <v>0</v>
      </c>
      <c r="BX3" s="402">
        <v>0</v>
      </c>
      <c r="BY3" s="402">
        <v>0</v>
      </c>
      <c r="BZ3" s="402">
        <v>0</v>
      </c>
      <c r="CA3" s="402">
        <v>0</v>
      </c>
      <c r="CB3" s="402">
        <v>0</v>
      </c>
      <c r="CC3" s="402">
        <v>0</v>
      </c>
      <c r="CD3" s="402">
        <v>0</v>
      </c>
      <c r="CE3" s="402">
        <v>0</v>
      </c>
      <c r="CF3" s="402">
        <v>0</v>
      </c>
      <c r="CG3" s="402">
        <v>0</v>
      </c>
      <c r="CH3" s="402">
        <f>VLOOKUP($B3,'Data - CFR 2024-25'!$B$4:$CJ$127,85,0)</f>
        <v>0</v>
      </c>
      <c r="CI3" s="402">
        <f>VLOOKUP($B3,'Data - CFR 2024-25'!$B$4:$CJ$127,86,0)</f>
        <v>0</v>
      </c>
      <c r="CJ3" s="402">
        <f>VLOOKUP($B3,'Data - CFR 2024-25'!$B$4:$CJ$127,87,0)</f>
        <v>0</v>
      </c>
    </row>
    <row r="4" spans="1:88" s="220" customFormat="1" ht="13.8">
      <c r="A4" s="252" t="s">
        <v>1384</v>
      </c>
      <c r="B4" s="288">
        <v>3061</v>
      </c>
      <c r="C4" s="288" t="s">
        <v>709</v>
      </c>
      <c r="D4" s="248" t="s">
        <v>708</v>
      </c>
      <c r="E4" s="399"/>
      <c r="F4" s="402">
        <v>1093659.9244785286</v>
      </c>
      <c r="G4" s="402">
        <v>0</v>
      </c>
      <c r="H4" s="402">
        <v>108851</v>
      </c>
      <c r="I4" s="402">
        <v>0</v>
      </c>
      <c r="J4" s="402">
        <v>49145</v>
      </c>
      <c r="K4" s="402">
        <v>0</v>
      </c>
      <c r="L4" s="402">
        <v>0</v>
      </c>
      <c r="M4" s="402">
        <v>0</v>
      </c>
      <c r="N4" s="402">
        <v>55750</v>
      </c>
      <c r="O4" s="402">
        <v>0</v>
      </c>
      <c r="P4" s="402">
        <v>0</v>
      </c>
      <c r="Q4" s="402">
        <v>0</v>
      </c>
      <c r="R4" s="402">
        <v>0</v>
      </c>
      <c r="S4" s="402">
        <v>0</v>
      </c>
      <c r="T4" s="402">
        <v>0</v>
      </c>
      <c r="U4" s="402">
        <v>0</v>
      </c>
      <c r="V4" s="402">
        <v>0</v>
      </c>
      <c r="W4" s="402">
        <v>0</v>
      </c>
      <c r="X4" s="402">
        <v>53717</v>
      </c>
      <c r="Y4" s="402">
        <v>1361122.9244785286</v>
      </c>
      <c r="Z4" s="402">
        <v>653581.83786795265</v>
      </c>
      <c r="AA4" s="402">
        <v>2600</v>
      </c>
      <c r="AB4" s="402">
        <v>389606.24793894816</v>
      </c>
      <c r="AC4" s="402">
        <v>38403.27399277356</v>
      </c>
      <c r="AD4" s="402">
        <v>68760.812903974365</v>
      </c>
      <c r="AE4" s="402">
        <v>0</v>
      </c>
      <c r="AF4" s="402">
        <v>56407.553240022142</v>
      </c>
      <c r="AG4" s="402">
        <v>5470</v>
      </c>
      <c r="AH4" s="402">
        <v>0</v>
      </c>
      <c r="AI4" s="402">
        <v>5225</v>
      </c>
      <c r="AJ4" s="402">
        <v>1581</v>
      </c>
      <c r="AK4" s="402">
        <v>10000</v>
      </c>
      <c r="AL4" s="402">
        <v>2480</v>
      </c>
      <c r="AM4" s="402">
        <v>4000</v>
      </c>
      <c r="AN4" s="402">
        <v>2500</v>
      </c>
      <c r="AO4" s="402">
        <v>27500</v>
      </c>
      <c r="AP4" s="402">
        <v>0</v>
      </c>
      <c r="AQ4" s="402">
        <v>5270</v>
      </c>
      <c r="AR4" s="402">
        <v>38746.15</v>
      </c>
      <c r="AS4" s="402">
        <v>26289</v>
      </c>
      <c r="AT4" s="402">
        <v>0</v>
      </c>
      <c r="AU4" s="402">
        <v>8684</v>
      </c>
      <c r="AV4" s="402">
        <v>5659</v>
      </c>
      <c r="AW4" s="402">
        <v>4300</v>
      </c>
      <c r="AX4" s="402">
        <v>50500</v>
      </c>
      <c r="AY4" s="402">
        <v>0</v>
      </c>
      <c r="AZ4" s="402">
        <v>3460</v>
      </c>
      <c r="BA4" s="402">
        <v>10124.75</v>
      </c>
      <c r="BB4" s="402">
        <v>0</v>
      </c>
      <c r="BC4" s="402">
        <v>0</v>
      </c>
      <c r="BD4" s="402">
        <v>0</v>
      </c>
      <c r="BE4" s="402">
        <v>1421148.625943671</v>
      </c>
      <c r="BF4" s="402">
        <v>-60025.701465142425</v>
      </c>
      <c r="BG4" s="402">
        <v>61084.519999999808</v>
      </c>
      <c r="BH4" s="402">
        <v>1058.8185348573825</v>
      </c>
      <c r="BI4" s="402">
        <v>0</v>
      </c>
      <c r="BJ4" s="402">
        <v>0</v>
      </c>
      <c r="BK4" s="402">
        <v>0</v>
      </c>
      <c r="BL4" s="402">
        <v>0</v>
      </c>
      <c r="BM4" s="402">
        <v>0</v>
      </c>
      <c r="BN4" s="402">
        <v>0</v>
      </c>
      <c r="BO4" s="402">
        <v>0</v>
      </c>
      <c r="BP4" s="402">
        <v>0</v>
      </c>
      <c r="BQ4" s="402">
        <v>0</v>
      </c>
      <c r="BR4" s="402">
        <v>0</v>
      </c>
      <c r="BS4" s="402">
        <v>1058.8185348573825</v>
      </c>
      <c r="BT4" s="402">
        <v>0</v>
      </c>
      <c r="BU4" s="402">
        <v>1058.8185348573825</v>
      </c>
      <c r="BV4" s="402">
        <v>6239</v>
      </c>
      <c r="BW4" s="402">
        <v>0</v>
      </c>
      <c r="BX4" s="402">
        <v>0</v>
      </c>
      <c r="BY4" s="402">
        <v>6239</v>
      </c>
      <c r="BZ4" s="402">
        <v>0</v>
      </c>
      <c r="CA4" s="402">
        <v>0</v>
      </c>
      <c r="CB4" s="402">
        <v>0</v>
      </c>
      <c r="CC4" s="402">
        <v>8079.47</v>
      </c>
      <c r="CD4" s="402">
        <v>8079.47</v>
      </c>
      <c r="CE4" s="402">
        <v>-1840.4700000000003</v>
      </c>
      <c r="CF4" s="402">
        <v>1840.4700000000012</v>
      </c>
      <c r="CG4" s="402">
        <v>0</v>
      </c>
      <c r="CH4" s="402">
        <f>VLOOKUP($B4,'Data - CFR 2024-25'!$B$4:$CJ$127,85,0)</f>
        <v>1840.4700000000012</v>
      </c>
      <c r="CI4" s="402">
        <f>VLOOKUP($B4,'Data - CFR 2024-25'!$B$4:$CJ$127,86,0)</f>
        <v>0</v>
      </c>
      <c r="CJ4" s="402">
        <f>VLOOKUP($B4,'Data - CFR 2024-25'!$B$4:$CJ$127,87,0)</f>
        <v>1840.4700000000012</v>
      </c>
    </row>
    <row r="5" spans="1:88" s="220" customFormat="1" ht="13.8">
      <c r="A5" s="252" t="s">
        <v>1384</v>
      </c>
      <c r="B5" s="288">
        <v>2083</v>
      </c>
      <c r="C5" s="288" t="s">
        <v>710</v>
      </c>
      <c r="D5" s="248" t="s">
        <v>708</v>
      </c>
      <c r="E5" s="399"/>
      <c r="F5" s="402">
        <v>732569</v>
      </c>
      <c r="G5" s="402">
        <v>0</v>
      </c>
      <c r="H5" s="402">
        <v>59572</v>
      </c>
      <c r="I5" s="402">
        <v>0</v>
      </c>
      <c r="J5" s="402">
        <v>48080</v>
      </c>
      <c r="K5" s="402">
        <v>0</v>
      </c>
      <c r="L5" s="402">
        <v>0</v>
      </c>
      <c r="M5" s="402">
        <v>0</v>
      </c>
      <c r="N5" s="402">
        <v>1500</v>
      </c>
      <c r="O5" s="402">
        <v>3700</v>
      </c>
      <c r="P5" s="402">
        <v>0</v>
      </c>
      <c r="Q5" s="402">
        <v>0</v>
      </c>
      <c r="R5" s="402">
        <v>2500</v>
      </c>
      <c r="S5" s="402">
        <v>0</v>
      </c>
      <c r="T5" s="402">
        <v>0</v>
      </c>
      <c r="U5" s="402">
        <v>0</v>
      </c>
      <c r="V5" s="402">
        <v>0</v>
      </c>
      <c r="W5" s="402">
        <v>0</v>
      </c>
      <c r="X5" s="402">
        <v>32343</v>
      </c>
      <c r="Y5" s="402">
        <v>880264</v>
      </c>
      <c r="Z5" s="402">
        <v>383016</v>
      </c>
      <c r="AA5" s="402">
        <v>3000</v>
      </c>
      <c r="AB5" s="402">
        <v>265240</v>
      </c>
      <c r="AC5" s="402">
        <v>32515</v>
      </c>
      <c r="AD5" s="402">
        <v>46426</v>
      </c>
      <c r="AE5" s="402">
        <v>21234</v>
      </c>
      <c r="AF5" s="402">
        <v>0</v>
      </c>
      <c r="AG5" s="402">
        <v>3950</v>
      </c>
      <c r="AH5" s="402">
        <v>5000</v>
      </c>
      <c r="AI5" s="402">
        <v>1642</v>
      </c>
      <c r="AJ5" s="402">
        <v>500</v>
      </c>
      <c r="AK5" s="402">
        <v>5500</v>
      </c>
      <c r="AL5" s="402">
        <v>3000</v>
      </c>
      <c r="AM5" s="402">
        <v>3500</v>
      </c>
      <c r="AN5" s="402">
        <v>3000</v>
      </c>
      <c r="AO5" s="402">
        <v>25000</v>
      </c>
      <c r="AP5" s="402">
        <v>0</v>
      </c>
      <c r="AQ5" s="402">
        <v>2950</v>
      </c>
      <c r="AR5" s="402">
        <v>64410</v>
      </c>
      <c r="AS5" s="402">
        <v>17466</v>
      </c>
      <c r="AT5" s="402">
        <v>0</v>
      </c>
      <c r="AU5" s="402">
        <v>10300</v>
      </c>
      <c r="AV5" s="402">
        <v>3300</v>
      </c>
      <c r="AW5" s="402">
        <v>0</v>
      </c>
      <c r="AX5" s="402">
        <v>13000</v>
      </c>
      <c r="AY5" s="402">
        <v>0</v>
      </c>
      <c r="AZ5" s="402">
        <v>3500</v>
      </c>
      <c r="BA5" s="402">
        <v>13620</v>
      </c>
      <c r="BB5" s="402">
        <v>0</v>
      </c>
      <c r="BC5" s="402">
        <v>0</v>
      </c>
      <c r="BD5" s="402">
        <v>0</v>
      </c>
      <c r="BE5" s="402">
        <v>931068</v>
      </c>
      <c r="BF5" s="402">
        <v>-50804</v>
      </c>
      <c r="BG5" s="402">
        <v>120628</v>
      </c>
      <c r="BH5" s="402">
        <v>69824</v>
      </c>
      <c r="BI5" s="402">
        <v>0</v>
      </c>
      <c r="BJ5" s="402">
        <v>0</v>
      </c>
      <c r="BK5" s="402">
        <v>0</v>
      </c>
      <c r="BL5" s="402">
        <v>0</v>
      </c>
      <c r="BM5" s="402">
        <v>0</v>
      </c>
      <c r="BN5" s="402">
        <v>0</v>
      </c>
      <c r="BO5" s="402">
        <v>0</v>
      </c>
      <c r="BP5" s="402">
        <v>0</v>
      </c>
      <c r="BQ5" s="402">
        <v>0</v>
      </c>
      <c r="BR5" s="402">
        <v>0</v>
      </c>
      <c r="BS5" s="402">
        <v>69824</v>
      </c>
      <c r="BT5" s="402">
        <v>0</v>
      </c>
      <c r="BU5" s="402">
        <v>69824</v>
      </c>
      <c r="BV5" s="402">
        <v>5215</v>
      </c>
      <c r="BW5" s="402">
        <v>0</v>
      </c>
      <c r="BX5" s="402">
        <v>0</v>
      </c>
      <c r="BY5" s="402">
        <v>5215</v>
      </c>
      <c r="BZ5" s="402">
        <v>0</v>
      </c>
      <c r="CA5" s="402">
        <v>18713</v>
      </c>
      <c r="CB5" s="402">
        <v>0</v>
      </c>
      <c r="CC5" s="402">
        <v>0</v>
      </c>
      <c r="CD5" s="402">
        <v>18713</v>
      </c>
      <c r="CE5" s="402">
        <v>-13498</v>
      </c>
      <c r="CF5" s="402">
        <v>13498</v>
      </c>
      <c r="CG5" s="402">
        <v>0</v>
      </c>
      <c r="CH5" s="402">
        <f>VLOOKUP($B5,'Data - CFR 2024-25'!$B$4:$CJ$127,85,0)</f>
        <v>13497.98</v>
      </c>
      <c r="CI5" s="402">
        <f>VLOOKUP($B5,'Data - CFR 2024-25'!$B$4:$CJ$127,86,0)</f>
        <v>0</v>
      </c>
      <c r="CJ5" s="402">
        <f>VLOOKUP($B5,'Data - CFR 2024-25'!$B$4:$CJ$127,87,0)</f>
        <v>13497.98</v>
      </c>
    </row>
    <row r="6" spans="1:88" s="220" customFormat="1" ht="13.8">
      <c r="A6" s="252" t="s">
        <v>1384</v>
      </c>
      <c r="B6" s="288">
        <v>2118</v>
      </c>
      <c r="C6" s="288" t="s">
        <v>711</v>
      </c>
      <c r="D6" s="248" t="s">
        <v>708</v>
      </c>
      <c r="E6" s="399"/>
      <c r="F6" s="402">
        <v>2136633</v>
      </c>
      <c r="G6" s="402">
        <v>0</v>
      </c>
      <c r="H6" s="402">
        <v>53764</v>
      </c>
      <c r="I6" s="402">
        <v>0</v>
      </c>
      <c r="J6" s="402">
        <v>247610</v>
      </c>
      <c r="K6" s="402">
        <v>0</v>
      </c>
      <c r="L6" s="402">
        <v>0</v>
      </c>
      <c r="M6" s="402">
        <v>0</v>
      </c>
      <c r="N6" s="402">
        <v>88300</v>
      </c>
      <c r="O6" s="402">
        <v>38600</v>
      </c>
      <c r="P6" s="402">
        <v>0</v>
      </c>
      <c r="Q6" s="402">
        <v>0</v>
      </c>
      <c r="R6" s="402">
        <v>12125</v>
      </c>
      <c r="S6" s="402">
        <v>2150</v>
      </c>
      <c r="T6" s="402">
        <v>0</v>
      </c>
      <c r="U6" s="402">
        <v>0</v>
      </c>
      <c r="V6" s="402">
        <v>0</v>
      </c>
      <c r="W6" s="402">
        <v>0</v>
      </c>
      <c r="X6" s="402">
        <v>51356</v>
      </c>
      <c r="Y6" s="402">
        <v>2630538</v>
      </c>
      <c r="Z6" s="402">
        <v>1399178</v>
      </c>
      <c r="AA6" s="402">
        <v>46990</v>
      </c>
      <c r="AB6" s="402">
        <v>429076</v>
      </c>
      <c r="AC6" s="402">
        <v>0</v>
      </c>
      <c r="AD6" s="402">
        <v>98775</v>
      </c>
      <c r="AE6" s="402">
        <v>0</v>
      </c>
      <c r="AF6" s="402">
        <v>48961</v>
      </c>
      <c r="AG6" s="402">
        <v>9050</v>
      </c>
      <c r="AH6" s="402">
        <v>2500</v>
      </c>
      <c r="AI6" s="402">
        <v>9500</v>
      </c>
      <c r="AJ6" s="402">
        <v>1750</v>
      </c>
      <c r="AK6" s="402">
        <v>41500</v>
      </c>
      <c r="AL6" s="402">
        <v>32000</v>
      </c>
      <c r="AM6" s="402">
        <v>49330</v>
      </c>
      <c r="AN6" s="402">
        <v>12500</v>
      </c>
      <c r="AO6" s="402">
        <v>41600</v>
      </c>
      <c r="AP6" s="402">
        <v>0</v>
      </c>
      <c r="AQ6" s="402">
        <v>10350</v>
      </c>
      <c r="AR6" s="402">
        <v>58099</v>
      </c>
      <c r="AS6" s="402">
        <v>81290</v>
      </c>
      <c r="AT6" s="402">
        <v>0</v>
      </c>
      <c r="AU6" s="402">
        <v>11525</v>
      </c>
      <c r="AV6" s="402">
        <v>9840</v>
      </c>
      <c r="AW6" s="402">
        <v>4250</v>
      </c>
      <c r="AX6" s="402">
        <v>129471</v>
      </c>
      <c r="AY6" s="402">
        <v>0</v>
      </c>
      <c r="AZ6" s="402">
        <v>62570</v>
      </c>
      <c r="BA6" s="402">
        <v>16880</v>
      </c>
      <c r="BB6" s="402">
        <v>0</v>
      </c>
      <c r="BC6" s="402">
        <v>0</v>
      </c>
      <c r="BD6" s="402">
        <v>0</v>
      </c>
      <c r="BE6" s="402">
        <v>2606984</v>
      </c>
      <c r="BF6" s="402">
        <v>23554</v>
      </c>
      <c r="BG6" s="402">
        <v>299813</v>
      </c>
      <c r="BH6" s="402">
        <v>323367</v>
      </c>
      <c r="BI6" s="402">
        <v>0</v>
      </c>
      <c r="BJ6" s="402">
        <v>0</v>
      </c>
      <c r="BK6" s="402">
        <v>0</v>
      </c>
      <c r="BL6" s="402">
        <v>0</v>
      </c>
      <c r="BM6" s="402">
        <v>0</v>
      </c>
      <c r="BN6" s="402">
        <v>0</v>
      </c>
      <c r="BO6" s="402">
        <v>0</v>
      </c>
      <c r="BP6" s="402">
        <v>0</v>
      </c>
      <c r="BQ6" s="402">
        <v>0</v>
      </c>
      <c r="BR6" s="402">
        <v>0</v>
      </c>
      <c r="BS6" s="402">
        <v>323367</v>
      </c>
      <c r="BT6" s="402">
        <v>0</v>
      </c>
      <c r="BU6" s="402">
        <v>323367</v>
      </c>
      <c r="BV6" s="402">
        <v>8500</v>
      </c>
      <c r="BW6" s="402">
        <v>0</v>
      </c>
      <c r="BX6" s="402">
        <v>0</v>
      </c>
      <c r="BY6" s="402">
        <v>8500</v>
      </c>
      <c r="BZ6" s="402">
        <v>0</v>
      </c>
      <c r="CA6" s="402">
        <v>0</v>
      </c>
      <c r="CB6" s="402">
        <v>0</v>
      </c>
      <c r="CC6" s="402">
        <v>8500</v>
      </c>
      <c r="CD6" s="402">
        <v>8500</v>
      </c>
      <c r="CE6" s="402">
        <v>0</v>
      </c>
      <c r="CF6" s="402">
        <v>83</v>
      </c>
      <c r="CG6" s="402">
        <v>83</v>
      </c>
      <c r="CH6" s="402">
        <f>VLOOKUP($B6,'Data - CFR 2024-25'!$B$4:$CJ$127,85,0)</f>
        <v>83.1299999999992</v>
      </c>
      <c r="CI6" s="402">
        <f>VLOOKUP($B6,'Data - CFR 2024-25'!$B$4:$CJ$127,86,0)</f>
        <v>0</v>
      </c>
      <c r="CJ6" s="402">
        <f>VLOOKUP($B6,'Data - CFR 2024-25'!$B$4:$CJ$127,87,0)</f>
        <v>83.1299999999992</v>
      </c>
    </row>
    <row r="7" spans="1:88" s="220" customFormat="1" ht="13.8">
      <c r="A7" s="252" t="s">
        <v>1384</v>
      </c>
      <c r="B7" s="288">
        <v>2217</v>
      </c>
      <c r="C7" s="288" t="s">
        <v>712</v>
      </c>
      <c r="D7" s="248" t="s">
        <v>708</v>
      </c>
      <c r="E7" s="399"/>
      <c r="F7" s="402">
        <v>837919.30044619832</v>
      </c>
      <c r="G7" s="402">
        <v>0</v>
      </c>
      <c r="H7" s="402">
        <v>97940</v>
      </c>
      <c r="I7" s="402">
        <v>0</v>
      </c>
      <c r="J7" s="402">
        <v>63230</v>
      </c>
      <c r="K7" s="402">
        <v>0</v>
      </c>
      <c r="L7" s="402">
        <v>0</v>
      </c>
      <c r="M7" s="402">
        <v>1000</v>
      </c>
      <c r="N7" s="402">
        <v>11000</v>
      </c>
      <c r="O7" s="402">
        <v>400</v>
      </c>
      <c r="P7" s="402">
        <v>0</v>
      </c>
      <c r="Q7" s="402">
        <v>0</v>
      </c>
      <c r="R7" s="402">
        <v>650</v>
      </c>
      <c r="S7" s="402">
        <v>3000</v>
      </c>
      <c r="T7" s="402">
        <v>0</v>
      </c>
      <c r="U7" s="402">
        <v>0</v>
      </c>
      <c r="V7" s="402">
        <v>0</v>
      </c>
      <c r="W7" s="402">
        <v>0</v>
      </c>
      <c r="X7" s="402">
        <v>37990</v>
      </c>
      <c r="Y7" s="402">
        <v>1053129.3004461983</v>
      </c>
      <c r="Z7" s="402">
        <v>530587.25589749333</v>
      </c>
      <c r="AA7" s="402">
        <v>3000</v>
      </c>
      <c r="AB7" s="402">
        <v>254938.56192164629</v>
      </c>
      <c r="AC7" s="402">
        <v>25883.107555256407</v>
      </c>
      <c r="AD7" s="402">
        <v>68179.255680213799</v>
      </c>
      <c r="AE7" s="402">
        <v>0</v>
      </c>
      <c r="AF7" s="402">
        <v>10393.740550524792</v>
      </c>
      <c r="AG7" s="402">
        <v>3650</v>
      </c>
      <c r="AH7" s="402">
        <v>2000</v>
      </c>
      <c r="AI7" s="402">
        <v>3200</v>
      </c>
      <c r="AJ7" s="402">
        <v>0</v>
      </c>
      <c r="AK7" s="402">
        <v>1800</v>
      </c>
      <c r="AL7" s="402">
        <v>4500</v>
      </c>
      <c r="AM7" s="402">
        <v>2800</v>
      </c>
      <c r="AN7" s="402">
        <v>1000</v>
      </c>
      <c r="AO7" s="402">
        <v>19000</v>
      </c>
      <c r="AP7" s="402">
        <v>0</v>
      </c>
      <c r="AQ7" s="402">
        <v>3490</v>
      </c>
      <c r="AR7" s="402">
        <v>15442</v>
      </c>
      <c r="AS7" s="402">
        <v>22600</v>
      </c>
      <c r="AT7" s="402">
        <v>0</v>
      </c>
      <c r="AU7" s="402">
        <v>9230</v>
      </c>
      <c r="AV7" s="402">
        <v>4000</v>
      </c>
      <c r="AW7" s="402">
        <v>0</v>
      </c>
      <c r="AX7" s="402">
        <v>39308</v>
      </c>
      <c r="AY7" s="402">
        <v>0</v>
      </c>
      <c r="AZ7" s="402">
        <v>6000</v>
      </c>
      <c r="BA7" s="402">
        <v>8793</v>
      </c>
      <c r="BB7" s="402">
        <v>0</v>
      </c>
      <c r="BC7" s="402">
        <v>0</v>
      </c>
      <c r="BD7" s="402">
        <v>3000</v>
      </c>
      <c r="BE7" s="402">
        <v>1042794.9216051347</v>
      </c>
      <c r="BF7" s="402">
        <v>10334.37884106359</v>
      </c>
      <c r="BG7" s="402">
        <v>-9975.4899999999107</v>
      </c>
      <c r="BH7" s="402">
        <v>358.88884106367914</v>
      </c>
      <c r="BI7" s="402">
        <v>0</v>
      </c>
      <c r="BJ7" s="402">
        <v>1100</v>
      </c>
      <c r="BK7" s="402">
        <v>1100</v>
      </c>
      <c r="BL7" s="402">
        <v>0</v>
      </c>
      <c r="BM7" s="402">
        <v>1100</v>
      </c>
      <c r="BN7" s="402">
        <v>1100</v>
      </c>
      <c r="BO7" s="402">
        <v>0</v>
      </c>
      <c r="BP7" s="402">
        <v>6330.7000000000007</v>
      </c>
      <c r="BQ7" s="402">
        <v>6330.7000000000007</v>
      </c>
      <c r="BR7" s="402">
        <v>0</v>
      </c>
      <c r="BS7" s="402">
        <v>358.88884106367914</v>
      </c>
      <c r="BT7" s="402">
        <v>6330.7000000000007</v>
      </c>
      <c r="BU7" s="402">
        <v>6689.5888410636799</v>
      </c>
      <c r="BV7" s="402">
        <v>5541</v>
      </c>
      <c r="BW7" s="402">
        <v>0</v>
      </c>
      <c r="BX7" s="402">
        <v>0</v>
      </c>
      <c r="BY7" s="402">
        <v>5541</v>
      </c>
      <c r="BZ7" s="402">
        <v>0</v>
      </c>
      <c r="CA7" s="402">
        <v>21544.760000000002</v>
      </c>
      <c r="CB7" s="402">
        <v>0</v>
      </c>
      <c r="CC7" s="402">
        <v>0</v>
      </c>
      <c r="CD7" s="402">
        <v>21544.760000000002</v>
      </c>
      <c r="CE7" s="402">
        <v>-16003.760000000002</v>
      </c>
      <c r="CF7" s="402">
        <v>16003.76</v>
      </c>
      <c r="CG7" s="402">
        <v>0</v>
      </c>
      <c r="CH7" s="402">
        <f>VLOOKUP($B7,'Data - CFR 2024-25'!$B$4:$CJ$127,85,0)</f>
        <v>15166.81</v>
      </c>
      <c r="CI7" s="402">
        <f>VLOOKUP($B7,'Data - CFR 2024-25'!$B$4:$CJ$127,86,0)</f>
        <v>836.95</v>
      </c>
      <c r="CJ7" s="402">
        <f>VLOOKUP($B7,'Data - CFR 2024-25'!$B$4:$CJ$127,87,0)</f>
        <v>16003.76</v>
      </c>
    </row>
    <row r="8" spans="1:88" s="220" customFormat="1" ht="13.8">
      <c r="A8" s="252" t="s">
        <v>1384</v>
      </c>
      <c r="B8" s="288">
        <v>3067</v>
      </c>
      <c r="C8" s="288" t="s">
        <v>713</v>
      </c>
      <c r="D8" s="248" t="s">
        <v>708</v>
      </c>
      <c r="E8" s="399"/>
      <c r="F8" s="402">
        <v>791725.78794033162</v>
      </c>
      <c r="G8" s="402">
        <v>0</v>
      </c>
      <c r="H8" s="402">
        <v>10528</v>
      </c>
      <c r="I8" s="402">
        <v>0</v>
      </c>
      <c r="J8" s="402">
        <v>23050</v>
      </c>
      <c r="K8" s="402">
        <v>0</v>
      </c>
      <c r="L8" s="402">
        <v>0</v>
      </c>
      <c r="M8" s="402">
        <v>2150</v>
      </c>
      <c r="N8" s="402">
        <v>5650</v>
      </c>
      <c r="O8" s="402">
        <v>34270</v>
      </c>
      <c r="P8" s="402">
        <v>0</v>
      </c>
      <c r="Q8" s="402">
        <v>0</v>
      </c>
      <c r="R8" s="402">
        <v>0</v>
      </c>
      <c r="S8" s="402">
        <v>1750</v>
      </c>
      <c r="T8" s="402">
        <v>0</v>
      </c>
      <c r="U8" s="402">
        <v>0</v>
      </c>
      <c r="V8" s="402">
        <v>0</v>
      </c>
      <c r="W8" s="402">
        <v>0</v>
      </c>
      <c r="X8" s="402">
        <v>50338</v>
      </c>
      <c r="Y8" s="402">
        <v>919461.78794033162</v>
      </c>
      <c r="Z8" s="402">
        <v>500894.9437541106</v>
      </c>
      <c r="AA8" s="402">
        <v>12500</v>
      </c>
      <c r="AB8" s="402">
        <v>143087.80485203888</v>
      </c>
      <c r="AC8" s="402">
        <v>9551.1226999999999</v>
      </c>
      <c r="AD8" s="402">
        <v>59837.902229017935</v>
      </c>
      <c r="AE8" s="402">
        <v>45935.995574470631</v>
      </c>
      <c r="AF8" s="402">
        <v>15546.140885365283</v>
      </c>
      <c r="AG8" s="402">
        <v>3750</v>
      </c>
      <c r="AH8" s="402">
        <v>3000</v>
      </c>
      <c r="AI8" s="402">
        <v>4000</v>
      </c>
      <c r="AJ8" s="402">
        <v>1300</v>
      </c>
      <c r="AK8" s="402">
        <v>23000</v>
      </c>
      <c r="AL8" s="402">
        <v>3000</v>
      </c>
      <c r="AM8" s="402">
        <v>14600</v>
      </c>
      <c r="AN8" s="402">
        <v>3000</v>
      </c>
      <c r="AO8" s="402">
        <v>22350</v>
      </c>
      <c r="AP8" s="402">
        <v>0</v>
      </c>
      <c r="AQ8" s="402">
        <v>7400</v>
      </c>
      <c r="AR8" s="402">
        <v>18600</v>
      </c>
      <c r="AS8" s="402">
        <v>39710</v>
      </c>
      <c r="AT8" s="402">
        <v>0</v>
      </c>
      <c r="AU8" s="402">
        <v>6984</v>
      </c>
      <c r="AV8" s="402">
        <v>4347</v>
      </c>
      <c r="AW8" s="402">
        <v>2000</v>
      </c>
      <c r="AX8" s="402">
        <v>31000</v>
      </c>
      <c r="AY8" s="402">
        <v>0</v>
      </c>
      <c r="AZ8" s="402">
        <v>14355</v>
      </c>
      <c r="BA8" s="402">
        <v>11216.06</v>
      </c>
      <c r="BB8" s="402">
        <v>0</v>
      </c>
      <c r="BC8" s="402">
        <v>0</v>
      </c>
      <c r="BD8" s="402">
        <v>0</v>
      </c>
      <c r="BE8" s="402">
        <v>1000965.9699950033</v>
      </c>
      <c r="BF8" s="402">
        <v>-81504.182054671692</v>
      </c>
      <c r="BG8" s="402">
        <v>125131.43000000008</v>
      </c>
      <c r="BH8" s="402">
        <v>43627.247945328389</v>
      </c>
      <c r="BI8" s="402">
        <v>0</v>
      </c>
      <c r="BJ8" s="402">
        <v>0</v>
      </c>
      <c r="BK8" s="402">
        <v>0</v>
      </c>
      <c r="BL8" s="402">
        <v>0</v>
      </c>
      <c r="BM8" s="402">
        <v>0</v>
      </c>
      <c r="BN8" s="402">
        <v>0</v>
      </c>
      <c r="BO8" s="402">
        <v>0</v>
      </c>
      <c r="BP8" s="402">
        <v>0</v>
      </c>
      <c r="BQ8" s="402">
        <v>0</v>
      </c>
      <c r="BR8" s="402">
        <v>0</v>
      </c>
      <c r="BS8" s="402">
        <v>43627.247945328389</v>
      </c>
      <c r="BT8" s="402">
        <v>0</v>
      </c>
      <c r="BU8" s="402">
        <v>43627.247945328389</v>
      </c>
      <c r="BV8" s="402">
        <v>5598</v>
      </c>
      <c r="BW8" s="402">
        <v>0</v>
      </c>
      <c r="BX8" s="402">
        <v>0</v>
      </c>
      <c r="BY8" s="402">
        <v>5598</v>
      </c>
      <c r="BZ8" s="402">
        <v>0</v>
      </c>
      <c r="CA8" s="402">
        <v>5649.67</v>
      </c>
      <c r="CB8" s="402">
        <v>0</v>
      </c>
      <c r="CC8" s="402">
        <v>0</v>
      </c>
      <c r="CD8" s="402">
        <v>5649.67</v>
      </c>
      <c r="CE8" s="402">
        <v>-51.670000000000073</v>
      </c>
      <c r="CF8" s="402">
        <v>51.670000000001437</v>
      </c>
      <c r="CG8" s="402">
        <v>1.3642420526593924E-12</v>
      </c>
      <c r="CH8" s="402">
        <f>VLOOKUP($B8,'Data - CFR 2024-25'!$B$4:$CJ$127,85,0)</f>
        <v>51.670000000000528</v>
      </c>
      <c r="CI8" s="402">
        <f>VLOOKUP($B8,'Data - CFR 2024-25'!$B$4:$CJ$127,86,0)</f>
        <v>0</v>
      </c>
      <c r="CJ8" s="402">
        <f>VLOOKUP($B8,'Data - CFR 2024-25'!$B$4:$CJ$127,87,0)</f>
        <v>51.670000000000528</v>
      </c>
    </row>
    <row r="9" spans="1:88" s="220" customFormat="1" ht="13.8">
      <c r="A9" s="252" t="s">
        <v>1384</v>
      </c>
      <c r="B9" s="289">
        <v>3001</v>
      </c>
      <c r="C9" s="289" t="s">
        <v>714</v>
      </c>
      <c r="D9" s="248" t="s">
        <v>708</v>
      </c>
      <c r="E9" s="399"/>
      <c r="F9" s="402">
        <v>924018.48485334695</v>
      </c>
      <c r="G9" s="402">
        <v>0</v>
      </c>
      <c r="H9" s="402">
        <v>102738</v>
      </c>
      <c r="I9" s="402">
        <v>0</v>
      </c>
      <c r="J9" s="402">
        <v>33330</v>
      </c>
      <c r="K9" s="402">
        <v>0</v>
      </c>
      <c r="L9" s="402">
        <v>0</v>
      </c>
      <c r="M9" s="402">
        <v>300</v>
      </c>
      <c r="N9" s="402">
        <v>57000</v>
      </c>
      <c r="O9" s="402">
        <v>0</v>
      </c>
      <c r="P9" s="402">
        <v>0</v>
      </c>
      <c r="Q9" s="402">
        <v>0</v>
      </c>
      <c r="R9" s="402">
        <v>0</v>
      </c>
      <c r="S9" s="402">
        <v>0</v>
      </c>
      <c r="T9" s="402">
        <v>0</v>
      </c>
      <c r="U9" s="402">
        <v>0</v>
      </c>
      <c r="V9" s="402">
        <v>0</v>
      </c>
      <c r="W9" s="402">
        <v>0</v>
      </c>
      <c r="X9" s="402">
        <v>54330</v>
      </c>
      <c r="Y9" s="402">
        <v>1171716.4848533468</v>
      </c>
      <c r="Z9" s="402">
        <v>595270.63634552737</v>
      </c>
      <c r="AA9" s="402">
        <v>7000</v>
      </c>
      <c r="AB9" s="402">
        <v>240017.20703037202</v>
      </c>
      <c r="AC9" s="402">
        <v>26327.393118668078</v>
      </c>
      <c r="AD9" s="402">
        <v>55746.295282418621</v>
      </c>
      <c r="AE9" s="402">
        <v>0</v>
      </c>
      <c r="AF9" s="402">
        <v>61605.335234358834</v>
      </c>
      <c r="AG9" s="402">
        <v>4441</v>
      </c>
      <c r="AH9" s="402">
        <v>6500</v>
      </c>
      <c r="AI9" s="402">
        <v>4025</v>
      </c>
      <c r="AJ9" s="402">
        <v>160</v>
      </c>
      <c r="AK9" s="402">
        <v>14000</v>
      </c>
      <c r="AL9" s="402">
        <v>2100</v>
      </c>
      <c r="AM9" s="402">
        <v>2600</v>
      </c>
      <c r="AN9" s="402">
        <v>2059</v>
      </c>
      <c r="AO9" s="402">
        <v>22500</v>
      </c>
      <c r="AP9" s="402">
        <v>0</v>
      </c>
      <c r="AQ9" s="402">
        <v>1703.06</v>
      </c>
      <c r="AR9" s="402">
        <v>14100</v>
      </c>
      <c r="AS9" s="402">
        <v>25122</v>
      </c>
      <c r="AT9" s="402">
        <v>0</v>
      </c>
      <c r="AU9" s="402">
        <v>6410</v>
      </c>
      <c r="AV9" s="402">
        <v>4800</v>
      </c>
      <c r="AW9" s="402">
        <v>0</v>
      </c>
      <c r="AX9" s="402">
        <v>41923</v>
      </c>
      <c r="AY9" s="402">
        <v>0</v>
      </c>
      <c r="AZ9" s="402">
        <v>0</v>
      </c>
      <c r="BA9" s="402">
        <v>16631</v>
      </c>
      <c r="BB9" s="402">
        <v>0</v>
      </c>
      <c r="BC9" s="402">
        <v>0</v>
      </c>
      <c r="BD9" s="402">
        <v>0</v>
      </c>
      <c r="BE9" s="402">
        <v>1155040.927011345</v>
      </c>
      <c r="BF9" s="402">
        <v>16675.557842001785</v>
      </c>
      <c r="BG9" s="402">
        <v>-16095.1599999996</v>
      </c>
      <c r="BH9" s="402">
        <v>580.39784200218492</v>
      </c>
      <c r="BI9" s="402">
        <v>0</v>
      </c>
      <c r="BJ9" s="402">
        <v>0</v>
      </c>
      <c r="BK9" s="402">
        <v>0</v>
      </c>
      <c r="BL9" s="402">
        <v>0</v>
      </c>
      <c r="BM9" s="402">
        <v>0</v>
      </c>
      <c r="BN9" s="402">
        <v>0</v>
      </c>
      <c r="BO9" s="402">
        <v>0</v>
      </c>
      <c r="BP9" s="402">
        <v>0</v>
      </c>
      <c r="BQ9" s="402">
        <v>0</v>
      </c>
      <c r="BR9" s="402">
        <v>0</v>
      </c>
      <c r="BS9" s="402">
        <v>580.39784200218492</v>
      </c>
      <c r="BT9" s="402">
        <v>0</v>
      </c>
      <c r="BU9" s="402">
        <v>580.39784200218492</v>
      </c>
      <c r="BV9" s="402">
        <v>5766</v>
      </c>
      <c r="BW9" s="402">
        <v>0</v>
      </c>
      <c r="BX9" s="402">
        <v>0</v>
      </c>
      <c r="BY9" s="402">
        <v>5766</v>
      </c>
      <c r="BZ9" s="402">
        <v>0</v>
      </c>
      <c r="CA9" s="402">
        <v>14526.22</v>
      </c>
      <c r="CB9" s="402">
        <v>0</v>
      </c>
      <c r="CC9" s="402">
        <v>0</v>
      </c>
      <c r="CD9" s="402">
        <v>14526.22</v>
      </c>
      <c r="CE9" s="402">
        <v>-8760.2199999999993</v>
      </c>
      <c r="CF9" s="402">
        <v>8760.2199999999993</v>
      </c>
      <c r="CG9" s="402">
        <v>0</v>
      </c>
      <c r="CH9" s="402">
        <f>VLOOKUP($B9,'Data - CFR 2024-25'!$B$4:$CJ$127,85,0)</f>
        <v>8760.2200000000012</v>
      </c>
      <c r="CI9" s="402">
        <f>VLOOKUP($B9,'Data - CFR 2024-25'!$B$4:$CJ$127,86,0)</f>
        <v>0</v>
      </c>
      <c r="CJ9" s="402">
        <f>VLOOKUP($B9,'Data - CFR 2024-25'!$B$4:$CJ$127,87,0)</f>
        <v>8760.2200000000012</v>
      </c>
    </row>
    <row r="10" spans="1:88" s="220" customFormat="1" ht="13.8">
      <c r="A10" s="252" t="s">
        <v>1384</v>
      </c>
      <c r="B10" s="288">
        <v>3301</v>
      </c>
      <c r="C10" s="288" t="s">
        <v>715</v>
      </c>
      <c r="D10" s="248" t="s">
        <v>708</v>
      </c>
      <c r="E10" s="399"/>
      <c r="F10" s="402">
        <v>691470.85817318258</v>
      </c>
      <c r="G10" s="402">
        <v>0</v>
      </c>
      <c r="H10" s="402">
        <v>13582</v>
      </c>
      <c r="I10" s="402">
        <v>0</v>
      </c>
      <c r="J10" s="402">
        <v>12120</v>
      </c>
      <c r="K10" s="402">
        <v>0</v>
      </c>
      <c r="L10" s="402">
        <v>0</v>
      </c>
      <c r="M10" s="402">
        <v>800</v>
      </c>
      <c r="N10" s="402">
        <v>3200</v>
      </c>
      <c r="O10" s="402">
        <v>15500</v>
      </c>
      <c r="P10" s="402">
        <v>0</v>
      </c>
      <c r="Q10" s="402">
        <v>0</v>
      </c>
      <c r="R10" s="402">
        <v>3210</v>
      </c>
      <c r="S10" s="402">
        <v>42000</v>
      </c>
      <c r="T10" s="402">
        <v>0</v>
      </c>
      <c r="U10" s="402">
        <v>0</v>
      </c>
      <c r="V10" s="402">
        <v>0</v>
      </c>
      <c r="W10" s="402">
        <v>0</v>
      </c>
      <c r="X10" s="402">
        <v>38895</v>
      </c>
      <c r="Y10" s="402">
        <v>820777.85817318258</v>
      </c>
      <c r="Z10" s="402">
        <v>429858.93071837333</v>
      </c>
      <c r="AA10" s="402">
        <v>4000</v>
      </c>
      <c r="AB10" s="402">
        <v>108726.62809333576</v>
      </c>
      <c r="AC10" s="402">
        <v>22587.131479786065</v>
      </c>
      <c r="AD10" s="402">
        <v>63251.67740669036</v>
      </c>
      <c r="AE10" s="402">
        <v>25161.424834469013</v>
      </c>
      <c r="AF10" s="402">
        <v>1777.7996401089529</v>
      </c>
      <c r="AG10" s="402">
        <v>350</v>
      </c>
      <c r="AH10" s="402">
        <v>12600</v>
      </c>
      <c r="AI10" s="402">
        <v>3025</v>
      </c>
      <c r="AJ10" s="402">
        <v>300</v>
      </c>
      <c r="AK10" s="402">
        <v>12000</v>
      </c>
      <c r="AL10" s="402">
        <v>2800</v>
      </c>
      <c r="AM10" s="402">
        <v>2200</v>
      </c>
      <c r="AN10" s="402">
        <v>1800</v>
      </c>
      <c r="AO10" s="402">
        <v>16500</v>
      </c>
      <c r="AP10" s="402">
        <v>0</v>
      </c>
      <c r="AQ10" s="402">
        <v>10665</v>
      </c>
      <c r="AR10" s="402">
        <v>19749</v>
      </c>
      <c r="AS10" s="402">
        <v>25923</v>
      </c>
      <c r="AT10" s="402">
        <v>0</v>
      </c>
      <c r="AU10" s="402">
        <v>4847</v>
      </c>
      <c r="AV10" s="402">
        <v>3423</v>
      </c>
      <c r="AW10" s="402">
        <v>86</v>
      </c>
      <c r="AX10" s="402">
        <v>15750</v>
      </c>
      <c r="AY10" s="402">
        <v>3500</v>
      </c>
      <c r="AZ10" s="402">
        <v>15060</v>
      </c>
      <c r="BA10" s="402">
        <v>14400</v>
      </c>
      <c r="BB10" s="402">
        <v>0</v>
      </c>
      <c r="BC10" s="402">
        <v>0</v>
      </c>
      <c r="BD10" s="402">
        <v>10000</v>
      </c>
      <c r="BE10" s="402">
        <v>830341.59217276331</v>
      </c>
      <c r="BF10" s="402">
        <v>-9563.733999580727</v>
      </c>
      <c r="BG10" s="402">
        <v>62089.769999999706</v>
      </c>
      <c r="BH10" s="402">
        <v>52526.036000418979</v>
      </c>
      <c r="BI10" s="402">
        <v>0</v>
      </c>
      <c r="BJ10" s="402">
        <v>0</v>
      </c>
      <c r="BK10" s="402">
        <v>0</v>
      </c>
      <c r="BL10" s="402">
        <v>0</v>
      </c>
      <c r="BM10" s="402">
        <v>0</v>
      </c>
      <c r="BN10" s="402">
        <v>0</v>
      </c>
      <c r="BO10" s="402">
        <v>0</v>
      </c>
      <c r="BP10" s="402">
        <v>0</v>
      </c>
      <c r="BQ10" s="402">
        <v>0</v>
      </c>
      <c r="BR10" s="402">
        <v>0</v>
      </c>
      <c r="BS10" s="402">
        <v>52526.036000418979</v>
      </c>
      <c r="BT10" s="402">
        <v>0</v>
      </c>
      <c r="BU10" s="402">
        <v>52526.036000418979</v>
      </c>
      <c r="BV10" s="402">
        <v>0</v>
      </c>
      <c r="BW10" s="402">
        <v>0</v>
      </c>
      <c r="BX10" s="402">
        <v>0</v>
      </c>
      <c r="BY10" s="402">
        <v>0</v>
      </c>
      <c r="BZ10" s="402">
        <v>0</v>
      </c>
      <c r="CA10" s="402">
        <v>0</v>
      </c>
      <c r="CB10" s="402">
        <v>0</v>
      </c>
      <c r="CC10" s="402">
        <v>0</v>
      </c>
      <c r="CD10" s="402">
        <v>0</v>
      </c>
      <c r="CE10" s="402">
        <v>0</v>
      </c>
      <c r="CF10" s="402">
        <v>0</v>
      </c>
      <c r="CG10" s="402">
        <v>0</v>
      </c>
      <c r="CH10" s="402">
        <f>VLOOKUP($B10,'Data - CFR 2024-25'!$B$4:$CJ$127,85,0)</f>
        <v>0</v>
      </c>
      <c r="CI10" s="402">
        <f>VLOOKUP($B10,'Data - CFR 2024-25'!$B$4:$CJ$127,86,0)</f>
        <v>0</v>
      </c>
      <c r="CJ10" s="402">
        <f>VLOOKUP($B10,'Data - CFR 2024-25'!$B$4:$CJ$127,87,0)</f>
        <v>0</v>
      </c>
    </row>
    <row r="11" spans="1:88" s="220" customFormat="1" ht="13.8">
      <c r="A11" s="252" t="s">
        <v>1384</v>
      </c>
      <c r="B11" s="288">
        <v>2002</v>
      </c>
      <c r="C11" s="288" t="s">
        <v>716</v>
      </c>
      <c r="D11" s="248" t="s">
        <v>708</v>
      </c>
      <c r="E11" s="399"/>
      <c r="F11" s="402">
        <v>1812951.799995238</v>
      </c>
      <c r="G11" s="402">
        <v>0</v>
      </c>
      <c r="H11" s="402">
        <v>90000</v>
      </c>
      <c r="I11" s="402">
        <v>0</v>
      </c>
      <c r="J11" s="402">
        <v>133330</v>
      </c>
      <c r="K11" s="402">
        <v>0</v>
      </c>
      <c r="L11" s="402">
        <v>0</v>
      </c>
      <c r="M11" s="402">
        <v>2250</v>
      </c>
      <c r="N11" s="402">
        <v>12932</v>
      </c>
      <c r="O11" s="402">
        <v>39200</v>
      </c>
      <c r="P11" s="402">
        <v>0</v>
      </c>
      <c r="Q11" s="402">
        <v>0</v>
      </c>
      <c r="R11" s="402">
        <v>0</v>
      </c>
      <c r="S11" s="402">
        <v>0</v>
      </c>
      <c r="T11" s="402">
        <v>0</v>
      </c>
      <c r="U11" s="402">
        <v>0</v>
      </c>
      <c r="V11" s="402">
        <v>0</v>
      </c>
      <c r="W11" s="402">
        <v>0</v>
      </c>
      <c r="X11" s="402">
        <v>69448</v>
      </c>
      <c r="Y11" s="402">
        <v>2160111.799995238</v>
      </c>
      <c r="Z11" s="402">
        <v>1118259.2846370935</v>
      </c>
      <c r="AA11" s="402">
        <v>2000</v>
      </c>
      <c r="AB11" s="402">
        <v>479803.74501683336</v>
      </c>
      <c r="AC11" s="402">
        <v>75861.412358237445</v>
      </c>
      <c r="AD11" s="402">
        <v>108460.50211697283</v>
      </c>
      <c r="AE11" s="402">
        <v>0</v>
      </c>
      <c r="AF11" s="402">
        <v>14414.445642270832</v>
      </c>
      <c r="AG11" s="402">
        <v>19347</v>
      </c>
      <c r="AH11" s="402">
        <v>10000</v>
      </c>
      <c r="AI11" s="402">
        <v>9000</v>
      </c>
      <c r="AJ11" s="402">
        <v>2000</v>
      </c>
      <c r="AK11" s="402">
        <v>16500</v>
      </c>
      <c r="AL11" s="402">
        <v>3500</v>
      </c>
      <c r="AM11" s="402">
        <v>4500</v>
      </c>
      <c r="AN11" s="402">
        <v>4500</v>
      </c>
      <c r="AO11" s="402">
        <v>50800</v>
      </c>
      <c r="AP11" s="402">
        <v>0</v>
      </c>
      <c r="AQ11" s="402">
        <v>8299</v>
      </c>
      <c r="AR11" s="402">
        <v>50755</v>
      </c>
      <c r="AS11" s="402">
        <v>49475</v>
      </c>
      <c r="AT11" s="402">
        <v>0</v>
      </c>
      <c r="AU11" s="402">
        <v>13854</v>
      </c>
      <c r="AV11" s="402">
        <v>10171</v>
      </c>
      <c r="AW11" s="402">
        <v>4000</v>
      </c>
      <c r="AX11" s="402">
        <v>110738</v>
      </c>
      <c r="AY11" s="402">
        <v>2500</v>
      </c>
      <c r="AZ11" s="402">
        <v>7660</v>
      </c>
      <c r="BA11" s="402">
        <v>31838</v>
      </c>
      <c r="BB11" s="402">
        <v>0</v>
      </c>
      <c r="BC11" s="402">
        <v>0</v>
      </c>
      <c r="BD11" s="402">
        <v>0</v>
      </c>
      <c r="BE11" s="402">
        <v>2208236.3897714079</v>
      </c>
      <c r="BF11" s="402">
        <v>-48124.589776169974</v>
      </c>
      <c r="BG11" s="402">
        <v>80153.059999999532</v>
      </c>
      <c r="BH11" s="402">
        <v>32028.470223829558</v>
      </c>
      <c r="BI11" s="402">
        <v>0</v>
      </c>
      <c r="BJ11" s="402">
        <v>0</v>
      </c>
      <c r="BK11" s="402">
        <v>0</v>
      </c>
      <c r="BL11" s="402">
        <v>0</v>
      </c>
      <c r="BM11" s="402">
        <v>0</v>
      </c>
      <c r="BN11" s="402">
        <v>0</v>
      </c>
      <c r="BO11" s="402">
        <v>0</v>
      </c>
      <c r="BP11" s="402">
        <v>0</v>
      </c>
      <c r="BQ11" s="402">
        <v>0</v>
      </c>
      <c r="BR11" s="402">
        <v>0</v>
      </c>
      <c r="BS11" s="402">
        <v>32028.470223829558</v>
      </c>
      <c r="BT11" s="402">
        <v>0</v>
      </c>
      <c r="BU11" s="402">
        <v>32028.470223829558</v>
      </c>
      <c r="BV11" s="402">
        <v>8343</v>
      </c>
      <c r="BW11" s="402">
        <v>0</v>
      </c>
      <c r="BX11" s="402">
        <v>0</v>
      </c>
      <c r="BY11" s="402">
        <v>8343</v>
      </c>
      <c r="BZ11" s="402">
        <v>0</v>
      </c>
      <c r="CA11" s="402">
        <v>13615.41</v>
      </c>
      <c r="CB11" s="402">
        <v>0</v>
      </c>
      <c r="CC11" s="402">
        <v>0</v>
      </c>
      <c r="CD11" s="402">
        <v>13615.41</v>
      </c>
      <c r="CE11" s="402">
        <v>-5272.41</v>
      </c>
      <c r="CF11" s="402">
        <v>5272.41</v>
      </c>
      <c r="CG11" s="402">
        <v>0</v>
      </c>
      <c r="CH11" s="402">
        <f>VLOOKUP($B11,'Data - CFR 2024-25'!$B$4:$CJ$127,85,0)</f>
        <v>5272.41</v>
      </c>
      <c r="CI11" s="402">
        <f>VLOOKUP($B11,'Data - CFR 2024-25'!$B$4:$CJ$127,86,0)</f>
        <v>0</v>
      </c>
      <c r="CJ11" s="402">
        <f>VLOOKUP($B11,'Data - CFR 2024-25'!$B$4:$CJ$127,87,0)</f>
        <v>5272.41</v>
      </c>
    </row>
    <row r="12" spans="1:88" s="220" customFormat="1" ht="13.8">
      <c r="A12" s="252" t="s">
        <v>1384</v>
      </c>
      <c r="B12" s="288">
        <v>2082</v>
      </c>
      <c r="C12" s="288" t="s">
        <v>717</v>
      </c>
      <c r="D12" s="248" t="s">
        <v>708</v>
      </c>
      <c r="E12" s="399"/>
      <c r="F12" s="402">
        <v>921214</v>
      </c>
      <c r="G12" s="402">
        <v>0</v>
      </c>
      <c r="H12" s="402">
        <v>32361</v>
      </c>
      <c r="I12" s="402">
        <v>0</v>
      </c>
      <c r="J12" s="402">
        <v>90100</v>
      </c>
      <c r="K12" s="402">
        <v>0</v>
      </c>
      <c r="L12" s="402">
        <v>0</v>
      </c>
      <c r="M12" s="402">
        <v>5284</v>
      </c>
      <c r="N12" s="402">
        <v>1300</v>
      </c>
      <c r="O12" s="402">
        <v>0</v>
      </c>
      <c r="P12" s="402">
        <v>0</v>
      </c>
      <c r="Q12" s="402">
        <v>0</v>
      </c>
      <c r="R12" s="402">
        <v>4000</v>
      </c>
      <c r="S12" s="402">
        <v>0</v>
      </c>
      <c r="T12" s="402">
        <v>0</v>
      </c>
      <c r="U12" s="402">
        <v>0</v>
      </c>
      <c r="V12" s="402">
        <v>0</v>
      </c>
      <c r="W12" s="402">
        <v>0</v>
      </c>
      <c r="X12" s="402">
        <v>29592</v>
      </c>
      <c r="Y12" s="402">
        <v>1083851</v>
      </c>
      <c r="Z12" s="402">
        <v>546437</v>
      </c>
      <c r="AA12" s="402">
        <v>17500</v>
      </c>
      <c r="AB12" s="402">
        <v>162416</v>
      </c>
      <c r="AC12" s="402">
        <v>45282</v>
      </c>
      <c r="AD12" s="402">
        <v>74314</v>
      </c>
      <c r="AE12" s="402">
        <v>0</v>
      </c>
      <c r="AF12" s="402">
        <v>30629</v>
      </c>
      <c r="AG12" s="402">
        <v>3800</v>
      </c>
      <c r="AH12" s="402">
        <v>5000</v>
      </c>
      <c r="AI12" s="402">
        <v>3875</v>
      </c>
      <c r="AJ12" s="402">
        <v>527</v>
      </c>
      <c r="AK12" s="402">
        <v>9000</v>
      </c>
      <c r="AL12" s="402">
        <v>4500</v>
      </c>
      <c r="AM12" s="402">
        <v>3000</v>
      </c>
      <c r="AN12" s="402">
        <v>3500</v>
      </c>
      <c r="AO12" s="402">
        <v>24500</v>
      </c>
      <c r="AP12" s="402">
        <v>0</v>
      </c>
      <c r="AQ12" s="402">
        <v>12650</v>
      </c>
      <c r="AR12" s="402">
        <v>56420</v>
      </c>
      <c r="AS12" s="402">
        <v>36000</v>
      </c>
      <c r="AT12" s="402">
        <v>0</v>
      </c>
      <c r="AU12" s="402">
        <v>12120</v>
      </c>
      <c r="AV12" s="402">
        <v>4410</v>
      </c>
      <c r="AW12" s="402">
        <v>0</v>
      </c>
      <c r="AX12" s="402">
        <v>47210</v>
      </c>
      <c r="AY12" s="402">
        <v>13000</v>
      </c>
      <c r="AZ12" s="402">
        <v>7500</v>
      </c>
      <c r="BA12" s="402">
        <v>19837</v>
      </c>
      <c r="BB12" s="402">
        <v>0</v>
      </c>
      <c r="BC12" s="402">
        <v>0</v>
      </c>
      <c r="BD12" s="402">
        <v>0</v>
      </c>
      <c r="BE12" s="402">
        <v>1143427</v>
      </c>
      <c r="BF12" s="402">
        <v>-59576</v>
      </c>
      <c r="BG12" s="402">
        <v>178137</v>
      </c>
      <c r="BH12" s="402">
        <v>118561</v>
      </c>
      <c r="BI12" s="402">
        <v>0</v>
      </c>
      <c r="BJ12" s="402">
        <v>0</v>
      </c>
      <c r="BK12" s="402">
        <v>0</v>
      </c>
      <c r="BL12" s="402">
        <v>0</v>
      </c>
      <c r="BM12" s="402">
        <v>0</v>
      </c>
      <c r="BN12" s="402">
        <v>0</v>
      </c>
      <c r="BO12" s="402">
        <v>0</v>
      </c>
      <c r="BP12" s="402">
        <v>0</v>
      </c>
      <c r="BQ12" s="402">
        <v>0</v>
      </c>
      <c r="BR12" s="402">
        <v>0</v>
      </c>
      <c r="BS12" s="402">
        <v>118561</v>
      </c>
      <c r="BT12" s="402">
        <v>0</v>
      </c>
      <c r="BU12" s="402">
        <v>118561</v>
      </c>
      <c r="BV12" s="402">
        <v>5946</v>
      </c>
      <c r="BW12" s="402">
        <v>0</v>
      </c>
      <c r="BX12" s="402">
        <v>0</v>
      </c>
      <c r="BY12" s="402">
        <v>5946</v>
      </c>
      <c r="BZ12" s="402">
        <v>0</v>
      </c>
      <c r="CA12" s="402">
        <v>19760</v>
      </c>
      <c r="CB12" s="402">
        <v>0</v>
      </c>
      <c r="CC12" s="402">
        <v>0</v>
      </c>
      <c r="CD12" s="402">
        <v>19760</v>
      </c>
      <c r="CE12" s="402">
        <v>-13814</v>
      </c>
      <c r="CF12" s="402">
        <v>13814</v>
      </c>
      <c r="CG12" s="402">
        <v>0</v>
      </c>
      <c r="CH12" s="402">
        <f>VLOOKUP($B12,'Data - CFR 2024-25'!$B$4:$CJ$127,85,0)</f>
        <v>13813.83</v>
      </c>
      <c r="CI12" s="402">
        <f>VLOOKUP($B12,'Data - CFR 2024-25'!$B$4:$CJ$127,86,0)</f>
        <v>0</v>
      </c>
      <c r="CJ12" s="402">
        <f>VLOOKUP($B12,'Data - CFR 2024-25'!$B$4:$CJ$127,87,0)</f>
        <v>13813.83</v>
      </c>
    </row>
    <row r="13" spans="1:88" s="220" customFormat="1" ht="13.8">
      <c r="A13" s="252" t="s">
        <v>1384</v>
      </c>
      <c r="B13" s="288">
        <v>3943</v>
      </c>
      <c r="C13" s="288" t="s">
        <v>718</v>
      </c>
      <c r="D13" s="248" t="s">
        <v>708</v>
      </c>
      <c r="E13" s="399"/>
      <c r="F13" s="402">
        <v>2063596.1000046744</v>
      </c>
      <c r="G13" s="402">
        <v>0</v>
      </c>
      <c r="H13" s="402">
        <v>97284</v>
      </c>
      <c r="I13" s="402">
        <v>0</v>
      </c>
      <c r="J13" s="402">
        <v>100690</v>
      </c>
      <c r="K13" s="402">
        <v>0</v>
      </c>
      <c r="L13" s="402">
        <v>0</v>
      </c>
      <c r="M13" s="402">
        <v>25000</v>
      </c>
      <c r="N13" s="402">
        <v>20100</v>
      </c>
      <c r="O13" s="402">
        <v>2000</v>
      </c>
      <c r="P13" s="402">
        <v>0</v>
      </c>
      <c r="Q13" s="402">
        <v>0</v>
      </c>
      <c r="R13" s="402">
        <v>0</v>
      </c>
      <c r="S13" s="402">
        <v>0</v>
      </c>
      <c r="T13" s="402">
        <v>0</v>
      </c>
      <c r="U13" s="402">
        <v>0</v>
      </c>
      <c r="V13" s="402">
        <v>0</v>
      </c>
      <c r="W13" s="402">
        <v>0</v>
      </c>
      <c r="X13" s="402">
        <v>68646</v>
      </c>
      <c r="Y13" s="402">
        <v>2377316.1000046744</v>
      </c>
      <c r="Z13" s="402">
        <v>1250268.7064639954</v>
      </c>
      <c r="AA13" s="402">
        <v>11500</v>
      </c>
      <c r="AB13" s="402">
        <v>623510.25571439567</v>
      </c>
      <c r="AC13" s="402">
        <v>61768.293887112945</v>
      </c>
      <c r="AD13" s="402">
        <v>95420.723664223449</v>
      </c>
      <c r="AE13" s="402">
        <v>0</v>
      </c>
      <c r="AF13" s="402">
        <v>51950.678694318041</v>
      </c>
      <c r="AG13" s="402">
        <v>11500</v>
      </c>
      <c r="AH13" s="402">
        <v>6000</v>
      </c>
      <c r="AI13" s="402">
        <v>10425</v>
      </c>
      <c r="AJ13" s="402">
        <v>2739</v>
      </c>
      <c r="AK13" s="402">
        <v>39000</v>
      </c>
      <c r="AL13" s="402">
        <v>4000</v>
      </c>
      <c r="AM13" s="402">
        <v>9000</v>
      </c>
      <c r="AN13" s="402">
        <v>5000</v>
      </c>
      <c r="AO13" s="402">
        <v>53000</v>
      </c>
      <c r="AP13" s="402">
        <v>0</v>
      </c>
      <c r="AQ13" s="402">
        <v>2500</v>
      </c>
      <c r="AR13" s="402">
        <v>67479</v>
      </c>
      <c r="AS13" s="402">
        <v>51640</v>
      </c>
      <c r="AT13" s="402">
        <v>0</v>
      </c>
      <c r="AU13" s="402">
        <v>19850.010000000002</v>
      </c>
      <c r="AV13" s="402">
        <v>11095</v>
      </c>
      <c r="AW13" s="402">
        <v>0</v>
      </c>
      <c r="AX13" s="402">
        <v>91365</v>
      </c>
      <c r="AY13" s="402">
        <v>11500</v>
      </c>
      <c r="AZ13" s="402">
        <v>15000</v>
      </c>
      <c r="BA13" s="402">
        <v>28792</v>
      </c>
      <c r="BB13" s="402">
        <v>0</v>
      </c>
      <c r="BC13" s="402">
        <v>0</v>
      </c>
      <c r="BD13" s="402">
        <v>53000</v>
      </c>
      <c r="BE13" s="402">
        <v>2587303.6684240452</v>
      </c>
      <c r="BF13" s="402">
        <v>-209987.5684193708</v>
      </c>
      <c r="BG13" s="402">
        <v>248088.5100000003</v>
      </c>
      <c r="BH13" s="402">
        <v>38100.9415806295</v>
      </c>
      <c r="BI13" s="402">
        <v>0</v>
      </c>
      <c r="BJ13" s="402">
        <v>0</v>
      </c>
      <c r="BK13" s="402">
        <v>0</v>
      </c>
      <c r="BL13" s="402">
        <v>0</v>
      </c>
      <c r="BM13" s="402">
        <v>0</v>
      </c>
      <c r="BN13" s="402">
        <v>0</v>
      </c>
      <c r="BO13" s="402">
        <v>0</v>
      </c>
      <c r="BP13" s="402">
        <v>0</v>
      </c>
      <c r="BQ13" s="402">
        <v>0</v>
      </c>
      <c r="BR13" s="402">
        <v>0</v>
      </c>
      <c r="BS13" s="402">
        <v>38100.9415806295</v>
      </c>
      <c r="BT13" s="402">
        <v>0</v>
      </c>
      <c r="BU13" s="402">
        <v>38100.9415806295</v>
      </c>
      <c r="BV13" s="402">
        <v>8669</v>
      </c>
      <c r="BW13" s="402">
        <v>0</v>
      </c>
      <c r="BX13" s="402">
        <v>0</v>
      </c>
      <c r="BY13" s="402">
        <v>8669</v>
      </c>
      <c r="BZ13" s="402">
        <v>0</v>
      </c>
      <c r="CA13" s="402">
        <v>9333</v>
      </c>
      <c r="CB13" s="402">
        <v>0</v>
      </c>
      <c r="CC13" s="402">
        <v>0</v>
      </c>
      <c r="CD13" s="402">
        <v>9333</v>
      </c>
      <c r="CE13" s="402">
        <v>-664</v>
      </c>
      <c r="CF13" s="402">
        <v>664.63999999999965</v>
      </c>
      <c r="CG13" s="402">
        <v>0.6399999999996453</v>
      </c>
      <c r="CH13" s="402">
        <f>VLOOKUP($B13,'Data - CFR 2024-25'!$B$4:$CJ$127,85,0)</f>
        <v>664.63999999999965</v>
      </c>
      <c r="CI13" s="402">
        <f>VLOOKUP($B13,'Data - CFR 2024-25'!$B$4:$CJ$127,86,0)</f>
        <v>0</v>
      </c>
      <c r="CJ13" s="402">
        <f>VLOOKUP($B13,'Data - CFR 2024-25'!$B$4:$CJ$127,87,0)</f>
        <v>664.63999999999965</v>
      </c>
    </row>
    <row r="14" spans="1:88" s="220" customFormat="1" ht="13.8">
      <c r="A14" s="252" t="s">
        <v>1384</v>
      </c>
      <c r="B14" s="288">
        <v>2060</v>
      </c>
      <c r="C14" s="288" t="s">
        <v>719</v>
      </c>
      <c r="D14" s="248" t="s">
        <v>708</v>
      </c>
      <c r="E14" s="399"/>
      <c r="F14" s="402">
        <v>685687</v>
      </c>
      <c r="G14" s="402">
        <v>0</v>
      </c>
      <c r="H14" s="402">
        <v>56944</v>
      </c>
      <c r="I14" s="402">
        <v>0</v>
      </c>
      <c r="J14" s="402">
        <v>45235</v>
      </c>
      <c r="K14" s="402">
        <v>0</v>
      </c>
      <c r="L14" s="402">
        <v>0</v>
      </c>
      <c r="M14" s="402">
        <v>0</v>
      </c>
      <c r="N14" s="402">
        <v>3500</v>
      </c>
      <c r="O14" s="402">
        <v>0</v>
      </c>
      <c r="P14" s="402">
        <v>0</v>
      </c>
      <c r="Q14" s="402">
        <v>469</v>
      </c>
      <c r="R14" s="402">
        <v>600</v>
      </c>
      <c r="S14" s="402">
        <v>0</v>
      </c>
      <c r="T14" s="402">
        <v>0</v>
      </c>
      <c r="U14" s="402">
        <v>0</v>
      </c>
      <c r="V14" s="402">
        <v>0</v>
      </c>
      <c r="W14" s="402">
        <v>0</v>
      </c>
      <c r="X14" s="402">
        <v>36487</v>
      </c>
      <c r="Y14" s="402">
        <v>828922</v>
      </c>
      <c r="Z14" s="402">
        <v>425271</v>
      </c>
      <c r="AA14" s="402">
        <v>0</v>
      </c>
      <c r="AB14" s="402">
        <v>166084</v>
      </c>
      <c r="AC14" s="402">
        <v>20887</v>
      </c>
      <c r="AD14" s="402">
        <v>60645</v>
      </c>
      <c r="AE14" s="402">
        <v>0</v>
      </c>
      <c r="AF14" s="402">
        <v>12726</v>
      </c>
      <c r="AG14" s="402">
        <v>3438</v>
      </c>
      <c r="AH14" s="402">
        <v>2600</v>
      </c>
      <c r="AI14" s="402">
        <v>2525</v>
      </c>
      <c r="AJ14" s="402">
        <v>739</v>
      </c>
      <c r="AK14" s="402">
        <v>8000</v>
      </c>
      <c r="AL14" s="402">
        <v>3708</v>
      </c>
      <c r="AM14" s="402">
        <v>2700</v>
      </c>
      <c r="AN14" s="402">
        <v>1500</v>
      </c>
      <c r="AO14" s="402">
        <v>15000</v>
      </c>
      <c r="AP14" s="402">
        <v>0</v>
      </c>
      <c r="AQ14" s="402">
        <v>5100</v>
      </c>
      <c r="AR14" s="402">
        <v>18559</v>
      </c>
      <c r="AS14" s="402">
        <v>21825</v>
      </c>
      <c r="AT14" s="402">
        <v>0</v>
      </c>
      <c r="AU14" s="402">
        <v>6025</v>
      </c>
      <c r="AV14" s="402">
        <v>2915</v>
      </c>
      <c r="AW14" s="402">
        <v>0</v>
      </c>
      <c r="AX14" s="402">
        <v>41852</v>
      </c>
      <c r="AY14" s="402">
        <v>1000</v>
      </c>
      <c r="AZ14" s="402">
        <v>18125</v>
      </c>
      <c r="BA14" s="402">
        <v>9182</v>
      </c>
      <c r="BB14" s="402">
        <v>0</v>
      </c>
      <c r="BC14" s="402">
        <v>480</v>
      </c>
      <c r="BD14" s="402">
        <v>3500</v>
      </c>
      <c r="BE14" s="402">
        <v>854386</v>
      </c>
      <c r="BF14" s="402">
        <v>-25464</v>
      </c>
      <c r="BG14" s="402">
        <v>68299</v>
      </c>
      <c r="BH14" s="402">
        <v>42835</v>
      </c>
      <c r="BI14" s="402">
        <v>0</v>
      </c>
      <c r="BJ14" s="402">
        <v>0</v>
      </c>
      <c r="BK14" s="402">
        <v>0</v>
      </c>
      <c r="BL14" s="402">
        <v>0</v>
      </c>
      <c r="BM14" s="402">
        <v>0</v>
      </c>
      <c r="BN14" s="402">
        <v>0</v>
      </c>
      <c r="BO14" s="402">
        <v>0</v>
      </c>
      <c r="BP14" s="402">
        <v>0</v>
      </c>
      <c r="BQ14" s="402">
        <v>0</v>
      </c>
      <c r="BR14" s="402">
        <v>0</v>
      </c>
      <c r="BS14" s="402">
        <v>42835</v>
      </c>
      <c r="BT14" s="402">
        <v>0</v>
      </c>
      <c r="BU14" s="402">
        <v>42835</v>
      </c>
      <c r="BV14" s="402">
        <v>5103</v>
      </c>
      <c r="BW14" s="402">
        <v>0</v>
      </c>
      <c r="BX14" s="402">
        <v>0</v>
      </c>
      <c r="BY14" s="402">
        <v>5103</v>
      </c>
      <c r="BZ14" s="402">
        <v>0</v>
      </c>
      <c r="CA14" s="402">
        <v>42257</v>
      </c>
      <c r="CB14" s="402">
        <v>0</v>
      </c>
      <c r="CC14" s="402">
        <v>0</v>
      </c>
      <c r="CD14" s="402">
        <v>42257</v>
      </c>
      <c r="CE14" s="402">
        <v>-37154</v>
      </c>
      <c r="CF14" s="402">
        <v>37154</v>
      </c>
      <c r="CG14" s="402">
        <v>0</v>
      </c>
      <c r="CH14" s="402">
        <f>VLOOKUP($B14,'Data - CFR 2024-25'!$B$4:$CJ$127,85,0)</f>
        <v>11113.689999999999</v>
      </c>
      <c r="CI14" s="402">
        <f>VLOOKUP($B14,'Data - CFR 2024-25'!$B$4:$CJ$127,86,0)</f>
        <v>26039.81</v>
      </c>
      <c r="CJ14" s="402">
        <f>VLOOKUP($B14,'Data - CFR 2024-25'!$B$4:$CJ$127,87,0)</f>
        <v>37153.5</v>
      </c>
    </row>
    <row r="15" spans="1:88" s="220" customFormat="1" ht="13.8">
      <c r="A15" s="252" t="s">
        <v>1384</v>
      </c>
      <c r="B15" s="288">
        <v>2312</v>
      </c>
      <c r="C15" s="288" t="s">
        <v>720</v>
      </c>
      <c r="D15" s="248" t="s">
        <v>708</v>
      </c>
      <c r="E15" s="399"/>
      <c r="F15" s="402">
        <v>1041068.2207583796</v>
      </c>
      <c r="G15" s="402">
        <v>0</v>
      </c>
      <c r="H15" s="402">
        <v>79144</v>
      </c>
      <c r="I15" s="402">
        <v>0</v>
      </c>
      <c r="J15" s="402">
        <v>47680</v>
      </c>
      <c r="K15" s="402">
        <v>0</v>
      </c>
      <c r="L15" s="402">
        <v>0</v>
      </c>
      <c r="M15" s="402">
        <v>38000</v>
      </c>
      <c r="N15" s="402">
        <v>47300</v>
      </c>
      <c r="O15" s="402">
        <v>0</v>
      </c>
      <c r="P15" s="402">
        <v>0</v>
      </c>
      <c r="Q15" s="402">
        <v>0</v>
      </c>
      <c r="R15" s="402">
        <v>4500</v>
      </c>
      <c r="S15" s="402">
        <v>200</v>
      </c>
      <c r="T15" s="402">
        <v>0</v>
      </c>
      <c r="U15" s="402">
        <v>0</v>
      </c>
      <c r="V15" s="402">
        <v>0</v>
      </c>
      <c r="W15" s="402">
        <v>0</v>
      </c>
      <c r="X15" s="402">
        <v>47122</v>
      </c>
      <c r="Y15" s="402">
        <v>1305014.2207583794</v>
      </c>
      <c r="Z15" s="402">
        <v>519230.37469136185</v>
      </c>
      <c r="AA15" s="402">
        <v>0</v>
      </c>
      <c r="AB15" s="402">
        <v>309336.08436116687</v>
      </c>
      <c r="AC15" s="402">
        <v>0</v>
      </c>
      <c r="AD15" s="402">
        <v>80136.109994310507</v>
      </c>
      <c r="AE15" s="402">
        <v>0</v>
      </c>
      <c r="AF15" s="402">
        <v>23054.322077847457</v>
      </c>
      <c r="AG15" s="402">
        <v>4725</v>
      </c>
      <c r="AH15" s="402">
        <v>4766</v>
      </c>
      <c r="AI15" s="402">
        <v>0</v>
      </c>
      <c r="AJ15" s="402">
        <v>0</v>
      </c>
      <c r="AK15" s="402">
        <v>7000</v>
      </c>
      <c r="AL15" s="402">
        <v>3250</v>
      </c>
      <c r="AM15" s="402">
        <v>80000</v>
      </c>
      <c r="AN15" s="402">
        <v>3500</v>
      </c>
      <c r="AO15" s="402">
        <v>92500</v>
      </c>
      <c r="AP15" s="402">
        <v>0</v>
      </c>
      <c r="AQ15" s="402">
        <v>8570</v>
      </c>
      <c r="AR15" s="402">
        <v>50076</v>
      </c>
      <c r="AS15" s="402">
        <v>28276</v>
      </c>
      <c r="AT15" s="402">
        <v>0</v>
      </c>
      <c r="AU15" s="402">
        <v>8550</v>
      </c>
      <c r="AV15" s="402">
        <v>6198</v>
      </c>
      <c r="AW15" s="402">
        <v>500</v>
      </c>
      <c r="AX15" s="402">
        <v>44592</v>
      </c>
      <c r="AY15" s="402">
        <v>750</v>
      </c>
      <c r="AZ15" s="402">
        <v>10175</v>
      </c>
      <c r="BA15" s="402">
        <v>14061</v>
      </c>
      <c r="BB15" s="402">
        <v>0</v>
      </c>
      <c r="BC15" s="402">
        <v>0</v>
      </c>
      <c r="BD15" s="402">
        <v>0</v>
      </c>
      <c r="BE15" s="402">
        <v>1299245.8911246867</v>
      </c>
      <c r="BF15" s="402">
        <v>5768.3296336927451</v>
      </c>
      <c r="BG15" s="402">
        <v>43793.780000000363</v>
      </c>
      <c r="BH15" s="402">
        <v>49562.109633693108</v>
      </c>
      <c r="BI15" s="402">
        <v>110000</v>
      </c>
      <c r="BJ15" s="402">
        <v>26000</v>
      </c>
      <c r="BK15" s="402">
        <v>136000</v>
      </c>
      <c r="BL15" s="402">
        <v>119547.18942884666</v>
      </c>
      <c r="BM15" s="402">
        <v>15978</v>
      </c>
      <c r="BN15" s="402">
        <v>135525.18942884664</v>
      </c>
      <c r="BO15" s="402">
        <v>474.81057115335716</v>
      </c>
      <c r="BP15" s="402">
        <v>69547.53</v>
      </c>
      <c r="BQ15" s="402">
        <v>70022.340571153356</v>
      </c>
      <c r="BR15" s="402">
        <v>0</v>
      </c>
      <c r="BS15" s="402">
        <v>49562.109633693108</v>
      </c>
      <c r="BT15" s="402">
        <v>70022.340571153356</v>
      </c>
      <c r="BU15" s="402">
        <v>119584.45020484646</v>
      </c>
      <c r="BV15" s="402">
        <v>6410</v>
      </c>
      <c r="BW15" s="402">
        <v>0</v>
      </c>
      <c r="BX15" s="402">
        <v>0</v>
      </c>
      <c r="BY15" s="402">
        <v>6410</v>
      </c>
      <c r="BZ15" s="402">
        <v>0</v>
      </c>
      <c r="CA15" s="402">
        <v>32743.46</v>
      </c>
      <c r="CB15" s="402">
        <v>0</v>
      </c>
      <c r="CC15" s="402">
        <v>6410</v>
      </c>
      <c r="CD15" s="402">
        <v>39153.46</v>
      </c>
      <c r="CE15" s="402">
        <v>-32743.46</v>
      </c>
      <c r="CF15" s="402">
        <v>32743.46</v>
      </c>
      <c r="CG15" s="402">
        <v>0</v>
      </c>
      <c r="CH15" s="402">
        <f>VLOOKUP($B15,'Data - CFR 2024-25'!$B$4:$CJ$127,85,0)</f>
        <v>32743.46</v>
      </c>
      <c r="CI15" s="402">
        <f>VLOOKUP($B15,'Data - CFR 2024-25'!$B$4:$CJ$127,86,0)</f>
        <v>0</v>
      </c>
      <c r="CJ15" s="402">
        <f>VLOOKUP($B15,'Data - CFR 2024-25'!$B$4:$CJ$127,87,0)</f>
        <v>32743.46</v>
      </c>
    </row>
    <row r="16" spans="1:88" s="220" customFormat="1" ht="13.8">
      <c r="A16" s="252" t="s">
        <v>1384</v>
      </c>
      <c r="B16" s="288">
        <v>3942</v>
      </c>
      <c r="C16" s="288" t="s">
        <v>721</v>
      </c>
      <c r="D16" s="248" t="s">
        <v>708</v>
      </c>
      <c r="E16" s="399"/>
      <c r="F16" s="402">
        <v>3153689.7499980954</v>
      </c>
      <c r="G16" s="402">
        <v>0</v>
      </c>
      <c r="H16" s="402">
        <v>120000</v>
      </c>
      <c r="I16" s="402">
        <v>0</v>
      </c>
      <c r="J16" s="402">
        <v>224700</v>
      </c>
      <c r="K16" s="402">
        <v>0</v>
      </c>
      <c r="L16" s="402">
        <v>0</v>
      </c>
      <c r="M16" s="402">
        <v>6400</v>
      </c>
      <c r="N16" s="402">
        <v>31000</v>
      </c>
      <c r="O16" s="402">
        <v>42000</v>
      </c>
      <c r="P16" s="402">
        <v>920</v>
      </c>
      <c r="Q16" s="402">
        <v>16474</v>
      </c>
      <c r="R16" s="402">
        <v>0</v>
      </c>
      <c r="S16" s="402">
        <v>0</v>
      </c>
      <c r="T16" s="402">
        <v>0</v>
      </c>
      <c r="U16" s="402">
        <v>0</v>
      </c>
      <c r="V16" s="402">
        <v>0</v>
      </c>
      <c r="W16" s="402">
        <v>0</v>
      </c>
      <c r="X16" s="402">
        <v>111320</v>
      </c>
      <c r="Y16" s="402">
        <v>3706503.7499980954</v>
      </c>
      <c r="Z16" s="402">
        <v>1742379.3260117038</v>
      </c>
      <c r="AA16" s="402">
        <v>18700</v>
      </c>
      <c r="AB16" s="402">
        <v>659048.81878754683</v>
      </c>
      <c r="AC16" s="402">
        <v>41851.694455540535</v>
      </c>
      <c r="AD16" s="402">
        <v>192506.15391835812</v>
      </c>
      <c r="AE16" s="402">
        <v>0</v>
      </c>
      <c r="AF16" s="402">
        <v>121035.64269288233</v>
      </c>
      <c r="AG16" s="402">
        <v>19300</v>
      </c>
      <c r="AH16" s="402">
        <v>12500</v>
      </c>
      <c r="AI16" s="402">
        <v>17000</v>
      </c>
      <c r="AJ16" s="402">
        <v>1300</v>
      </c>
      <c r="AK16" s="402">
        <v>70000</v>
      </c>
      <c r="AL16" s="402">
        <v>26585</v>
      </c>
      <c r="AM16" s="402">
        <v>66300</v>
      </c>
      <c r="AN16" s="402">
        <v>11400</v>
      </c>
      <c r="AO16" s="402">
        <v>102000</v>
      </c>
      <c r="AP16" s="402">
        <v>66612</v>
      </c>
      <c r="AQ16" s="402">
        <v>8450</v>
      </c>
      <c r="AR16" s="402">
        <v>90720</v>
      </c>
      <c r="AS16" s="402">
        <v>74800</v>
      </c>
      <c r="AT16" s="402">
        <v>0</v>
      </c>
      <c r="AU16" s="402">
        <v>33550</v>
      </c>
      <c r="AV16" s="402">
        <v>15875</v>
      </c>
      <c r="AW16" s="402">
        <v>0</v>
      </c>
      <c r="AX16" s="402">
        <v>201680</v>
      </c>
      <c r="AY16" s="402">
        <v>91425</v>
      </c>
      <c r="AZ16" s="402">
        <v>109128</v>
      </c>
      <c r="BA16" s="402">
        <v>29137</v>
      </c>
      <c r="BB16" s="402">
        <v>0</v>
      </c>
      <c r="BC16" s="402">
        <v>0</v>
      </c>
      <c r="BD16" s="402">
        <v>39500</v>
      </c>
      <c r="BE16" s="402">
        <v>3862783.635866032</v>
      </c>
      <c r="BF16" s="402">
        <v>-156279.88586793654</v>
      </c>
      <c r="BG16" s="402">
        <v>604498.13000000035</v>
      </c>
      <c r="BH16" s="402">
        <v>448218.24413206382</v>
      </c>
      <c r="BI16" s="402">
        <v>0</v>
      </c>
      <c r="BJ16" s="402">
        <v>191050</v>
      </c>
      <c r="BK16" s="402">
        <v>191050</v>
      </c>
      <c r="BL16" s="402">
        <v>157661.3396385024</v>
      </c>
      <c r="BM16" s="402">
        <v>33170</v>
      </c>
      <c r="BN16" s="402">
        <v>190831.3396385024</v>
      </c>
      <c r="BO16" s="402">
        <v>218.66036149760475</v>
      </c>
      <c r="BP16" s="402">
        <v>118349.71000000002</v>
      </c>
      <c r="BQ16" s="402">
        <v>118568.37036149763</v>
      </c>
      <c r="BR16" s="402">
        <v>0</v>
      </c>
      <c r="BS16" s="402">
        <v>448218.24413206382</v>
      </c>
      <c r="BT16" s="402">
        <v>118568.37036149763</v>
      </c>
      <c r="BU16" s="402">
        <v>566786.61449356144</v>
      </c>
      <c r="BV16" s="402">
        <v>10750</v>
      </c>
      <c r="BW16" s="402">
        <v>0</v>
      </c>
      <c r="BX16" s="402">
        <v>39500</v>
      </c>
      <c r="BY16" s="402">
        <v>50250</v>
      </c>
      <c r="BZ16" s="402">
        <v>0</v>
      </c>
      <c r="CA16" s="402">
        <v>50250</v>
      </c>
      <c r="CB16" s="402">
        <v>0</v>
      </c>
      <c r="CC16" s="402">
        <v>0</v>
      </c>
      <c r="CD16" s="402">
        <v>50250</v>
      </c>
      <c r="CE16" s="402">
        <v>0</v>
      </c>
      <c r="CF16" s="402">
        <v>0.33000000000174623</v>
      </c>
      <c r="CG16" s="402">
        <v>0.33000000000174623</v>
      </c>
      <c r="CH16" s="402">
        <f>VLOOKUP($B16,'Data - CFR 2024-25'!$B$4:$CJ$127,85,0)</f>
        <v>0.33000000000174623</v>
      </c>
      <c r="CI16" s="402">
        <f>VLOOKUP($B16,'Data - CFR 2024-25'!$B$4:$CJ$127,86,0)</f>
        <v>0</v>
      </c>
      <c r="CJ16" s="402">
        <f>VLOOKUP($B16,'Data - CFR 2024-25'!$B$4:$CJ$127,87,0)</f>
        <v>0.33000000000174623</v>
      </c>
    </row>
    <row r="17" spans="1:88" s="220" customFormat="1" ht="13.8">
      <c r="A17" s="252" t="s">
        <v>1384</v>
      </c>
      <c r="B17" s="288">
        <v>3081</v>
      </c>
      <c r="C17" s="288" t="s">
        <v>722</v>
      </c>
      <c r="D17" s="248" t="s">
        <v>708</v>
      </c>
      <c r="E17" s="399"/>
      <c r="F17" s="402">
        <v>583588.01764792367</v>
      </c>
      <c r="G17" s="402">
        <v>0</v>
      </c>
      <c r="H17" s="402">
        <v>34841</v>
      </c>
      <c r="I17" s="402">
        <v>0</v>
      </c>
      <c r="J17" s="402">
        <v>23025</v>
      </c>
      <c r="K17" s="402">
        <v>0</v>
      </c>
      <c r="L17" s="402">
        <v>0</v>
      </c>
      <c r="M17" s="402">
        <v>150</v>
      </c>
      <c r="N17" s="402">
        <v>800</v>
      </c>
      <c r="O17" s="402">
        <v>21400</v>
      </c>
      <c r="P17" s="402">
        <v>0</v>
      </c>
      <c r="Q17" s="402">
        <v>0</v>
      </c>
      <c r="R17" s="402">
        <v>2330</v>
      </c>
      <c r="S17" s="402">
        <v>5444.47</v>
      </c>
      <c r="T17" s="402">
        <v>0</v>
      </c>
      <c r="U17" s="402">
        <v>0</v>
      </c>
      <c r="V17" s="402">
        <v>0</v>
      </c>
      <c r="W17" s="402">
        <v>0</v>
      </c>
      <c r="X17" s="402">
        <v>35195</v>
      </c>
      <c r="Y17" s="402">
        <v>706773.48764792364</v>
      </c>
      <c r="Z17" s="402">
        <v>366635.00573162723</v>
      </c>
      <c r="AA17" s="402">
        <v>4000</v>
      </c>
      <c r="AB17" s="402">
        <v>139860.61494465364</v>
      </c>
      <c r="AC17" s="402">
        <v>25817.200933596672</v>
      </c>
      <c r="AD17" s="402">
        <v>55377.619843276036</v>
      </c>
      <c r="AE17" s="402">
        <v>34808.058120728798</v>
      </c>
      <c r="AF17" s="402">
        <v>7297.5313858031677</v>
      </c>
      <c r="AG17" s="402">
        <v>3074</v>
      </c>
      <c r="AH17" s="402">
        <v>5000</v>
      </c>
      <c r="AI17" s="402">
        <v>1810</v>
      </c>
      <c r="AJ17" s="402">
        <v>0</v>
      </c>
      <c r="AK17" s="402">
        <v>9000</v>
      </c>
      <c r="AL17" s="402">
        <v>2682</v>
      </c>
      <c r="AM17" s="402">
        <v>2000</v>
      </c>
      <c r="AN17" s="402">
        <v>2000</v>
      </c>
      <c r="AO17" s="402">
        <v>18950</v>
      </c>
      <c r="AP17" s="402">
        <v>0</v>
      </c>
      <c r="AQ17" s="402">
        <v>3635</v>
      </c>
      <c r="AR17" s="402">
        <v>22084.47</v>
      </c>
      <c r="AS17" s="402">
        <v>21425</v>
      </c>
      <c r="AT17" s="402">
        <v>0</v>
      </c>
      <c r="AU17" s="402">
        <v>5350</v>
      </c>
      <c r="AV17" s="402">
        <v>2805</v>
      </c>
      <c r="AW17" s="402">
        <v>4842</v>
      </c>
      <c r="AX17" s="402">
        <v>21750</v>
      </c>
      <c r="AY17" s="402">
        <v>0</v>
      </c>
      <c r="AZ17" s="402">
        <v>3500</v>
      </c>
      <c r="BA17" s="402">
        <v>10639</v>
      </c>
      <c r="BB17" s="402">
        <v>0</v>
      </c>
      <c r="BC17" s="402">
        <v>0</v>
      </c>
      <c r="BD17" s="402">
        <v>0</v>
      </c>
      <c r="BE17" s="402">
        <v>774342.50095968542</v>
      </c>
      <c r="BF17" s="402">
        <v>-67569.013311761781</v>
      </c>
      <c r="BG17" s="402">
        <v>92502.149999999907</v>
      </c>
      <c r="BH17" s="402">
        <v>24933.136688238126</v>
      </c>
      <c r="BI17" s="402">
        <v>0</v>
      </c>
      <c r="BJ17" s="402">
        <v>0</v>
      </c>
      <c r="BK17" s="402">
        <v>0</v>
      </c>
      <c r="BL17" s="402">
        <v>0</v>
      </c>
      <c r="BM17" s="402">
        <v>0</v>
      </c>
      <c r="BN17" s="402">
        <v>0</v>
      </c>
      <c r="BO17" s="402">
        <v>0</v>
      </c>
      <c r="BP17" s="402">
        <v>0</v>
      </c>
      <c r="BQ17" s="402">
        <v>0</v>
      </c>
      <c r="BR17" s="402">
        <v>0</v>
      </c>
      <c r="BS17" s="402">
        <v>24933.136688238126</v>
      </c>
      <c r="BT17" s="402">
        <v>0</v>
      </c>
      <c r="BU17" s="402">
        <v>24933.136688238126</v>
      </c>
      <c r="BV17" s="402">
        <v>5102.5</v>
      </c>
      <c r="BW17" s="402">
        <v>0</v>
      </c>
      <c r="BX17" s="402">
        <v>0</v>
      </c>
      <c r="BY17" s="402">
        <v>5102.5</v>
      </c>
      <c r="BZ17" s="402">
        <v>0</v>
      </c>
      <c r="CA17" s="402">
        <v>5102.5</v>
      </c>
      <c r="CB17" s="402">
        <v>0</v>
      </c>
      <c r="CC17" s="402">
        <v>0</v>
      </c>
      <c r="CD17" s="402">
        <v>5102.5</v>
      </c>
      <c r="CE17" s="402">
        <v>0</v>
      </c>
      <c r="CF17" s="402">
        <v>16870.53</v>
      </c>
      <c r="CG17" s="402">
        <v>16870.53</v>
      </c>
      <c r="CH17" s="402">
        <f>VLOOKUP($B17,'Data - CFR 2024-25'!$B$4:$CJ$127,85,0)</f>
        <v>16870.53</v>
      </c>
      <c r="CI17" s="402">
        <f>VLOOKUP($B17,'Data - CFR 2024-25'!$B$4:$CJ$127,86,0)</f>
        <v>0</v>
      </c>
      <c r="CJ17" s="402">
        <f>VLOOKUP($B17,'Data - CFR 2024-25'!$B$4:$CJ$127,87,0)</f>
        <v>16870.53</v>
      </c>
    </row>
    <row r="18" spans="1:88" s="220" customFormat="1" ht="13.8">
      <c r="A18" s="252" t="s">
        <v>1384</v>
      </c>
      <c r="B18" s="288">
        <v>1005</v>
      </c>
      <c r="C18" s="288" t="s">
        <v>723</v>
      </c>
      <c r="D18" s="248" t="s">
        <v>724</v>
      </c>
      <c r="E18" s="399"/>
      <c r="F18" s="402">
        <v>541903</v>
      </c>
      <c r="G18" s="402">
        <v>0</v>
      </c>
      <c r="H18" s="402">
        <v>30000</v>
      </c>
      <c r="I18" s="402">
        <v>0</v>
      </c>
      <c r="J18" s="402">
        <v>0</v>
      </c>
      <c r="K18" s="402">
        <v>0</v>
      </c>
      <c r="L18" s="402">
        <v>0</v>
      </c>
      <c r="M18" s="402">
        <v>0</v>
      </c>
      <c r="N18" s="402">
        <v>1500</v>
      </c>
      <c r="O18" s="402">
        <v>0</v>
      </c>
      <c r="P18" s="402">
        <v>0</v>
      </c>
      <c r="Q18" s="402">
        <v>0</v>
      </c>
      <c r="R18" s="402">
        <v>0</v>
      </c>
      <c r="S18" s="402">
        <v>4000</v>
      </c>
      <c r="T18" s="402">
        <v>0</v>
      </c>
      <c r="U18" s="402">
        <v>0</v>
      </c>
      <c r="V18" s="402">
        <v>0</v>
      </c>
      <c r="W18" s="402">
        <v>0</v>
      </c>
      <c r="X18" s="402">
        <v>0</v>
      </c>
      <c r="Y18" s="402">
        <v>577403</v>
      </c>
      <c r="Z18" s="402">
        <v>230418.68565678352</v>
      </c>
      <c r="AA18" s="402">
        <v>0</v>
      </c>
      <c r="AB18" s="402">
        <v>128029.30714302162</v>
      </c>
      <c r="AC18" s="402">
        <v>0</v>
      </c>
      <c r="AD18" s="402">
        <v>66270.399108971033</v>
      </c>
      <c r="AE18" s="402">
        <v>0</v>
      </c>
      <c r="AF18" s="402">
        <v>58364.555587582865</v>
      </c>
      <c r="AG18" s="402">
        <v>3000</v>
      </c>
      <c r="AH18" s="402">
        <v>2000</v>
      </c>
      <c r="AI18" s="402">
        <v>3125</v>
      </c>
      <c r="AJ18" s="402">
        <v>0</v>
      </c>
      <c r="AK18" s="402">
        <v>6000</v>
      </c>
      <c r="AL18" s="402">
        <v>150</v>
      </c>
      <c r="AM18" s="402">
        <v>17824</v>
      </c>
      <c r="AN18" s="402">
        <v>1809.15</v>
      </c>
      <c r="AO18" s="402">
        <v>11212.95</v>
      </c>
      <c r="AP18" s="402">
        <v>8982</v>
      </c>
      <c r="AQ18" s="402">
        <v>1470</v>
      </c>
      <c r="AR18" s="402">
        <v>4000</v>
      </c>
      <c r="AS18" s="402">
        <v>14234.4</v>
      </c>
      <c r="AT18" s="402">
        <v>0</v>
      </c>
      <c r="AU18" s="402">
        <v>1500</v>
      </c>
      <c r="AV18" s="402">
        <v>2067.92</v>
      </c>
      <c r="AW18" s="402">
        <v>0</v>
      </c>
      <c r="AX18" s="402">
        <v>1980</v>
      </c>
      <c r="AY18" s="402">
        <v>0</v>
      </c>
      <c r="AZ18" s="402">
        <v>0</v>
      </c>
      <c r="BA18" s="402">
        <v>11675.76</v>
      </c>
      <c r="BB18" s="402">
        <v>0</v>
      </c>
      <c r="BC18" s="402">
        <v>0</v>
      </c>
      <c r="BD18" s="402">
        <v>0</v>
      </c>
      <c r="BE18" s="402">
        <v>574114.12749635905</v>
      </c>
      <c r="BF18" s="402">
        <v>3288.8725036409451</v>
      </c>
      <c r="BG18" s="402">
        <v>-67373.260000000286</v>
      </c>
      <c r="BH18" s="402">
        <v>-64084.387496359341</v>
      </c>
      <c r="BI18" s="402">
        <v>0</v>
      </c>
      <c r="BJ18" s="402">
        <v>150000</v>
      </c>
      <c r="BK18" s="402">
        <v>150000</v>
      </c>
      <c r="BL18" s="402">
        <v>120508.55775562923</v>
      </c>
      <c r="BM18" s="402">
        <v>28923.5</v>
      </c>
      <c r="BN18" s="402">
        <v>149432.05775562924</v>
      </c>
      <c r="BO18" s="402">
        <v>567.942244370759</v>
      </c>
      <c r="BP18" s="402">
        <v>305004.52</v>
      </c>
      <c r="BQ18" s="402">
        <v>305572.46224437078</v>
      </c>
      <c r="BR18" s="402">
        <v>0</v>
      </c>
      <c r="BS18" s="402">
        <v>-64084.387496359341</v>
      </c>
      <c r="BT18" s="402">
        <v>305572.46224437078</v>
      </c>
      <c r="BU18" s="402">
        <v>241488.07474801142</v>
      </c>
      <c r="BV18" s="402">
        <v>4563</v>
      </c>
      <c r="BW18" s="402">
        <v>0</v>
      </c>
      <c r="BX18" s="402">
        <v>0</v>
      </c>
      <c r="BY18" s="402">
        <v>4563</v>
      </c>
      <c r="BZ18" s="402">
        <v>0</v>
      </c>
      <c r="CA18" s="402">
        <v>8000</v>
      </c>
      <c r="CB18" s="402">
        <v>0</v>
      </c>
      <c r="CC18" s="402">
        <v>0</v>
      </c>
      <c r="CD18" s="402">
        <v>8000</v>
      </c>
      <c r="CE18" s="402">
        <v>-3437</v>
      </c>
      <c r="CF18" s="402">
        <v>5601.5</v>
      </c>
      <c r="CG18" s="402">
        <v>2164.5</v>
      </c>
      <c r="CH18" s="402">
        <f>VLOOKUP($B18,'Data - CFR 2024-25'!$B$4:$CJ$127,85,0)</f>
        <v>5601.5</v>
      </c>
      <c r="CI18" s="402">
        <f>VLOOKUP($B18,'Data - CFR 2024-25'!$B$4:$CJ$127,86,0)</f>
        <v>0</v>
      </c>
      <c r="CJ18" s="402">
        <f>VLOOKUP($B18,'Data - CFR 2024-25'!$B$4:$CJ$127,87,0)</f>
        <v>5601.5</v>
      </c>
    </row>
    <row r="19" spans="1:88" s="220" customFormat="1" ht="13.8">
      <c r="A19" s="252" t="s">
        <v>1384</v>
      </c>
      <c r="B19" s="288">
        <v>2327</v>
      </c>
      <c r="C19" s="288" t="s">
        <v>725</v>
      </c>
      <c r="D19" s="248" t="s">
        <v>708</v>
      </c>
      <c r="E19" s="399"/>
      <c r="F19" s="402">
        <v>1923559.6298713617</v>
      </c>
      <c r="G19" s="402">
        <v>0</v>
      </c>
      <c r="H19" s="402">
        <v>30997</v>
      </c>
      <c r="I19" s="402">
        <v>0</v>
      </c>
      <c r="J19" s="402">
        <v>129755</v>
      </c>
      <c r="K19" s="402">
        <v>0</v>
      </c>
      <c r="L19" s="402">
        <v>0</v>
      </c>
      <c r="M19" s="402">
        <v>5700</v>
      </c>
      <c r="N19" s="402">
        <v>1000</v>
      </c>
      <c r="O19" s="402">
        <v>36556.199999999997</v>
      </c>
      <c r="P19" s="402">
        <v>0</v>
      </c>
      <c r="Q19" s="402">
        <v>0</v>
      </c>
      <c r="R19" s="402">
        <v>0</v>
      </c>
      <c r="S19" s="402">
        <v>0</v>
      </c>
      <c r="T19" s="402">
        <v>0</v>
      </c>
      <c r="U19" s="402">
        <v>0</v>
      </c>
      <c r="V19" s="402">
        <v>0</v>
      </c>
      <c r="W19" s="402">
        <v>0</v>
      </c>
      <c r="X19" s="402">
        <v>70296</v>
      </c>
      <c r="Y19" s="402">
        <v>2197863.8298713616</v>
      </c>
      <c r="Z19" s="402">
        <v>1200110.751762765</v>
      </c>
      <c r="AA19" s="402">
        <v>41838.14</v>
      </c>
      <c r="AB19" s="402">
        <v>315627.74823217664</v>
      </c>
      <c r="AC19" s="402">
        <v>36351.154223513513</v>
      </c>
      <c r="AD19" s="402">
        <v>139699.52289172608</v>
      </c>
      <c r="AE19" s="402">
        <v>0</v>
      </c>
      <c r="AF19" s="402">
        <v>27242.422400290448</v>
      </c>
      <c r="AG19" s="402">
        <v>7342</v>
      </c>
      <c r="AH19" s="402">
        <v>3015</v>
      </c>
      <c r="AI19" s="402">
        <v>0</v>
      </c>
      <c r="AJ19" s="402">
        <v>5752</v>
      </c>
      <c r="AK19" s="402">
        <v>16000</v>
      </c>
      <c r="AL19" s="402">
        <v>6210</v>
      </c>
      <c r="AM19" s="402">
        <v>52323</v>
      </c>
      <c r="AN19" s="402">
        <v>5522.9</v>
      </c>
      <c r="AO19" s="402">
        <v>105201</v>
      </c>
      <c r="AP19" s="402">
        <v>0</v>
      </c>
      <c r="AQ19" s="402">
        <v>12805</v>
      </c>
      <c r="AR19" s="402">
        <v>44969.009999999995</v>
      </c>
      <c r="AS19" s="402">
        <v>42436.71</v>
      </c>
      <c r="AT19" s="402">
        <v>0</v>
      </c>
      <c r="AU19" s="402">
        <v>9432.48</v>
      </c>
      <c r="AV19" s="402">
        <v>10551</v>
      </c>
      <c r="AW19" s="402">
        <v>0</v>
      </c>
      <c r="AX19" s="402">
        <v>113246.39999999999</v>
      </c>
      <c r="AY19" s="402">
        <v>29947.85</v>
      </c>
      <c r="AZ19" s="402">
        <v>15000</v>
      </c>
      <c r="BA19" s="402">
        <v>21358.92</v>
      </c>
      <c r="BB19" s="402">
        <v>0</v>
      </c>
      <c r="BC19" s="402">
        <v>0</v>
      </c>
      <c r="BD19" s="402">
        <v>0</v>
      </c>
      <c r="BE19" s="402">
        <v>2261983.0095104715</v>
      </c>
      <c r="BF19" s="402">
        <v>-64119.179639109876</v>
      </c>
      <c r="BG19" s="402">
        <v>190734.40000000078</v>
      </c>
      <c r="BH19" s="402">
        <v>126615.2203608909</v>
      </c>
      <c r="BI19" s="402">
        <v>0</v>
      </c>
      <c r="BJ19" s="402">
        <v>0</v>
      </c>
      <c r="BK19" s="402">
        <v>0</v>
      </c>
      <c r="BL19" s="402">
        <v>0</v>
      </c>
      <c r="BM19" s="402">
        <v>0</v>
      </c>
      <c r="BN19" s="402">
        <v>0</v>
      </c>
      <c r="BO19" s="402">
        <v>0</v>
      </c>
      <c r="BP19" s="402">
        <v>0</v>
      </c>
      <c r="BQ19" s="402">
        <v>0</v>
      </c>
      <c r="BR19" s="402">
        <v>0</v>
      </c>
      <c r="BS19" s="402">
        <v>126615.2203608909</v>
      </c>
      <c r="BT19" s="402">
        <v>0</v>
      </c>
      <c r="BU19" s="402">
        <v>126615.2203608909</v>
      </c>
      <c r="BV19" s="402">
        <v>8264</v>
      </c>
      <c r="BW19" s="402">
        <v>0</v>
      </c>
      <c r="BX19" s="402">
        <v>0</v>
      </c>
      <c r="BY19" s="402">
        <v>8264</v>
      </c>
      <c r="BZ19" s="402">
        <v>0</v>
      </c>
      <c r="CA19" s="402">
        <v>45573.91</v>
      </c>
      <c r="CB19" s="402">
        <v>0</v>
      </c>
      <c r="CC19" s="402">
        <v>0</v>
      </c>
      <c r="CD19" s="402">
        <v>45573.91</v>
      </c>
      <c r="CE19" s="402">
        <v>-37309.910000000003</v>
      </c>
      <c r="CF19" s="402">
        <v>37309.910000000003</v>
      </c>
      <c r="CG19" s="402">
        <v>0</v>
      </c>
      <c r="CH19" s="402">
        <f>VLOOKUP($B19,'Data - CFR 2024-25'!$B$4:$CJ$127,85,0)</f>
        <v>37309.910000000003</v>
      </c>
      <c r="CI19" s="402">
        <f>VLOOKUP($B19,'Data - CFR 2024-25'!$B$4:$CJ$127,86,0)</f>
        <v>0</v>
      </c>
      <c r="CJ19" s="402">
        <f>VLOOKUP($B19,'Data - CFR 2024-25'!$B$4:$CJ$127,87,0)</f>
        <v>37309.910000000003</v>
      </c>
    </row>
    <row r="20" spans="1:88" s="220" customFormat="1" ht="13.8">
      <c r="A20" s="252" t="s">
        <v>1384</v>
      </c>
      <c r="B20" s="288">
        <v>2452</v>
      </c>
      <c r="C20" s="288" t="s">
        <v>726</v>
      </c>
      <c r="D20" s="248" t="s">
        <v>708</v>
      </c>
      <c r="E20" s="399"/>
      <c r="F20" s="402">
        <v>2015078.5732784225</v>
      </c>
      <c r="G20" s="402">
        <v>0</v>
      </c>
      <c r="H20" s="402">
        <v>70000</v>
      </c>
      <c r="I20" s="402">
        <v>0</v>
      </c>
      <c r="J20" s="402">
        <v>146855</v>
      </c>
      <c r="K20" s="402">
        <v>0</v>
      </c>
      <c r="L20" s="402">
        <v>2500</v>
      </c>
      <c r="M20" s="402">
        <v>20000</v>
      </c>
      <c r="N20" s="402">
        <v>92250</v>
      </c>
      <c r="O20" s="402">
        <v>55500</v>
      </c>
      <c r="P20" s="402">
        <v>0</v>
      </c>
      <c r="Q20" s="402">
        <v>0</v>
      </c>
      <c r="R20" s="402">
        <v>0</v>
      </c>
      <c r="S20" s="402">
        <v>0</v>
      </c>
      <c r="T20" s="402">
        <v>0</v>
      </c>
      <c r="U20" s="402">
        <v>0</v>
      </c>
      <c r="V20" s="402">
        <v>0</v>
      </c>
      <c r="W20" s="402">
        <v>0</v>
      </c>
      <c r="X20" s="402">
        <v>81575</v>
      </c>
      <c r="Y20" s="402">
        <v>2483758.5732784225</v>
      </c>
      <c r="Z20" s="402">
        <v>1290259.993370912</v>
      </c>
      <c r="AA20" s="402">
        <v>2500</v>
      </c>
      <c r="AB20" s="402">
        <v>546524.27477372042</v>
      </c>
      <c r="AC20" s="402">
        <v>70275.402222800083</v>
      </c>
      <c r="AD20" s="402">
        <v>121621.73307962772</v>
      </c>
      <c r="AE20" s="402">
        <v>54167.812350584514</v>
      </c>
      <c r="AF20" s="402">
        <v>94783.416006745232</v>
      </c>
      <c r="AG20" s="402">
        <v>8450</v>
      </c>
      <c r="AH20" s="402">
        <v>7000</v>
      </c>
      <c r="AI20" s="402">
        <v>9500</v>
      </c>
      <c r="AJ20" s="402">
        <v>500</v>
      </c>
      <c r="AK20" s="402">
        <v>13000</v>
      </c>
      <c r="AL20" s="402">
        <v>3900</v>
      </c>
      <c r="AM20" s="402">
        <v>3250</v>
      </c>
      <c r="AN20" s="402">
        <v>5500</v>
      </c>
      <c r="AO20" s="402">
        <v>34000</v>
      </c>
      <c r="AP20" s="402">
        <v>0</v>
      </c>
      <c r="AQ20" s="402">
        <v>16510</v>
      </c>
      <c r="AR20" s="402">
        <v>40900</v>
      </c>
      <c r="AS20" s="402">
        <v>43700</v>
      </c>
      <c r="AT20" s="402">
        <v>0</v>
      </c>
      <c r="AU20" s="402">
        <v>14605</v>
      </c>
      <c r="AV20" s="402">
        <v>11340</v>
      </c>
      <c r="AW20" s="402">
        <v>2900</v>
      </c>
      <c r="AX20" s="402">
        <v>30500</v>
      </c>
      <c r="AY20" s="402">
        <v>10000</v>
      </c>
      <c r="AZ20" s="402">
        <v>17700</v>
      </c>
      <c r="BA20" s="402">
        <v>18390.72</v>
      </c>
      <c r="BB20" s="402">
        <v>0</v>
      </c>
      <c r="BC20" s="402">
        <v>0</v>
      </c>
      <c r="BD20" s="402">
        <v>4935</v>
      </c>
      <c r="BE20" s="402">
        <v>2476713.3518043901</v>
      </c>
      <c r="BF20" s="402">
        <v>7045.2214740323834</v>
      </c>
      <c r="BG20" s="402">
        <v>-6519.7299999996649</v>
      </c>
      <c r="BH20" s="402">
        <v>525.49147403271854</v>
      </c>
      <c r="BI20" s="402">
        <v>0</v>
      </c>
      <c r="BJ20" s="402">
        <v>0</v>
      </c>
      <c r="BK20" s="402">
        <v>0</v>
      </c>
      <c r="BL20" s="402">
        <v>0</v>
      </c>
      <c r="BM20" s="402">
        <v>0</v>
      </c>
      <c r="BN20" s="402">
        <v>0</v>
      </c>
      <c r="BO20" s="402">
        <v>0</v>
      </c>
      <c r="BP20" s="402">
        <v>0</v>
      </c>
      <c r="BQ20" s="402">
        <v>0</v>
      </c>
      <c r="BR20" s="402">
        <v>0</v>
      </c>
      <c r="BS20" s="402">
        <v>525.49147403271854</v>
      </c>
      <c r="BT20" s="402">
        <v>0</v>
      </c>
      <c r="BU20" s="402">
        <v>525.49147403271854</v>
      </c>
      <c r="BV20" s="402">
        <v>8275</v>
      </c>
      <c r="BW20" s="402">
        <v>0</v>
      </c>
      <c r="BX20" s="402">
        <v>0</v>
      </c>
      <c r="BY20" s="402">
        <v>8275</v>
      </c>
      <c r="BZ20" s="402">
        <v>0</v>
      </c>
      <c r="CA20" s="402">
        <v>8275</v>
      </c>
      <c r="CB20" s="402">
        <v>0</v>
      </c>
      <c r="CC20" s="402">
        <v>0</v>
      </c>
      <c r="CD20" s="402">
        <v>8275</v>
      </c>
      <c r="CE20" s="402">
        <v>0</v>
      </c>
      <c r="CF20" s="402">
        <v>1597.6999999999966</v>
      </c>
      <c r="CG20" s="402">
        <v>1597.6999999999966</v>
      </c>
      <c r="CH20" s="402">
        <f>VLOOKUP($B20,'Data - CFR 2024-25'!$B$4:$CJ$127,85,0)</f>
        <v>0</v>
      </c>
      <c r="CI20" s="402">
        <f>VLOOKUP($B20,'Data - CFR 2024-25'!$B$4:$CJ$127,86,0)</f>
        <v>1597.6999999999964</v>
      </c>
      <c r="CJ20" s="402">
        <f>VLOOKUP($B20,'Data - CFR 2024-25'!$B$4:$CJ$127,87,0)</f>
        <v>1597.6999999999964</v>
      </c>
    </row>
    <row r="21" spans="1:88" s="220" customFormat="1" ht="13.8">
      <c r="A21" s="252" t="s">
        <v>1384</v>
      </c>
      <c r="B21" s="288">
        <v>2004</v>
      </c>
      <c r="C21" s="288" t="s">
        <v>727</v>
      </c>
      <c r="D21" s="248" t="s">
        <v>708</v>
      </c>
      <c r="E21" s="399"/>
      <c r="F21" s="402">
        <v>1047875</v>
      </c>
      <c r="G21" s="402">
        <v>0</v>
      </c>
      <c r="H21" s="402">
        <v>10528</v>
      </c>
      <c r="I21" s="402">
        <v>0</v>
      </c>
      <c r="J21" s="402">
        <v>45050</v>
      </c>
      <c r="K21" s="402">
        <v>0</v>
      </c>
      <c r="L21" s="402">
        <v>0</v>
      </c>
      <c r="M21" s="402">
        <v>0</v>
      </c>
      <c r="N21" s="402">
        <v>100300</v>
      </c>
      <c r="O21" s="402">
        <v>25900</v>
      </c>
      <c r="P21" s="402">
        <v>0</v>
      </c>
      <c r="Q21" s="402">
        <v>0</v>
      </c>
      <c r="R21" s="402">
        <v>0</v>
      </c>
      <c r="S21" s="402">
        <v>0</v>
      </c>
      <c r="T21" s="402">
        <v>0</v>
      </c>
      <c r="U21" s="402">
        <v>0</v>
      </c>
      <c r="V21" s="402">
        <v>0</v>
      </c>
      <c r="W21" s="402">
        <v>0</v>
      </c>
      <c r="X21" s="402">
        <v>47094</v>
      </c>
      <c r="Y21" s="402">
        <v>1276747</v>
      </c>
      <c r="Z21" s="402">
        <v>677593</v>
      </c>
      <c r="AA21" s="402">
        <v>5500</v>
      </c>
      <c r="AB21" s="402">
        <v>159029</v>
      </c>
      <c r="AC21" s="402">
        <v>24970</v>
      </c>
      <c r="AD21" s="402">
        <v>67545</v>
      </c>
      <c r="AE21" s="402">
        <v>0</v>
      </c>
      <c r="AF21" s="402">
        <v>63187</v>
      </c>
      <c r="AG21" s="402">
        <v>5500</v>
      </c>
      <c r="AH21" s="402">
        <v>2500</v>
      </c>
      <c r="AI21" s="402">
        <v>4900</v>
      </c>
      <c r="AJ21" s="402">
        <v>125</v>
      </c>
      <c r="AK21" s="402">
        <v>35000</v>
      </c>
      <c r="AL21" s="402">
        <v>2640</v>
      </c>
      <c r="AM21" s="402">
        <v>20762</v>
      </c>
      <c r="AN21" s="402">
        <v>0</v>
      </c>
      <c r="AO21" s="402">
        <v>23750</v>
      </c>
      <c r="AP21" s="402">
        <v>0</v>
      </c>
      <c r="AQ21" s="402">
        <v>2565</v>
      </c>
      <c r="AR21" s="402">
        <v>23378</v>
      </c>
      <c r="AS21" s="402">
        <v>37631</v>
      </c>
      <c r="AT21" s="402">
        <v>0</v>
      </c>
      <c r="AU21" s="402">
        <v>9377</v>
      </c>
      <c r="AV21" s="402">
        <v>5537</v>
      </c>
      <c r="AW21" s="402">
        <v>2700</v>
      </c>
      <c r="AX21" s="402">
        <v>88292</v>
      </c>
      <c r="AY21" s="402">
        <v>3000</v>
      </c>
      <c r="AZ21" s="402">
        <v>16360</v>
      </c>
      <c r="BA21" s="402">
        <v>15468</v>
      </c>
      <c r="BB21" s="402">
        <v>0</v>
      </c>
      <c r="BC21" s="402">
        <v>0</v>
      </c>
      <c r="BD21" s="402">
        <v>0</v>
      </c>
      <c r="BE21" s="402">
        <v>1297310</v>
      </c>
      <c r="BF21" s="402">
        <v>-20563</v>
      </c>
      <c r="BG21" s="402">
        <v>34206</v>
      </c>
      <c r="BH21" s="402">
        <v>13643</v>
      </c>
      <c r="BI21" s="402">
        <v>0</v>
      </c>
      <c r="BJ21" s="402">
        <v>0</v>
      </c>
      <c r="BK21" s="402">
        <v>0</v>
      </c>
      <c r="BL21" s="402">
        <v>0</v>
      </c>
      <c r="BM21" s="402">
        <v>0</v>
      </c>
      <c r="BN21" s="402">
        <v>0</v>
      </c>
      <c r="BO21" s="402">
        <v>0</v>
      </c>
      <c r="BP21" s="402">
        <v>0</v>
      </c>
      <c r="BQ21" s="402">
        <v>0</v>
      </c>
      <c r="BR21" s="402">
        <v>0</v>
      </c>
      <c r="BS21" s="402">
        <v>13643</v>
      </c>
      <c r="BT21" s="402">
        <v>0</v>
      </c>
      <c r="BU21" s="402">
        <v>13643</v>
      </c>
      <c r="BV21" s="402">
        <v>6273</v>
      </c>
      <c r="BW21" s="402">
        <v>0</v>
      </c>
      <c r="BX21" s="402">
        <v>0</v>
      </c>
      <c r="BY21" s="402">
        <v>6273</v>
      </c>
      <c r="BZ21" s="402">
        <v>0</v>
      </c>
      <c r="CA21" s="402">
        <v>0</v>
      </c>
      <c r="CB21" s="402">
        <v>0</v>
      </c>
      <c r="CC21" s="402">
        <v>8262</v>
      </c>
      <c r="CD21" s="402">
        <v>8262</v>
      </c>
      <c r="CE21" s="402">
        <v>-1989</v>
      </c>
      <c r="CF21" s="402">
        <v>1990</v>
      </c>
      <c r="CG21" s="402">
        <v>1</v>
      </c>
      <c r="CH21" s="402">
        <f>VLOOKUP($B21,'Data - CFR 2024-25'!$B$4:$CJ$127,85,0)</f>
        <v>1989.8500000000008</v>
      </c>
      <c r="CI21" s="402">
        <f>VLOOKUP($B21,'Data - CFR 2024-25'!$B$4:$CJ$127,86,0)</f>
        <v>0</v>
      </c>
      <c r="CJ21" s="402">
        <f>VLOOKUP($B21,'Data - CFR 2024-25'!$B$4:$CJ$127,87,0)</f>
        <v>1989.8500000000008</v>
      </c>
    </row>
    <row r="22" spans="1:88" s="220" customFormat="1" ht="13.8">
      <c r="A22" s="252" t="s">
        <v>1384</v>
      </c>
      <c r="B22" s="288">
        <v>3008</v>
      </c>
      <c r="C22" s="288" t="s">
        <v>728</v>
      </c>
      <c r="D22" s="248" t="s">
        <v>708</v>
      </c>
      <c r="E22" s="399"/>
      <c r="F22" s="402">
        <v>771039.35474602156</v>
      </c>
      <c r="G22" s="402">
        <v>0</v>
      </c>
      <c r="H22" s="402">
        <v>6714</v>
      </c>
      <c r="I22" s="402">
        <v>0</v>
      </c>
      <c r="J22" s="402">
        <v>44650</v>
      </c>
      <c r="K22" s="402">
        <v>0</v>
      </c>
      <c r="L22" s="402">
        <v>0</v>
      </c>
      <c r="M22" s="402">
        <v>2000</v>
      </c>
      <c r="N22" s="402">
        <v>7500</v>
      </c>
      <c r="O22" s="402">
        <v>14000</v>
      </c>
      <c r="P22" s="402">
        <v>1400</v>
      </c>
      <c r="Q22" s="402">
        <v>0</v>
      </c>
      <c r="R22" s="402">
        <v>11400</v>
      </c>
      <c r="S22" s="402">
        <v>700</v>
      </c>
      <c r="T22" s="402">
        <v>0</v>
      </c>
      <c r="U22" s="402">
        <v>0</v>
      </c>
      <c r="V22" s="402">
        <v>0</v>
      </c>
      <c r="W22" s="402">
        <v>0</v>
      </c>
      <c r="X22" s="402">
        <v>36953</v>
      </c>
      <c r="Y22" s="402">
        <v>896356.35474602156</v>
      </c>
      <c r="Z22" s="402">
        <v>461805.84273907333</v>
      </c>
      <c r="AA22" s="402">
        <v>17000</v>
      </c>
      <c r="AB22" s="402">
        <v>116343.87576832807</v>
      </c>
      <c r="AC22" s="402">
        <v>32473.287739168398</v>
      </c>
      <c r="AD22" s="402">
        <v>42981.033248047323</v>
      </c>
      <c r="AE22" s="402">
        <v>0</v>
      </c>
      <c r="AF22" s="402">
        <v>18408.520707462609</v>
      </c>
      <c r="AG22" s="402">
        <v>3432</v>
      </c>
      <c r="AH22" s="402">
        <v>1000</v>
      </c>
      <c r="AI22" s="402">
        <v>1858.18</v>
      </c>
      <c r="AJ22" s="402">
        <v>0</v>
      </c>
      <c r="AK22" s="402">
        <v>9500</v>
      </c>
      <c r="AL22" s="402">
        <v>2000</v>
      </c>
      <c r="AM22" s="402">
        <v>2200</v>
      </c>
      <c r="AN22" s="402">
        <v>3000</v>
      </c>
      <c r="AO22" s="402">
        <v>20500</v>
      </c>
      <c r="AP22" s="402">
        <v>0</v>
      </c>
      <c r="AQ22" s="402">
        <v>4222</v>
      </c>
      <c r="AR22" s="402">
        <v>37285</v>
      </c>
      <c r="AS22" s="402">
        <v>21200</v>
      </c>
      <c r="AT22" s="402">
        <v>0</v>
      </c>
      <c r="AU22" s="402">
        <v>9690</v>
      </c>
      <c r="AV22" s="402">
        <v>3810</v>
      </c>
      <c r="AW22" s="402">
        <v>0</v>
      </c>
      <c r="AX22" s="402">
        <v>51547</v>
      </c>
      <c r="AY22" s="402">
        <v>6500</v>
      </c>
      <c r="AZ22" s="402">
        <v>0</v>
      </c>
      <c r="BA22" s="402">
        <v>13124.6</v>
      </c>
      <c r="BB22" s="402">
        <v>0</v>
      </c>
      <c r="BC22" s="402">
        <v>0</v>
      </c>
      <c r="BD22" s="402">
        <v>0</v>
      </c>
      <c r="BE22" s="402">
        <v>879881.34020207974</v>
      </c>
      <c r="BF22" s="402">
        <v>16475.014543941827</v>
      </c>
      <c r="BG22" s="402">
        <v>-4508.4000000002234</v>
      </c>
      <c r="BH22" s="402">
        <v>11966.614543941603</v>
      </c>
      <c r="BI22" s="402">
        <v>0</v>
      </c>
      <c r="BJ22" s="402">
        <v>0</v>
      </c>
      <c r="BK22" s="402">
        <v>0</v>
      </c>
      <c r="BL22" s="402">
        <v>0</v>
      </c>
      <c r="BM22" s="402">
        <v>0</v>
      </c>
      <c r="BN22" s="402">
        <v>0</v>
      </c>
      <c r="BO22" s="402">
        <v>0</v>
      </c>
      <c r="BP22" s="402">
        <v>0</v>
      </c>
      <c r="BQ22" s="402">
        <v>0</v>
      </c>
      <c r="BR22" s="402">
        <v>0</v>
      </c>
      <c r="BS22" s="402">
        <v>11966.614543941603</v>
      </c>
      <c r="BT22" s="402">
        <v>0</v>
      </c>
      <c r="BU22" s="402">
        <v>11966.614543941603</v>
      </c>
      <c r="BV22" s="402">
        <v>5530</v>
      </c>
      <c r="BW22" s="402">
        <v>0</v>
      </c>
      <c r="BX22" s="402">
        <v>0</v>
      </c>
      <c r="BY22" s="402">
        <v>5530</v>
      </c>
      <c r="BZ22" s="402">
        <v>0</v>
      </c>
      <c r="CA22" s="402">
        <v>21217.83</v>
      </c>
      <c r="CB22" s="402">
        <v>0</v>
      </c>
      <c r="CC22" s="402">
        <v>0</v>
      </c>
      <c r="CD22" s="402">
        <v>21217.83</v>
      </c>
      <c r="CE22" s="402">
        <v>-15687.830000000002</v>
      </c>
      <c r="CF22" s="402">
        <v>15687.83</v>
      </c>
      <c r="CG22" s="402">
        <v>0</v>
      </c>
      <c r="CH22" s="402">
        <f>VLOOKUP($B22,'Data - CFR 2024-25'!$B$4:$CJ$127,85,0)</f>
        <v>15687.83</v>
      </c>
      <c r="CI22" s="402">
        <f>VLOOKUP($B22,'Data - CFR 2024-25'!$B$4:$CJ$127,86,0)</f>
        <v>0</v>
      </c>
      <c r="CJ22" s="402">
        <f>VLOOKUP($B22,'Data - CFR 2024-25'!$B$4:$CJ$127,87,0)</f>
        <v>15687.83</v>
      </c>
    </row>
    <row r="23" spans="1:88" s="220" customFormat="1" ht="13.8">
      <c r="A23" s="252" t="s">
        <v>1384</v>
      </c>
      <c r="B23" s="288">
        <v>7026</v>
      </c>
      <c r="C23" s="288" t="s">
        <v>729</v>
      </c>
      <c r="D23" s="248" t="s">
        <v>730</v>
      </c>
      <c r="E23" s="399"/>
      <c r="F23" s="402">
        <v>3039725</v>
      </c>
      <c r="G23" s="402">
        <v>426100</v>
      </c>
      <c r="H23" s="402">
        <v>2940074.61</v>
      </c>
      <c r="I23" s="402">
        <v>0</v>
      </c>
      <c r="J23" s="402">
        <v>106825</v>
      </c>
      <c r="K23" s="402">
        <v>0</v>
      </c>
      <c r="L23" s="402">
        <v>0</v>
      </c>
      <c r="M23" s="402">
        <v>0</v>
      </c>
      <c r="N23" s="402">
        <v>19526</v>
      </c>
      <c r="O23" s="402">
        <v>22590</v>
      </c>
      <c r="P23" s="402">
        <v>0</v>
      </c>
      <c r="Q23" s="402">
        <v>0</v>
      </c>
      <c r="R23" s="402">
        <v>0</v>
      </c>
      <c r="S23" s="402">
        <v>0</v>
      </c>
      <c r="T23" s="402">
        <v>0</v>
      </c>
      <c r="U23" s="402">
        <v>0</v>
      </c>
      <c r="V23" s="402">
        <v>0</v>
      </c>
      <c r="W23" s="402">
        <v>0</v>
      </c>
      <c r="X23" s="402">
        <v>26235</v>
      </c>
      <c r="Y23" s="402">
        <v>6581075.6099999994</v>
      </c>
      <c r="Z23" s="402">
        <v>2772886.5645595822</v>
      </c>
      <c r="AA23" s="402">
        <v>11542.5</v>
      </c>
      <c r="AB23" s="402">
        <v>3512432.8011045898</v>
      </c>
      <c r="AC23" s="402">
        <v>80229.395963243238</v>
      </c>
      <c r="AD23" s="402">
        <v>196515.69614145378</v>
      </c>
      <c r="AE23" s="402">
        <v>0</v>
      </c>
      <c r="AF23" s="402">
        <v>179510.69469440641</v>
      </c>
      <c r="AG23" s="402">
        <v>29040.9</v>
      </c>
      <c r="AH23" s="402">
        <v>21326.6</v>
      </c>
      <c r="AI23" s="402">
        <v>0</v>
      </c>
      <c r="AJ23" s="402">
        <v>0</v>
      </c>
      <c r="AK23" s="402">
        <v>80708.899999999994</v>
      </c>
      <c r="AL23" s="402">
        <v>2757.5</v>
      </c>
      <c r="AM23" s="402">
        <v>105633.7</v>
      </c>
      <c r="AN23" s="402">
        <v>14000</v>
      </c>
      <c r="AO23" s="402">
        <v>105000</v>
      </c>
      <c r="AP23" s="402">
        <v>0</v>
      </c>
      <c r="AQ23" s="402">
        <v>30644</v>
      </c>
      <c r="AR23" s="402">
        <v>83287.290000000008</v>
      </c>
      <c r="AS23" s="402">
        <v>91232.200000000012</v>
      </c>
      <c r="AT23" s="402">
        <v>4060</v>
      </c>
      <c r="AU23" s="402">
        <v>20423.899999999998</v>
      </c>
      <c r="AV23" s="402">
        <v>16150</v>
      </c>
      <c r="AW23" s="402">
        <v>54961.4</v>
      </c>
      <c r="AX23" s="402">
        <v>81304.92</v>
      </c>
      <c r="AY23" s="402">
        <v>0</v>
      </c>
      <c r="AZ23" s="402">
        <v>383413.8</v>
      </c>
      <c r="BA23" s="402">
        <v>50041.689999999995</v>
      </c>
      <c r="BB23" s="402">
        <v>0</v>
      </c>
      <c r="BC23" s="402">
        <v>3314.54</v>
      </c>
      <c r="BD23" s="402">
        <v>8651</v>
      </c>
      <c r="BE23" s="402">
        <v>7939069.9924632767</v>
      </c>
      <c r="BF23" s="402">
        <v>-1357994.3824632773</v>
      </c>
      <c r="BG23" s="402">
        <v>-921025.14999999735</v>
      </c>
      <c r="BH23" s="402">
        <v>-2279019.5324632749</v>
      </c>
      <c r="BI23" s="402">
        <v>0</v>
      </c>
      <c r="BJ23" s="402">
        <v>0</v>
      </c>
      <c r="BK23" s="402">
        <v>0</v>
      </c>
      <c r="BL23" s="402">
        <v>0</v>
      </c>
      <c r="BM23" s="402">
        <v>0</v>
      </c>
      <c r="BN23" s="402">
        <v>0</v>
      </c>
      <c r="BO23" s="402">
        <v>0</v>
      </c>
      <c r="BP23" s="402">
        <v>0</v>
      </c>
      <c r="BQ23" s="402">
        <v>0</v>
      </c>
      <c r="BR23" s="402">
        <v>0</v>
      </c>
      <c r="BS23" s="402">
        <v>-2279019.5324632749</v>
      </c>
      <c r="BT23" s="402">
        <v>0</v>
      </c>
      <c r="BU23" s="402">
        <v>-2279019.5324632749</v>
      </c>
      <c r="BV23" s="402">
        <v>16049</v>
      </c>
      <c r="BW23" s="402">
        <v>0</v>
      </c>
      <c r="BX23" s="402">
        <v>0</v>
      </c>
      <c r="BY23" s="402">
        <v>16049</v>
      </c>
      <c r="BZ23" s="402">
        <v>0</v>
      </c>
      <c r="CA23" s="402">
        <v>16049</v>
      </c>
      <c r="CB23" s="402">
        <v>0</v>
      </c>
      <c r="CC23" s="402">
        <v>0</v>
      </c>
      <c r="CD23" s="402">
        <v>16049</v>
      </c>
      <c r="CE23" s="402">
        <v>0</v>
      </c>
      <c r="CF23" s="402">
        <v>0</v>
      </c>
      <c r="CG23" s="402">
        <v>0</v>
      </c>
      <c r="CH23" s="402">
        <f>VLOOKUP($B23,'Data - CFR 2024-25'!$B$4:$CJ$127,85,0)</f>
        <v>0</v>
      </c>
      <c r="CI23" s="402">
        <f>VLOOKUP($B23,'Data - CFR 2024-25'!$B$4:$CJ$127,86,0)</f>
        <v>0</v>
      </c>
      <c r="CJ23" s="402">
        <f>VLOOKUP($B23,'Data - CFR 2024-25'!$B$4:$CJ$127,87,0)</f>
        <v>0</v>
      </c>
    </row>
    <row r="24" spans="1:88" s="220" customFormat="1" ht="13.8">
      <c r="A24" s="252" t="s">
        <v>1384</v>
      </c>
      <c r="B24" s="288">
        <v>3050</v>
      </c>
      <c r="C24" s="288" t="s">
        <v>731</v>
      </c>
      <c r="D24" s="248" t="s">
        <v>708</v>
      </c>
      <c r="E24" s="399"/>
      <c r="F24" s="402">
        <v>1068761</v>
      </c>
      <c r="G24" s="402">
        <v>0</v>
      </c>
      <c r="H24" s="402">
        <v>63249</v>
      </c>
      <c r="I24" s="402">
        <v>0</v>
      </c>
      <c r="J24" s="402">
        <v>60200</v>
      </c>
      <c r="K24" s="402">
        <v>0</v>
      </c>
      <c r="L24" s="402">
        <v>0</v>
      </c>
      <c r="M24" s="402">
        <v>2500</v>
      </c>
      <c r="N24" s="402">
        <v>4000</v>
      </c>
      <c r="O24" s="402">
        <v>17000</v>
      </c>
      <c r="P24" s="402">
        <v>0</v>
      </c>
      <c r="Q24" s="402">
        <v>0</v>
      </c>
      <c r="R24" s="402">
        <v>8000</v>
      </c>
      <c r="S24" s="402">
        <v>3500</v>
      </c>
      <c r="T24" s="402">
        <v>0</v>
      </c>
      <c r="U24" s="402">
        <v>0</v>
      </c>
      <c r="V24" s="402">
        <v>0</v>
      </c>
      <c r="W24" s="402">
        <v>0</v>
      </c>
      <c r="X24" s="402">
        <v>40930</v>
      </c>
      <c r="Y24" s="402">
        <v>1268140</v>
      </c>
      <c r="Z24" s="402">
        <v>645256</v>
      </c>
      <c r="AA24" s="402">
        <v>2000</v>
      </c>
      <c r="AB24" s="402">
        <v>302308</v>
      </c>
      <c r="AC24" s="402">
        <v>55875</v>
      </c>
      <c r="AD24" s="402">
        <v>90315</v>
      </c>
      <c r="AE24" s="402">
        <v>0</v>
      </c>
      <c r="AF24" s="402">
        <v>7430</v>
      </c>
      <c r="AG24" s="402">
        <v>4248</v>
      </c>
      <c r="AH24" s="402">
        <v>2000</v>
      </c>
      <c r="AI24" s="402">
        <v>3252</v>
      </c>
      <c r="AJ24" s="402">
        <v>0</v>
      </c>
      <c r="AK24" s="402">
        <v>5000</v>
      </c>
      <c r="AL24" s="402">
        <v>2250</v>
      </c>
      <c r="AM24" s="402">
        <v>1500</v>
      </c>
      <c r="AN24" s="402">
        <v>4000</v>
      </c>
      <c r="AO24" s="402">
        <v>20000</v>
      </c>
      <c r="AP24" s="402">
        <v>0</v>
      </c>
      <c r="AQ24" s="402">
        <v>21740</v>
      </c>
      <c r="AR24" s="402">
        <v>15261</v>
      </c>
      <c r="AS24" s="402">
        <v>21347</v>
      </c>
      <c r="AT24" s="402">
        <v>0</v>
      </c>
      <c r="AU24" s="402">
        <v>6350</v>
      </c>
      <c r="AV24" s="402">
        <v>4869</v>
      </c>
      <c r="AW24" s="402">
        <v>1500</v>
      </c>
      <c r="AX24" s="402">
        <v>60569</v>
      </c>
      <c r="AY24" s="402">
        <v>2000</v>
      </c>
      <c r="AZ24" s="402">
        <v>2500</v>
      </c>
      <c r="BA24" s="402">
        <v>15467</v>
      </c>
      <c r="BB24" s="402">
        <v>0</v>
      </c>
      <c r="BC24" s="402">
        <v>0</v>
      </c>
      <c r="BD24" s="402">
        <v>0</v>
      </c>
      <c r="BE24" s="402">
        <v>1297037</v>
      </c>
      <c r="BF24" s="402">
        <v>-28898</v>
      </c>
      <c r="BG24" s="402">
        <v>-17907</v>
      </c>
      <c r="BH24" s="402">
        <v>-46804</v>
      </c>
      <c r="BI24" s="402">
        <v>0</v>
      </c>
      <c r="BJ24" s="402">
        <v>0</v>
      </c>
      <c r="BK24" s="402">
        <v>0</v>
      </c>
      <c r="BL24" s="402">
        <v>0</v>
      </c>
      <c r="BM24" s="402">
        <v>0</v>
      </c>
      <c r="BN24" s="402">
        <v>0</v>
      </c>
      <c r="BO24" s="402">
        <v>0</v>
      </c>
      <c r="BP24" s="402">
        <v>0</v>
      </c>
      <c r="BQ24" s="402">
        <v>0</v>
      </c>
      <c r="BR24" s="402">
        <v>0</v>
      </c>
      <c r="BS24" s="402">
        <v>-46804</v>
      </c>
      <c r="BT24" s="402">
        <v>0</v>
      </c>
      <c r="BU24" s="402">
        <v>-46804</v>
      </c>
      <c r="BV24" s="402">
        <v>6021</v>
      </c>
      <c r="BW24" s="402">
        <v>0</v>
      </c>
      <c r="BX24" s="402">
        <v>0</v>
      </c>
      <c r="BY24" s="402">
        <v>6021</v>
      </c>
      <c r="BZ24" s="402">
        <v>0</v>
      </c>
      <c r="CA24" s="402">
        <v>15429</v>
      </c>
      <c r="CB24" s="402">
        <v>0</v>
      </c>
      <c r="CC24" s="402">
        <v>6021</v>
      </c>
      <c r="CD24" s="402">
        <v>21450</v>
      </c>
      <c r="CE24" s="402">
        <v>-15429</v>
      </c>
      <c r="CF24" s="402">
        <v>15429</v>
      </c>
      <c r="CG24" s="402">
        <v>0</v>
      </c>
      <c r="CH24" s="402">
        <f>VLOOKUP($B24,'Data - CFR 2024-25'!$B$4:$CJ$127,85,0)</f>
        <v>13221.78</v>
      </c>
      <c r="CI24" s="402">
        <f>VLOOKUP($B24,'Data - CFR 2024-25'!$B$4:$CJ$127,86,0)</f>
        <v>2207.06</v>
      </c>
      <c r="CJ24" s="402">
        <f>VLOOKUP($B24,'Data - CFR 2024-25'!$B$4:$CJ$127,87,0)</f>
        <v>15428.84</v>
      </c>
    </row>
    <row r="25" spans="1:88" s="220" customFormat="1" ht="13.8">
      <c r="A25" s="252" t="s">
        <v>1384</v>
      </c>
      <c r="B25" s="288">
        <v>3009</v>
      </c>
      <c r="C25" s="288" t="s">
        <v>732</v>
      </c>
      <c r="D25" s="248" t="s">
        <v>708</v>
      </c>
      <c r="E25" s="399"/>
      <c r="F25" s="402">
        <v>819608.8083757438</v>
      </c>
      <c r="G25" s="402">
        <v>0</v>
      </c>
      <c r="H25" s="402">
        <v>17600</v>
      </c>
      <c r="I25" s="402">
        <v>0</v>
      </c>
      <c r="J25" s="402">
        <v>41440</v>
      </c>
      <c r="K25" s="402">
        <v>0</v>
      </c>
      <c r="L25" s="402">
        <v>0</v>
      </c>
      <c r="M25" s="402">
        <v>0</v>
      </c>
      <c r="N25" s="402">
        <v>17400.010000000002</v>
      </c>
      <c r="O25" s="402">
        <v>12500</v>
      </c>
      <c r="P25" s="402">
        <v>0</v>
      </c>
      <c r="Q25" s="402">
        <v>0</v>
      </c>
      <c r="R25" s="402">
        <v>0</v>
      </c>
      <c r="S25" s="402">
        <v>0</v>
      </c>
      <c r="T25" s="402">
        <v>0</v>
      </c>
      <c r="U25" s="402">
        <v>0</v>
      </c>
      <c r="V25" s="402">
        <v>0</v>
      </c>
      <c r="W25" s="402">
        <v>0</v>
      </c>
      <c r="X25" s="402">
        <v>31680</v>
      </c>
      <c r="Y25" s="402">
        <v>940228.81837574381</v>
      </c>
      <c r="Z25" s="402">
        <v>518949.50061282545</v>
      </c>
      <c r="AA25" s="402">
        <v>6500</v>
      </c>
      <c r="AB25" s="402">
        <v>167142.7244580648</v>
      </c>
      <c r="AC25" s="402">
        <v>0</v>
      </c>
      <c r="AD25" s="402">
        <v>41152.462538282743</v>
      </c>
      <c r="AE25" s="402">
        <v>0</v>
      </c>
      <c r="AF25" s="402">
        <v>33440.186503916892</v>
      </c>
      <c r="AG25" s="402">
        <v>3259</v>
      </c>
      <c r="AH25" s="402">
        <v>3500</v>
      </c>
      <c r="AI25" s="402">
        <v>3675</v>
      </c>
      <c r="AJ25" s="402">
        <v>413</v>
      </c>
      <c r="AK25" s="402">
        <v>6500</v>
      </c>
      <c r="AL25" s="402">
        <v>3750</v>
      </c>
      <c r="AM25" s="402">
        <v>22553</v>
      </c>
      <c r="AN25" s="402">
        <v>6700</v>
      </c>
      <c r="AO25" s="402">
        <v>19100</v>
      </c>
      <c r="AP25" s="402">
        <v>0</v>
      </c>
      <c r="AQ25" s="402">
        <v>9610</v>
      </c>
      <c r="AR25" s="402">
        <v>27220</v>
      </c>
      <c r="AS25" s="402">
        <v>22847</v>
      </c>
      <c r="AT25" s="402">
        <v>0</v>
      </c>
      <c r="AU25" s="402">
        <v>8160.9699999999993</v>
      </c>
      <c r="AV25" s="402">
        <v>3800</v>
      </c>
      <c r="AW25" s="402">
        <v>600</v>
      </c>
      <c r="AX25" s="402">
        <v>51810</v>
      </c>
      <c r="AY25" s="402">
        <v>0</v>
      </c>
      <c r="AZ25" s="402">
        <v>0</v>
      </c>
      <c r="BA25" s="402">
        <v>12506</v>
      </c>
      <c r="BB25" s="402">
        <v>0</v>
      </c>
      <c r="BC25" s="402">
        <v>0</v>
      </c>
      <c r="BD25" s="402">
        <v>14073.74</v>
      </c>
      <c r="BE25" s="402">
        <v>987262.58411308972</v>
      </c>
      <c r="BF25" s="402">
        <v>-47033.765737345908</v>
      </c>
      <c r="BG25" s="402">
        <v>112643.96999999983</v>
      </c>
      <c r="BH25" s="402">
        <v>65610.204262653919</v>
      </c>
      <c r="BI25" s="402">
        <v>0</v>
      </c>
      <c r="BJ25" s="402">
        <v>0</v>
      </c>
      <c r="BK25" s="402">
        <v>0</v>
      </c>
      <c r="BL25" s="402">
        <v>0</v>
      </c>
      <c r="BM25" s="402">
        <v>0</v>
      </c>
      <c r="BN25" s="402">
        <v>0</v>
      </c>
      <c r="BO25" s="402">
        <v>0</v>
      </c>
      <c r="BP25" s="402">
        <v>0</v>
      </c>
      <c r="BQ25" s="402">
        <v>0</v>
      </c>
      <c r="BR25" s="402">
        <v>0</v>
      </c>
      <c r="BS25" s="402">
        <v>65610.204262653919</v>
      </c>
      <c r="BT25" s="402">
        <v>0</v>
      </c>
      <c r="BU25" s="402">
        <v>65610.204262653919</v>
      </c>
      <c r="BV25" s="402">
        <v>5643</v>
      </c>
      <c r="BW25" s="402">
        <v>14073.74</v>
      </c>
      <c r="BX25" s="402">
        <v>14073.74</v>
      </c>
      <c r="BY25" s="402">
        <v>33790.479999999996</v>
      </c>
      <c r="BZ25" s="402">
        <v>0</v>
      </c>
      <c r="CA25" s="402">
        <v>28037</v>
      </c>
      <c r="CB25" s="402">
        <v>10000</v>
      </c>
      <c r="CC25" s="402">
        <v>5000</v>
      </c>
      <c r="CD25" s="402">
        <v>43037</v>
      </c>
      <c r="CE25" s="402">
        <v>-9246.5200000000041</v>
      </c>
      <c r="CF25" s="402">
        <v>23320.26</v>
      </c>
      <c r="CG25" s="402">
        <v>14073.739999999994</v>
      </c>
      <c r="CH25" s="402">
        <f>VLOOKUP($B25,'Data - CFR 2024-25'!$B$4:$CJ$127,85,0)</f>
        <v>23320.26</v>
      </c>
      <c r="CI25" s="402">
        <f>VLOOKUP($B25,'Data - CFR 2024-25'!$B$4:$CJ$127,86,0)</f>
        <v>0</v>
      </c>
      <c r="CJ25" s="402">
        <f>VLOOKUP($B25,'Data - CFR 2024-25'!$B$4:$CJ$127,87,0)</f>
        <v>23320.26</v>
      </c>
    </row>
    <row r="26" spans="1:88" s="220" customFormat="1" ht="13.8">
      <c r="A26" s="252" t="s">
        <v>1384</v>
      </c>
      <c r="B26" s="288">
        <v>2091</v>
      </c>
      <c r="C26" s="288" t="s">
        <v>733</v>
      </c>
      <c r="D26" s="248" t="s">
        <v>708</v>
      </c>
      <c r="E26" s="399"/>
      <c r="F26" s="402">
        <v>1111343</v>
      </c>
      <c r="G26" s="402">
        <v>0</v>
      </c>
      <c r="H26" s="402">
        <v>63166</v>
      </c>
      <c r="I26" s="402">
        <v>0</v>
      </c>
      <c r="J26" s="402">
        <v>73435</v>
      </c>
      <c r="K26" s="402">
        <v>0</v>
      </c>
      <c r="L26" s="402">
        <v>1150</v>
      </c>
      <c r="M26" s="402">
        <v>0</v>
      </c>
      <c r="N26" s="402">
        <v>3800</v>
      </c>
      <c r="O26" s="402">
        <v>0</v>
      </c>
      <c r="P26" s="402">
        <v>0</v>
      </c>
      <c r="Q26" s="402">
        <v>0</v>
      </c>
      <c r="R26" s="402">
        <v>2500</v>
      </c>
      <c r="S26" s="402">
        <v>0</v>
      </c>
      <c r="T26" s="402">
        <v>0</v>
      </c>
      <c r="U26" s="402">
        <v>0</v>
      </c>
      <c r="V26" s="402">
        <v>0</v>
      </c>
      <c r="W26" s="402">
        <v>0</v>
      </c>
      <c r="X26" s="402">
        <v>74268</v>
      </c>
      <c r="Y26" s="402">
        <v>1329662</v>
      </c>
      <c r="Z26" s="402">
        <v>589340</v>
      </c>
      <c r="AA26" s="402">
        <v>0</v>
      </c>
      <c r="AB26" s="402">
        <v>313099</v>
      </c>
      <c r="AC26" s="402">
        <v>61214</v>
      </c>
      <c r="AD26" s="402">
        <v>100107</v>
      </c>
      <c r="AE26" s="402">
        <v>0</v>
      </c>
      <c r="AF26" s="402">
        <v>16652</v>
      </c>
      <c r="AG26" s="402">
        <v>5500</v>
      </c>
      <c r="AH26" s="402">
        <v>6500</v>
      </c>
      <c r="AI26" s="402">
        <v>4175</v>
      </c>
      <c r="AJ26" s="402">
        <v>1652</v>
      </c>
      <c r="AK26" s="402">
        <v>5000</v>
      </c>
      <c r="AL26" s="402">
        <v>2500</v>
      </c>
      <c r="AM26" s="402">
        <v>4500</v>
      </c>
      <c r="AN26" s="402">
        <v>13000</v>
      </c>
      <c r="AO26" s="402">
        <v>40000</v>
      </c>
      <c r="AP26" s="402">
        <v>0</v>
      </c>
      <c r="AQ26" s="402">
        <v>14700</v>
      </c>
      <c r="AR26" s="402">
        <v>45013</v>
      </c>
      <c r="AS26" s="402">
        <v>36466</v>
      </c>
      <c r="AT26" s="402">
        <v>0</v>
      </c>
      <c r="AU26" s="402">
        <v>8504</v>
      </c>
      <c r="AV26" s="402">
        <v>5340</v>
      </c>
      <c r="AW26" s="402">
        <v>5693</v>
      </c>
      <c r="AX26" s="402">
        <v>68000</v>
      </c>
      <c r="AY26" s="402">
        <v>31000</v>
      </c>
      <c r="AZ26" s="402">
        <v>2625</v>
      </c>
      <c r="BA26" s="402">
        <v>11981</v>
      </c>
      <c r="BB26" s="402">
        <v>0</v>
      </c>
      <c r="BC26" s="402">
        <v>0</v>
      </c>
      <c r="BD26" s="402">
        <v>35000</v>
      </c>
      <c r="BE26" s="402">
        <v>1427560</v>
      </c>
      <c r="BF26" s="402">
        <v>-97898</v>
      </c>
      <c r="BG26" s="402">
        <v>240298</v>
      </c>
      <c r="BH26" s="402">
        <v>142400</v>
      </c>
      <c r="BI26" s="402">
        <v>0</v>
      </c>
      <c r="BJ26" s="402">
        <v>0</v>
      </c>
      <c r="BK26" s="402">
        <v>0</v>
      </c>
      <c r="BL26" s="402">
        <v>0</v>
      </c>
      <c r="BM26" s="402">
        <v>0</v>
      </c>
      <c r="BN26" s="402">
        <v>0</v>
      </c>
      <c r="BO26" s="402">
        <v>0</v>
      </c>
      <c r="BP26" s="402">
        <v>0</v>
      </c>
      <c r="BQ26" s="402">
        <v>0</v>
      </c>
      <c r="BR26" s="402">
        <v>0</v>
      </c>
      <c r="BS26" s="402">
        <v>142400</v>
      </c>
      <c r="BT26" s="402">
        <v>0</v>
      </c>
      <c r="BU26" s="402">
        <v>142400</v>
      </c>
      <c r="BV26" s="402">
        <v>5989</v>
      </c>
      <c r="BW26" s="402">
        <v>0</v>
      </c>
      <c r="BX26" s="402">
        <v>0</v>
      </c>
      <c r="BY26" s="402">
        <v>5989</v>
      </c>
      <c r="BZ26" s="402">
        <v>0</v>
      </c>
      <c r="CA26" s="402">
        <v>5989</v>
      </c>
      <c r="CB26" s="402">
        <v>0</v>
      </c>
      <c r="CC26" s="402">
        <v>0</v>
      </c>
      <c r="CD26" s="402">
        <v>5989</v>
      </c>
      <c r="CE26" s="402">
        <v>0</v>
      </c>
      <c r="CF26" s="402">
        <v>0</v>
      </c>
      <c r="CG26" s="402">
        <v>0</v>
      </c>
      <c r="CH26" s="402">
        <f>VLOOKUP($B26,'Data - CFR 2024-25'!$B$4:$CJ$127,85,0)</f>
        <v>0</v>
      </c>
      <c r="CI26" s="402">
        <f>VLOOKUP($B26,'Data - CFR 2024-25'!$B$4:$CJ$127,86,0)</f>
        <v>0</v>
      </c>
      <c r="CJ26" s="402">
        <f>VLOOKUP($B26,'Data - CFR 2024-25'!$B$4:$CJ$127,87,0)</f>
        <v>0</v>
      </c>
    </row>
    <row r="27" spans="1:88" s="220" customFormat="1" ht="13.8">
      <c r="A27" s="252" t="s">
        <v>1384</v>
      </c>
      <c r="B27" s="288">
        <v>2065</v>
      </c>
      <c r="C27" s="288" t="s">
        <v>734</v>
      </c>
      <c r="D27" s="248" t="s">
        <v>708</v>
      </c>
      <c r="E27" s="399"/>
      <c r="F27" s="402">
        <v>1029192.3497369844</v>
      </c>
      <c r="G27" s="402">
        <v>0</v>
      </c>
      <c r="H27" s="402">
        <v>86297.12</v>
      </c>
      <c r="I27" s="402">
        <v>0</v>
      </c>
      <c r="J27" s="402">
        <v>57470</v>
      </c>
      <c r="K27" s="402">
        <v>0</v>
      </c>
      <c r="L27" s="402">
        <v>0</v>
      </c>
      <c r="M27" s="402">
        <v>5000</v>
      </c>
      <c r="N27" s="402">
        <v>52730</v>
      </c>
      <c r="O27" s="402">
        <v>11000</v>
      </c>
      <c r="P27" s="402">
        <v>0</v>
      </c>
      <c r="Q27" s="402">
        <v>0</v>
      </c>
      <c r="R27" s="402">
        <v>500</v>
      </c>
      <c r="S27" s="402">
        <v>2000</v>
      </c>
      <c r="T27" s="402">
        <v>0</v>
      </c>
      <c r="U27" s="402">
        <v>0</v>
      </c>
      <c r="V27" s="402">
        <v>0</v>
      </c>
      <c r="W27" s="402">
        <v>0</v>
      </c>
      <c r="X27" s="402">
        <v>47809</v>
      </c>
      <c r="Y27" s="402">
        <v>1291998.4697369845</v>
      </c>
      <c r="Z27" s="402">
        <v>627021.67150089925</v>
      </c>
      <c r="AA27" s="402">
        <v>1000</v>
      </c>
      <c r="AB27" s="402">
        <v>310798.41965280141</v>
      </c>
      <c r="AC27" s="402">
        <v>75.670711763867985</v>
      </c>
      <c r="AD27" s="402">
        <v>81656.705688572634</v>
      </c>
      <c r="AE27" s="402">
        <v>0</v>
      </c>
      <c r="AF27" s="402">
        <v>64600.53129057162</v>
      </c>
      <c r="AG27" s="402">
        <v>6574</v>
      </c>
      <c r="AH27" s="402">
        <v>9177.0499999999993</v>
      </c>
      <c r="AI27" s="402">
        <v>0</v>
      </c>
      <c r="AJ27" s="402">
        <v>0</v>
      </c>
      <c r="AK27" s="402">
        <v>26000</v>
      </c>
      <c r="AL27" s="402">
        <v>3762</v>
      </c>
      <c r="AM27" s="402">
        <v>33452</v>
      </c>
      <c r="AN27" s="402">
        <v>4000</v>
      </c>
      <c r="AO27" s="402">
        <v>30500</v>
      </c>
      <c r="AP27" s="402">
        <v>0</v>
      </c>
      <c r="AQ27" s="402">
        <v>4030</v>
      </c>
      <c r="AR27" s="402">
        <v>45617.13</v>
      </c>
      <c r="AS27" s="402">
        <v>34278.35</v>
      </c>
      <c r="AT27" s="402">
        <v>0</v>
      </c>
      <c r="AU27" s="402">
        <v>18705</v>
      </c>
      <c r="AV27" s="402">
        <v>5540.57</v>
      </c>
      <c r="AW27" s="402">
        <v>1500</v>
      </c>
      <c r="AX27" s="402">
        <v>51638</v>
      </c>
      <c r="AY27" s="402">
        <v>20000</v>
      </c>
      <c r="AZ27" s="402">
        <v>10305</v>
      </c>
      <c r="BA27" s="402">
        <v>11183</v>
      </c>
      <c r="BB27" s="402">
        <v>0</v>
      </c>
      <c r="BC27" s="402">
        <v>1475.4</v>
      </c>
      <c r="BD27" s="402">
        <v>3966</v>
      </c>
      <c r="BE27" s="402">
        <v>1406856.4988446087</v>
      </c>
      <c r="BF27" s="402">
        <v>-114858.0291076242</v>
      </c>
      <c r="BG27" s="402">
        <v>196682.21</v>
      </c>
      <c r="BH27" s="402">
        <v>81824.180892375793</v>
      </c>
      <c r="BI27" s="402">
        <v>92300</v>
      </c>
      <c r="BJ27" s="402">
        <v>0</v>
      </c>
      <c r="BK27" s="402">
        <v>92300</v>
      </c>
      <c r="BL27" s="402">
        <v>78059.660233467803</v>
      </c>
      <c r="BM27" s="402">
        <v>20000</v>
      </c>
      <c r="BN27" s="402">
        <v>98059.660233467803</v>
      </c>
      <c r="BO27" s="402">
        <v>-5759.6602334678028</v>
      </c>
      <c r="BP27" s="402">
        <v>29945.919999999998</v>
      </c>
      <c r="BQ27" s="402">
        <v>24186.259766532195</v>
      </c>
      <c r="BR27" s="402">
        <v>0</v>
      </c>
      <c r="BS27" s="402">
        <v>81824.180892375793</v>
      </c>
      <c r="BT27" s="402">
        <v>24186.259766532195</v>
      </c>
      <c r="BU27" s="402">
        <v>106010.44065890799</v>
      </c>
      <c r="BV27" s="402">
        <v>6171</v>
      </c>
      <c r="BW27" s="402">
        <v>0</v>
      </c>
      <c r="BX27" s="402">
        <v>0</v>
      </c>
      <c r="BY27" s="402">
        <v>6171</v>
      </c>
      <c r="BZ27" s="402">
        <v>0</v>
      </c>
      <c r="CA27" s="402">
        <v>26475.1</v>
      </c>
      <c r="CB27" s="402">
        <v>0</v>
      </c>
      <c r="CC27" s="402">
        <v>0</v>
      </c>
      <c r="CD27" s="402">
        <v>26475.1</v>
      </c>
      <c r="CE27" s="402">
        <v>-20304.099999999999</v>
      </c>
      <c r="CF27" s="402">
        <v>20304.099999999999</v>
      </c>
      <c r="CG27" s="402">
        <v>0</v>
      </c>
      <c r="CH27" s="402">
        <f>VLOOKUP($B27,'Data - CFR 2024-25'!$B$4:$CJ$127,85,0)</f>
        <v>19245.66</v>
      </c>
      <c r="CI27" s="402">
        <f>VLOOKUP($B27,'Data - CFR 2024-25'!$B$4:$CJ$127,86,0)</f>
        <v>1058.44</v>
      </c>
      <c r="CJ27" s="402">
        <f>VLOOKUP($B27,'Data - CFR 2024-25'!$B$4:$CJ$127,87,0)</f>
        <v>20304.099999999999</v>
      </c>
    </row>
    <row r="28" spans="1:88" s="220" customFormat="1" ht="13.8">
      <c r="A28" s="252" t="s">
        <v>1384</v>
      </c>
      <c r="B28" s="288">
        <v>1006</v>
      </c>
      <c r="C28" s="288" t="s">
        <v>735</v>
      </c>
      <c r="D28" s="248" t="s">
        <v>724</v>
      </c>
      <c r="E28" s="399"/>
      <c r="F28" s="402">
        <v>542226</v>
      </c>
      <c r="G28" s="402">
        <v>0</v>
      </c>
      <c r="H28" s="402">
        <v>4200</v>
      </c>
      <c r="I28" s="402">
        <v>0</v>
      </c>
      <c r="J28" s="402">
        <v>0</v>
      </c>
      <c r="K28" s="402">
        <v>0</v>
      </c>
      <c r="L28" s="402">
        <v>0</v>
      </c>
      <c r="M28" s="402">
        <v>0</v>
      </c>
      <c r="N28" s="402">
        <v>14500</v>
      </c>
      <c r="O28" s="402">
        <v>0</v>
      </c>
      <c r="P28" s="402">
        <v>0</v>
      </c>
      <c r="Q28" s="402">
        <v>0</v>
      </c>
      <c r="R28" s="402">
        <v>60000</v>
      </c>
      <c r="S28" s="402">
        <v>1000</v>
      </c>
      <c r="T28" s="402">
        <v>0</v>
      </c>
      <c r="U28" s="402">
        <v>0</v>
      </c>
      <c r="V28" s="402">
        <v>0</v>
      </c>
      <c r="W28" s="402">
        <v>0</v>
      </c>
      <c r="X28" s="402">
        <v>0</v>
      </c>
      <c r="Y28" s="402">
        <v>621926</v>
      </c>
      <c r="Z28" s="402">
        <v>204006.31342399999</v>
      </c>
      <c r="AA28" s="402">
        <v>0</v>
      </c>
      <c r="AB28" s="402">
        <v>311951.14295595867</v>
      </c>
      <c r="AC28" s="402">
        <v>0</v>
      </c>
      <c r="AD28" s="402">
        <v>51516.683717688669</v>
      </c>
      <c r="AE28" s="402">
        <v>10489.087814469854</v>
      </c>
      <c r="AF28" s="402">
        <v>16080.514806651767</v>
      </c>
      <c r="AG28" s="402">
        <v>2100</v>
      </c>
      <c r="AH28" s="402">
        <v>2000</v>
      </c>
      <c r="AI28" s="402">
        <v>3362</v>
      </c>
      <c r="AJ28" s="402">
        <v>0</v>
      </c>
      <c r="AK28" s="402">
        <v>5000</v>
      </c>
      <c r="AL28" s="402">
        <v>1528</v>
      </c>
      <c r="AM28" s="402">
        <v>10640</v>
      </c>
      <c r="AN28" s="402">
        <v>2025</v>
      </c>
      <c r="AO28" s="402">
        <v>17598.5</v>
      </c>
      <c r="AP28" s="402">
        <v>13847</v>
      </c>
      <c r="AQ28" s="402">
        <v>876</v>
      </c>
      <c r="AR28" s="402">
        <v>3000</v>
      </c>
      <c r="AS28" s="402">
        <v>5512.5</v>
      </c>
      <c r="AT28" s="402">
        <v>0</v>
      </c>
      <c r="AU28" s="402">
        <v>1500</v>
      </c>
      <c r="AV28" s="402">
        <v>2017</v>
      </c>
      <c r="AW28" s="402">
        <v>0</v>
      </c>
      <c r="AX28" s="402">
        <v>17547.5</v>
      </c>
      <c r="AY28" s="402">
        <v>0</v>
      </c>
      <c r="AZ28" s="402">
        <v>0</v>
      </c>
      <c r="BA28" s="402">
        <v>9686.6</v>
      </c>
      <c r="BB28" s="402">
        <v>0</v>
      </c>
      <c r="BC28" s="402">
        <v>0</v>
      </c>
      <c r="BD28" s="402">
        <v>0</v>
      </c>
      <c r="BE28" s="402">
        <v>692283.84271876886</v>
      </c>
      <c r="BF28" s="402">
        <v>-70357.842718768865</v>
      </c>
      <c r="BG28" s="402">
        <v>-88401.629999999917</v>
      </c>
      <c r="BH28" s="402">
        <v>-158759.47271876878</v>
      </c>
      <c r="BI28" s="402">
        <v>0</v>
      </c>
      <c r="BJ28" s="402">
        <v>18425.45</v>
      </c>
      <c r="BK28" s="402">
        <v>18425.45</v>
      </c>
      <c r="BL28" s="402">
        <v>2594.4</v>
      </c>
      <c r="BM28" s="402">
        <v>15831.05</v>
      </c>
      <c r="BN28" s="402">
        <v>18425.45</v>
      </c>
      <c r="BO28" s="402">
        <v>0</v>
      </c>
      <c r="BP28" s="402">
        <v>2579.34</v>
      </c>
      <c r="BQ28" s="402">
        <v>2579.34</v>
      </c>
      <c r="BR28" s="402">
        <v>0</v>
      </c>
      <c r="BS28" s="402">
        <v>-158759.47271876878</v>
      </c>
      <c r="BT28" s="402">
        <v>2579.34</v>
      </c>
      <c r="BU28" s="402">
        <v>-156180.13271876879</v>
      </c>
      <c r="BV28" s="402">
        <v>4738</v>
      </c>
      <c r="BW28" s="402">
        <v>0</v>
      </c>
      <c r="BX28" s="402">
        <v>0</v>
      </c>
      <c r="BY28" s="402">
        <v>4738</v>
      </c>
      <c r="BZ28" s="402">
        <v>0</v>
      </c>
      <c r="CA28" s="402">
        <v>4738</v>
      </c>
      <c r="CB28" s="402">
        <v>0</v>
      </c>
      <c r="CC28" s="402">
        <v>0</v>
      </c>
      <c r="CD28" s="402">
        <v>4738</v>
      </c>
      <c r="CE28" s="402">
        <v>0</v>
      </c>
      <c r="CF28" s="402">
        <v>6662.03</v>
      </c>
      <c r="CG28" s="402">
        <v>6662.03</v>
      </c>
      <c r="CH28" s="402">
        <f>VLOOKUP($B28,'Data - CFR 2024-25'!$B$4:$CJ$127,85,0)</f>
        <v>6662.03</v>
      </c>
      <c r="CI28" s="402">
        <f>VLOOKUP($B28,'Data - CFR 2024-25'!$B$4:$CJ$127,86,0)</f>
        <v>0</v>
      </c>
      <c r="CJ28" s="402">
        <f>VLOOKUP($B28,'Data - CFR 2024-25'!$B$4:$CJ$127,87,0)</f>
        <v>6662.03</v>
      </c>
    </row>
    <row r="29" spans="1:88" s="220" customFormat="1" ht="13.8">
      <c r="A29" s="252" t="s">
        <v>1384</v>
      </c>
      <c r="B29" s="288">
        <v>2119</v>
      </c>
      <c r="C29" s="288" t="s">
        <v>736</v>
      </c>
      <c r="D29" s="248" t="s">
        <v>708</v>
      </c>
      <c r="E29" s="399"/>
      <c r="F29" s="402">
        <v>1344871.2672605563</v>
      </c>
      <c r="G29" s="402">
        <v>0</v>
      </c>
      <c r="H29" s="402">
        <v>96884</v>
      </c>
      <c r="I29" s="402">
        <v>0</v>
      </c>
      <c r="J29" s="402">
        <v>81010</v>
      </c>
      <c r="K29" s="402">
        <v>0</v>
      </c>
      <c r="L29" s="402">
        <v>0</v>
      </c>
      <c r="M29" s="402">
        <v>5000</v>
      </c>
      <c r="N29" s="402">
        <v>400</v>
      </c>
      <c r="O29" s="402">
        <v>0</v>
      </c>
      <c r="P29" s="402">
        <v>0</v>
      </c>
      <c r="Q29" s="402">
        <v>0</v>
      </c>
      <c r="R29" s="402">
        <v>500</v>
      </c>
      <c r="S29" s="402">
        <v>0</v>
      </c>
      <c r="T29" s="402">
        <v>0</v>
      </c>
      <c r="U29" s="402">
        <v>0</v>
      </c>
      <c r="V29" s="402">
        <v>0</v>
      </c>
      <c r="W29" s="402">
        <v>0</v>
      </c>
      <c r="X29" s="402">
        <v>18305</v>
      </c>
      <c r="Y29" s="402">
        <v>1546970.2672605563</v>
      </c>
      <c r="Z29" s="402">
        <v>873846.7536098368</v>
      </c>
      <c r="AA29" s="402">
        <v>9500</v>
      </c>
      <c r="AB29" s="402">
        <v>340112.49387336412</v>
      </c>
      <c r="AC29" s="402">
        <v>75529.144635309844</v>
      </c>
      <c r="AD29" s="402">
        <v>51263.080307940283</v>
      </c>
      <c r="AE29" s="402">
        <v>0</v>
      </c>
      <c r="AF29" s="402">
        <v>7016.4029514341819</v>
      </c>
      <c r="AG29" s="402">
        <v>7600</v>
      </c>
      <c r="AH29" s="402">
        <v>4250</v>
      </c>
      <c r="AI29" s="402">
        <v>5000</v>
      </c>
      <c r="AJ29" s="402">
        <v>510</v>
      </c>
      <c r="AK29" s="402">
        <v>10000</v>
      </c>
      <c r="AL29" s="402">
        <v>4650</v>
      </c>
      <c r="AM29" s="402">
        <v>4600</v>
      </c>
      <c r="AN29" s="402">
        <v>2000</v>
      </c>
      <c r="AO29" s="402">
        <v>42000</v>
      </c>
      <c r="AP29" s="402">
        <v>0</v>
      </c>
      <c r="AQ29" s="402">
        <v>12500</v>
      </c>
      <c r="AR29" s="402">
        <v>33500</v>
      </c>
      <c r="AS29" s="402">
        <v>32000</v>
      </c>
      <c r="AT29" s="402">
        <v>0</v>
      </c>
      <c r="AU29" s="402">
        <v>9300</v>
      </c>
      <c r="AV29" s="402">
        <v>6750</v>
      </c>
      <c r="AW29" s="402">
        <v>0</v>
      </c>
      <c r="AX29" s="402">
        <v>19000</v>
      </c>
      <c r="AY29" s="402">
        <v>0</v>
      </c>
      <c r="AZ29" s="402">
        <v>9500</v>
      </c>
      <c r="BA29" s="402">
        <v>20939</v>
      </c>
      <c r="BB29" s="402">
        <v>0</v>
      </c>
      <c r="BC29" s="402">
        <v>0</v>
      </c>
      <c r="BD29" s="402">
        <v>0</v>
      </c>
      <c r="BE29" s="402">
        <v>1581366.8753778853</v>
      </c>
      <c r="BF29" s="402">
        <v>-34396.608117328957</v>
      </c>
      <c r="BG29" s="402">
        <v>44998.710000000152</v>
      </c>
      <c r="BH29" s="402">
        <v>10602.101882671195</v>
      </c>
      <c r="BI29" s="402">
        <v>0</v>
      </c>
      <c r="BJ29" s="402">
        <v>0</v>
      </c>
      <c r="BK29" s="402">
        <v>0</v>
      </c>
      <c r="BL29" s="402">
        <v>0</v>
      </c>
      <c r="BM29" s="402">
        <v>0</v>
      </c>
      <c r="BN29" s="402">
        <v>0</v>
      </c>
      <c r="BO29" s="402">
        <v>0</v>
      </c>
      <c r="BP29" s="402">
        <v>0</v>
      </c>
      <c r="BQ29" s="402">
        <v>0</v>
      </c>
      <c r="BR29" s="402">
        <v>0</v>
      </c>
      <c r="BS29" s="402">
        <v>10602.101882671195</v>
      </c>
      <c r="BT29" s="402">
        <v>0</v>
      </c>
      <c r="BU29" s="402">
        <v>10602.101882671195</v>
      </c>
      <c r="BV29" s="402">
        <v>6453</v>
      </c>
      <c r="BW29" s="402">
        <v>0</v>
      </c>
      <c r="BX29" s="402">
        <v>0</v>
      </c>
      <c r="BY29" s="402">
        <v>6453</v>
      </c>
      <c r="BZ29" s="402">
        <v>0</v>
      </c>
      <c r="CA29" s="402">
        <v>6425.31</v>
      </c>
      <c r="CB29" s="402">
        <v>0</v>
      </c>
      <c r="CC29" s="402">
        <v>4000</v>
      </c>
      <c r="CD29" s="402">
        <v>10425.310000000001</v>
      </c>
      <c r="CE29" s="402">
        <v>-3972.3100000000013</v>
      </c>
      <c r="CF29" s="402">
        <v>3972.3099999999995</v>
      </c>
      <c r="CG29" s="402">
        <v>0</v>
      </c>
      <c r="CH29" s="402">
        <f>VLOOKUP($B29,'Data - CFR 2024-25'!$B$4:$CJ$127,85,0)</f>
        <v>3972.3099999999995</v>
      </c>
      <c r="CI29" s="402">
        <f>VLOOKUP($B29,'Data - CFR 2024-25'!$B$4:$CJ$127,86,0)</f>
        <v>0</v>
      </c>
      <c r="CJ29" s="402">
        <f>VLOOKUP($B29,'Data - CFR 2024-25'!$B$4:$CJ$127,87,0)</f>
        <v>3972.3099999999995</v>
      </c>
    </row>
    <row r="30" spans="1:88" s="220" customFormat="1" ht="13.8">
      <c r="A30" s="252" t="s">
        <v>1384</v>
      </c>
      <c r="B30" s="288">
        <v>3011</v>
      </c>
      <c r="C30" s="288" t="s">
        <v>737</v>
      </c>
      <c r="D30" s="248" t="s">
        <v>708</v>
      </c>
      <c r="E30" s="399"/>
      <c r="F30" s="402">
        <v>672209.33620427013</v>
      </c>
      <c r="G30" s="402">
        <v>0</v>
      </c>
      <c r="H30" s="402">
        <v>45635</v>
      </c>
      <c r="I30" s="402">
        <v>0</v>
      </c>
      <c r="J30" s="402">
        <v>24940</v>
      </c>
      <c r="K30" s="402">
        <v>0</v>
      </c>
      <c r="L30" s="402">
        <v>0</v>
      </c>
      <c r="M30" s="402">
        <v>10000</v>
      </c>
      <c r="N30" s="402">
        <v>450</v>
      </c>
      <c r="O30" s="402">
        <v>13000</v>
      </c>
      <c r="P30" s="402">
        <v>2250</v>
      </c>
      <c r="Q30" s="402">
        <v>0</v>
      </c>
      <c r="R30" s="402">
        <v>0</v>
      </c>
      <c r="S30" s="402">
        <v>11750</v>
      </c>
      <c r="T30" s="402">
        <v>0</v>
      </c>
      <c r="U30" s="402">
        <v>0</v>
      </c>
      <c r="V30" s="402">
        <v>0</v>
      </c>
      <c r="W30" s="402">
        <v>0</v>
      </c>
      <c r="X30" s="402">
        <v>36676</v>
      </c>
      <c r="Y30" s="402">
        <v>816910.33620427013</v>
      </c>
      <c r="Z30" s="402">
        <v>412652.93664211023</v>
      </c>
      <c r="AA30" s="402">
        <v>4000</v>
      </c>
      <c r="AB30" s="402">
        <v>156843.7492879811</v>
      </c>
      <c r="AC30" s="402">
        <v>0</v>
      </c>
      <c r="AD30" s="402">
        <v>47082.007779659412</v>
      </c>
      <c r="AE30" s="402">
        <v>0</v>
      </c>
      <c r="AF30" s="402">
        <v>15665.453515085799</v>
      </c>
      <c r="AG30" s="402">
        <v>2300</v>
      </c>
      <c r="AH30" s="402">
        <v>2000</v>
      </c>
      <c r="AI30" s="402">
        <v>2625</v>
      </c>
      <c r="AJ30" s="402">
        <v>712</v>
      </c>
      <c r="AK30" s="402">
        <v>5000</v>
      </c>
      <c r="AL30" s="402">
        <v>2500</v>
      </c>
      <c r="AM30" s="402">
        <v>17500</v>
      </c>
      <c r="AN30" s="402">
        <v>3500</v>
      </c>
      <c r="AO30" s="402">
        <v>19000</v>
      </c>
      <c r="AP30" s="402">
        <v>0</v>
      </c>
      <c r="AQ30" s="402">
        <v>5688</v>
      </c>
      <c r="AR30" s="402">
        <v>29875</v>
      </c>
      <c r="AS30" s="402">
        <v>20210</v>
      </c>
      <c r="AT30" s="402">
        <v>0</v>
      </c>
      <c r="AU30" s="402">
        <v>9190</v>
      </c>
      <c r="AV30" s="402">
        <v>3200</v>
      </c>
      <c r="AW30" s="402">
        <v>0</v>
      </c>
      <c r="AX30" s="402">
        <v>42873</v>
      </c>
      <c r="AY30" s="402">
        <v>0</v>
      </c>
      <c r="AZ30" s="402">
        <v>0</v>
      </c>
      <c r="BA30" s="402">
        <v>14075</v>
      </c>
      <c r="BB30" s="402">
        <v>0</v>
      </c>
      <c r="BC30" s="402">
        <v>0</v>
      </c>
      <c r="BD30" s="402">
        <v>0</v>
      </c>
      <c r="BE30" s="402">
        <v>816492.14722483652</v>
      </c>
      <c r="BF30" s="402">
        <v>418.18897943361662</v>
      </c>
      <c r="BG30" s="402">
        <v>-26158.480000000025</v>
      </c>
      <c r="BH30" s="402">
        <v>-25740.291020566408</v>
      </c>
      <c r="BI30" s="402">
        <v>0</v>
      </c>
      <c r="BJ30" s="402">
        <v>0</v>
      </c>
      <c r="BK30" s="402">
        <v>0</v>
      </c>
      <c r="BL30" s="402">
        <v>0</v>
      </c>
      <c r="BM30" s="402">
        <v>0</v>
      </c>
      <c r="BN30" s="402">
        <v>0</v>
      </c>
      <c r="BO30" s="402">
        <v>0</v>
      </c>
      <c r="BP30" s="402">
        <v>0</v>
      </c>
      <c r="BQ30" s="402">
        <v>0</v>
      </c>
      <c r="BR30" s="402">
        <v>0</v>
      </c>
      <c r="BS30" s="402">
        <v>-25740.291020566408</v>
      </c>
      <c r="BT30" s="402">
        <v>0</v>
      </c>
      <c r="BU30" s="402">
        <v>-25740.291020566408</v>
      </c>
      <c r="BV30" s="402">
        <v>5193</v>
      </c>
      <c r="BW30" s="402">
        <v>0</v>
      </c>
      <c r="BX30" s="402">
        <v>0</v>
      </c>
      <c r="BY30" s="402">
        <v>5193</v>
      </c>
      <c r="BZ30" s="402">
        <v>0</v>
      </c>
      <c r="CA30" s="402">
        <v>32958.65</v>
      </c>
      <c r="CB30" s="402">
        <v>0</v>
      </c>
      <c r="CC30" s="402">
        <v>0</v>
      </c>
      <c r="CD30" s="402">
        <v>32958.65</v>
      </c>
      <c r="CE30" s="402">
        <v>-27765.65</v>
      </c>
      <c r="CF30" s="402">
        <v>27765.65</v>
      </c>
      <c r="CG30" s="402">
        <v>0</v>
      </c>
      <c r="CH30" s="402">
        <f>VLOOKUP($B30,'Data - CFR 2024-25'!$B$4:$CJ$127,85,0)</f>
        <v>17765.64</v>
      </c>
      <c r="CI30" s="402">
        <f>VLOOKUP($B30,'Data - CFR 2024-25'!$B$4:$CJ$127,86,0)</f>
        <v>10000.01</v>
      </c>
      <c r="CJ30" s="402">
        <f>VLOOKUP($B30,'Data - CFR 2024-25'!$B$4:$CJ$127,87,0)</f>
        <v>27765.65</v>
      </c>
    </row>
    <row r="31" spans="1:88" s="220" customFormat="1" ht="13.8">
      <c r="A31" s="252" t="s">
        <v>1384</v>
      </c>
      <c r="B31" s="288">
        <v>2006</v>
      </c>
      <c r="C31" s="288" t="s">
        <v>738</v>
      </c>
      <c r="D31" s="248" t="s">
        <v>708</v>
      </c>
      <c r="E31" s="399"/>
      <c r="F31" s="402">
        <v>2409814.6239597513</v>
      </c>
      <c r="G31" s="402">
        <v>0</v>
      </c>
      <c r="H31" s="402">
        <v>155998</v>
      </c>
      <c r="I31" s="402">
        <v>0</v>
      </c>
      <c r="J31" s="402">
        <v>137815</v>
      </c>
      <c r="K31" s="402">
        <v>0</v>
      </c>
      <c r="L31" s="402">
        <v>11500</v>
      </c>
      <c r="M31" s="402">
        <v>4000</v>
      </c>
      <c r="N31" s="402">
        <v>2500</v>
      </c>
      <c r="O31" s="402">
        <v>0</v>
      </c>
      <c r="P31" s="402">
        <v>0</v>
      </c>
      <c r="Q31" s="402">
        <v>0</v>
      </c>
      <c r="R31" s="402">
        <v>0</v>
      </c>
      <c r="S31" s="402">
        <v>3000</v>
      </c>
      <c r="T31" s="402">
        <v>0</v>
      </c>
      <c r="U31" s="402">
        <v>0</v>
      </c>
      <c r="V31" s="402">
        <v>0</v>
      </c>
      <c r="W31" s="402">
        <v>0</v>
      </c>
      <c r="X31" s="402">
        <v>22192</v>
      </c>
      <c r="Y31" s="402">
        <v>2746819.6239597513</v>
      </c>
      <c r="Z31" s="402">
        <v>1605567.655687992</v>
      </c>
      <c r="AA31" s="402">
        <v>32000</v>
      </c>
      <c r="AB31" s="402">
        <v>575834.88689388277</v>
      </c>
      <c r="AC31" s="402">
        <v>108700.47499960654</v>
      </c>
      <c r="AD31" s="402">
        <v>239149.47226747707</v>
      </c>
      <c r="AE31" s="402">
        <v>0</v>
      </c>
      <c r="AF31" s="402">
        <v>7543.7347797813636</v>
      </c>
      <c r="AG31" s="402">
        <v>9900</v>
      </c>
      <c r="AH31" s="402">
        <v>4610</v>
      </c>
      <c r="AI31" s="402">
        <v>12175</v>
      </c>
      <c r="AJ31" s="402">
        <v>1500</v>
      </c>
      <c r="AK31" s="402">
        <v>22000</v>
      </c>
      <c r="AL31" s="402">
        <v>7500</v>
      </c>
      <c r="AM31" s="402">
        <v>10000</v>
      </c>
      <c r="AN31" s="402">
        <v>6500</v>
      </c>
      <c r="AO31" s="402">
        <v>60000</v>
      </c>
      <c r="AP31" s="402">
        <v>0</v>
      </c>
      <c r="AQ31" s="402">
        <v>5350</v>
      </c>
      <c r="AR31" s="402">
        <v>34911.699999999997</v>
      </c>
      <c r="AS31" s="402">
        <v>42980</v>
      </c>
      <c r="AT31" s="402">
        <v>0</v>
      </c>
      <c r="AU31" s="402">
        <v>8765</v>
      </c>
      <c r="AV31" s="402">
        <v>13750</v>
      </c>
      <c r="AW31" s="402">
        <v>250</v>
      </c>
      <c r="AX31" s="402">
        <v>30750</v>
      </c>
      <c r="AY31" s="402">
        <v>8500</v>
      </c>
      <c r="AZ31" s="402">
        <v>0</v>
      </c>
      <c r="BA31" s="402">
        <v>16780</v>
      </c>
      <c r="BB31" s="402">
        <v>0</v>
      </c>
      <c r="BC31" s="402">
        <v>0</v>
      </c>
      <c r="BD31" s="402">
        <v>0</v>
      </c>
      <c r="BE31" s="402">
        <v>2865017.9246287397</v>
      </c>
      <c r="BF31" s="402">
        <v>-118198.30066898838</v>
      </c>
      <c r="BG31" s="402">
        <v>140623.15999999916</v>
      </c>
      <c r="BH31" s="402">
        <v>22424.859331010783</v>
      </c>
      <c r="BI31" s="402">
        <v>0</v>
      </c>
      <c r="BJ31" s="402">
        <v>0</v>
      </c>
      <c r="BK31" s="402">
        <v>0</v>
      </c>
      <c r="BL31" s="402">
        <v>0</v>
      </c>
      <c r="BM31" s="402">
        <v>0</v>
      </c>
      <c r="BN31" s="402">
        <v>0</v>
      </c>
      <c r="BO31" s="402">
        <v>0</v>
      </c>
      <c r="BP31" s="402">
        <v>0</v>
      </c>
      <c r="BQ31" s="402">
        <v>0</v>
      </c>
      <c r="BR31" s="402">
        <v>0</v>
      </c>
      <c r="BS31" s="402">
        <v>22424.859331010783</v>
      </c>
      <c r="BT31" s="402">
        <v>0</v>
      </c>
      <c r="BU31" s="402">
        <v>22424.859331010783</v>
      </c>
      <c r="BV31" s="402">
        <v>10010</v>
      </c>
      <c r="BW31" s="402">
        <v>0</v>
      </c>
      <c r="BX31" s="402">
        <v>0</v>
      </c>
      <c r="BY31" s="402">
        <v>10010</v>
      </c>
      <c r="BZ31" s="402">
        <v>0</v>
      </c>
      <c r="CA31" s="402">
        <v>10000</v>
      </c>
      <c r="CB31" s="402">
        <v>0</v>
      </c>
      <c r="CC31" s="402">
        <v>10000</v>
      </c>
      <c r="CD31" s="402">
        <v>20000</v>
      </c>
      <c r="CE31" s="402">
        <v>-9990</v>
      </c>
      <c r="CF31" s="402">
        <v>29966.460000000003</v>
      </c>
      <c r="CG31" s="402">
        <v>19976.460000000003</v>
      </c>
      <c r="CH31" s="402">
        <f>VLOOKUP($B31,'Data - CFR 2024-25'!$B$4:$CJ$127,85,0)</f>
        <v>29966.460000000003</v>
      </c>
      <c r="CI31" s="402">
        <f>VLOOKUP($B31,'Data - CFR 2024-25'!$B$4:$CJ$127,86,0)</f>
        <v>0</v>
      </c>
      <c r="CJ31" s="402">
        <f>VLOOKUP($B31,'Data - CFR 2024-25'!$B$4:$CJ$127,87,0)</f>
        <v>29966.460000000003</v>
      </c>
    </row>
    <row r="32" spans="1:88" s="220" customFormat="1" ht="13.8">
      <c r="A32" s="252" t="s">
        <v>1384</v>
      </c>
      <c r="B32" s="288">
        <v>3012</v>
      </c>
      <c r="C32" s="288" t="s">
        <v>739</v>
      </c>
      <c r="D32" s="248" t="s">
        <v>708</v>
      </c>
      <c r="E32" s="399"/>
      <c r="F32" s="402">
        <v>511983.82371194434</v>
      </c>
      <c r="G32" s="402">
        <v>0</v>
      </c>
      <c r="H32" s="402">
        <v>0</v>
      </c>
      <c r="I32" s="402">
        <v>0</v>
      </c>
      <c r="J32" s="402">
        <v>13985</v>
      </c>
      <c r="K32" s="402">
        <v>0</v>
      </c>
      <c r="L32" s="402">
        <v>0</v>
      </c>
      <c r="M32" s="402">
        <v>6000</v>
      </c>
      <c r="N32" s="402">
        <v>3600</v>
      </c>
      <c r="O32" s="402">
        <v>14500</v>
      </c>
      <c r="P32" s="402">
        <v>0</v>
      </c>
      <c r="Q32" s="402">
        <v>0</v>
      </c>
      <c r="R32" s="402">
        <v>0</v>
      </c>
      <c r="S32" s="402">
        <v>0</v>
      </c>
      <c r="T32" s="402">
        <v>0</v>
      </c>
      <c r="U32" s="402">
        <v>0</v>
      </c>
      <c r="V32" s="402">
        <v>0</v>
      </c>
      <c r="W32" s="402">
        <v>0</v>
      </c>
      <c r="X32" s="402">
        <v>29536</v>
      </c>
      <c r="Y32" s="402">
        <v>579604.82371194428</v>
      </c>
      <c r="Z32" s="402">
        <v>338059.21620373143</v>
      </c>
      <c r="AA32" s="402">
        <v>15000</v>
      </c>
      <c r="AB32" s="402">
        <v>64166.341241390357</v>
      </c>
      <c r="AC32" s="402">
        <v>0</v>
      </c>
      <c r="AD32" s="402">
        <v>47182.408441797983</v>
      </c>
      <c r="AE32" s="402">
        <v>24311.246959801458</v>
      </c>
      <c r="AF32" s="402">
        <v>7685.0393177404303</v>
      </c>
      <c r="AG32" s="402">
        <v>2050</v>
      </c>
      <c r="AH32" s="402">
        <v>5000</v>
      </c>
      <c r="AI32" s="402">
        <v>1725</v>
      </c>
      <c r="AJ32" s="402">
        <v>0</v>
      </c>
      <c r="AK32" s="402">
        <v>7000</v>
      </c>
      <c r="AL32" s="402">
        <v>1980</v>
      </c>
      <c r="AM32" s="402">
        <v>10825.49</v>
      </c>
      <c r="AN32" s="402">
        <v>1300</v>
      </c>
      <c r="AO32" s="402">
        <v>13000</v>
      </c>
      <c r="AP32" s="402">
        <v>0</v>
      </c>
      <c r="AQ32" s="402">
        <v>3700</v>
      </c>
      <c r="AR32" s="402">
        <v>16306</v>
      </c>
      <c r="AS32" s="402">
        <v>19897</v>
      </c>
      <c r="AT32" s="402">
        <v>0</v>
      </c>
      <c r="AU32" s="402">
        <v>5150</v>
      </c>
      <c r="AV32" s="402">
        <v>2329.14</v>
      </c>
      <c r="AW32" s="402">
        <v>0</v>
      </c>
      <c r="AX32" s="402">
        <v>15050</v>
      </c>
      <c r="AY32" s="402">
        <v>2000</v>
      </c>
      <c r="AZ32" s="402">
        <v>500</v>
      </c>
      <c r="BA32" s="402">
        <v>7187</v>
      </c>
      <c r="BB32" s="402">
        <v>0</v>
      </c>
      <c r="BC32" s="402">
        <v>0</v>
      </c>
      <c r="BD32" s="402">
        <v>0</v>
      </c>
      <c r="BE32" s="402">
        <v>611403.88216446177</v>
      </c>
      <c r="BF32" s="402">
        <v>-31799.058452517493</v>
      </c>
      <c r="BG32" s="402">
        <v>52731.590000000127</v>
      </c>
      <c r="BH32" s="402">
        <v>20932.531547482635</v>
      </c>
      <c r="BI32" s="402">
        <v>0</v>
      </c>
      <c r="BJ32" s="402">
        <v>0</v>
      </c>
      <c r="BK32" s="402">
        <v>0</v>
      </c>
      <c r="BL32" s="402">
        <v>0</v>
      </c>
      <c r="BM32" s="402">
        <v>0</v>
      </c>
      <c r="BN32" s="402">
        <v>0</v>
      </c>
      <c r="BO32" s="402">
        <v>0</v>
      </c>
      <c r="BP32" s="402">
        <v>0</v>
      </c>
      <c r="BQ32" s="402">
        <v>0</v>
      </c>
      <c r="BR32" s="402">
        <v>0</v>
      </c>
      <c r="BS32" s="402">
        <v>20932.531547482635</v>
      </c>
      <c r="BT32" s="402">
        <v>0</v>
      </c>
      <c r="BU32" s="402">
        <v>20932.531547482635</v>
      </c>
      <c r="BV32" s="402">
        <v>4765</v>
      </c>
      <c r="BW32" s="402">
        <v>0</v>
      </c>
      <c r="BX32" s="402">
        <v>0</v>
      </c>
      <c r="BY32" s="402">
        <v>4765</v>
      </c>
      <c r="BZ32" s="402">
        <v>0</v>
      </c>
      <c r="CA32" s="402">
        <v>175278.45</v>
      </c>
      <c r="CB32" s="402">
        <v>0</v>
      </c>
      <c r="CC32" s="402">
        <v>0</v>
      </c>
      <c r="CD32" s="402">
        <v>175278.45</v>
      </c>
      <c r="CE32" s="402">
        <v>-170513.45</v>
      </c>
      <c r="CF32" s="402">
        <v>170513.45</v>
      </c>
      <c r="CG32" s="402">
        <v>0</v>
      </c>
      <c r="CH32" s="402">
        <f>VLOOKUP($B32,'Data - CFR 2024-25'!$B$4:$CJ$127,85,0)</f>
        <v>21942.45</v>
      </c>
      <c r="CI32" s="402">
        <f>VLOOKUP($B32,'Data - CFR 2024-25'!$B$4:$CJ$127,86,0)</f>
        <v>148571</v>
      </c>
      <c r="CJ32" s="402">
        <f>VLOOKUP($B32,'Data - CFR 2024-25'!$B$4:$CJ$127,87,0)</f>
        <v>170513.45</v>
      </c>
    </row>
    <row r="33" spans="1:88" s="220" customFormat="1" ht="15">
      <c r="A33" s="252" t="s">
        <v>1384</v>
      </c>
      <c r="B33" s="288">
        <v>3041</v>
      </c>
      <c r="C33" s="288" t="s">
        <v>740</v>
      </c>
      <c r="D33" s="248" t="s">
        <v>708</v>
      </c>
      <c r="E33" s="399"/>
      <c r="F33" s="515">
        <v>866713.50879415614</v>
      </c>
      <c r="G33" s="515">
        <v>0</v>
      </c>
      <c r="H33" s="515">
        <v>49806</v>
      </c>
      <c r="I33" s="515">
        <v>0</v>
      </c>
      <c r="J33" s="515">
        <v>34845</v>
      </c>
      <c r="K33" s="515">
        <v>37773</v>
      </c>
      <c r="L33" s="515">
        <v>0</v>
      </c>
      <c r="M33" s="515">
        <v>30000</v>
      </c>
      <c r="N33" s="515">
        <v>150</v>
      </c>
      <c r="O33" s="515">
        <v>15000</v>
      </c>
      <c r="P33" s="515">
        <v>0</v>
      </c>
      <c r="Q33" s="515">
        <v>0</v>
      </c>
      <c r="R33" s="515">
        <v>0</v>
      </c>
      <c r="S33" s="515">
        <v>0</v>
      </c>
      <c r="T33" s="515">
        <v>0</v>
      </c>
      <c r="U33" s="515">
        <v>0</v>
      </c>
      <c r="V33" s="515">
        <v>0</v>
      </c>
      <c r="W33" s="515">
        <v>0</v>
      </c>
      <c r="X33" s="515">
        <v>0</v>
      </c>
      <c r="Y33" s="402">
        <f>SUM(F33:X33)</f>
        <v>1034287.5087941561</v>
      </c>
      <c r="Z33" s="516">
        <v>469688.03661994665</v>
      </c>
      <c r="AA33" s="516">
        <v>500</v>
      </c>
      <c r="AB33" s="516">
        <v>247024.91614307754</v>
      </c>
      <c r="AC33" s="516">
        <v>56885.180521951261</v>
      </c>
      <c r="AD33" s="516">
        <v>64086.834810584427</v>
      </c>
      <c r="AE33" s="516">
        <v>29365.423615218297</v>
      </c>
      <c r="AF33" s="516">
        <v>2200</v>
      </c>
      <c r="AG33" s="516">
        <v>4040</v>
      </c>
      <c r="AH33" s="516">
        <v>6522</v>
      </c>
      <c r="AI33" s="516">
        <v>4200</v>
      </c>
      <c r="AJ33" s="516">
        <v>93</v>
      </c>
      <c r="AK33" s="516">
        <v>5600</v>
      </c>
      <c r="AL33" s="516">
        <v>3336</v>
      </c>
      <c r="AM33" s="516">
        <v>2000</v>
      </c>
      <c r="AN33" s="516">
        <v>3700</v>
      </c>
      <c r="AO33" s="516">
        <v>37000</v>
      </c>
      <c r="AP33" s="516">
        <v>0</v>
      </c>
      <c r="AQ33" s="516">
        <v>8300</v>
      </c>
      <c r="AR33" s="516">
        <v>16630</v>
      </c>
      <c r="AS33" s="516">
        <v>24018</v>
      </c>
      <c r="AT33" s="516">
        <v>0</v>
      </c>
      <c r="AU33" s="516">
        <v>5085</v>
      </c>
      <c r="AV33" s="516">
        <v>4592</v>
      </c>
      <c r="AW33" s="516">
        <v>0</v>
      </c>
      <c r="AX33" s="516">
        <v>19900</v>
      </c>
      <c r="AY33" s="516">
        <v>7000</v>
      </c>
      <c r="AZ33" s="516">
        <v>16900</v>
      </c>
      <c r="BA33" s="516">
        <v>13585</v>
      </c>
      <c r="BB33" s="516">
        <v>0</v>
      </c>
      <c r="BC33" s="516">
        <v>0</v>
      </c>
      <c r="BD33" s="516">
        <v>0</v>
      </c>
      <c r="BE33" s="402">
        <f>SUM(Z33:BD33)</f>
        <v>1052251.3917107782</v>
      </c>
      <c r="BF33" s="402">
        <f>Y33-BE33</f>
        <v>-17963.882916622097</v>
      </c>
      <c r="BG33" s="402">
        <v>23241</v>
      </c>
      <c r="BH33" s="402">
        <v>5277</v>
      </c>
      <c r="BI33" s="402">
        <v>0</v>
      </c>
      <c r="BJ33" s="402">
        <v>0</v>
      </c>
      <c r="BK33" s="402">
        <v>0</v>
      </c>
      <c r="BL33" s="402">
        <v>0</v>
      </c>
      <c r="BM33" s="402">
        <v>0</v>
      </c>
      <c r="BN33" s="402">
        <v>0</v>
      </c>
      <c r="BO33" s="402">
        <v>0</v>
      </c>
      <c r="BP33" s="402">
        <v>0</v>
      </c>
      <c r="BQ33" s="402">
        <v>0</v>
      </c>
      <c r="BR33" s="402">
        <v>0</v>
      </c>
      <c r="BS33" s="402">
        <v>5277</v>
      </c>
      <c r="BT33" s="402">
        <v>0</v>
      </c>
      <c r="BU33" s="402">
        <v>5277</v>
      </c>
      <c r="BV33" s="516">
        <f>'[1]Budget vs Actuals Cumulative'!$D$129</f>
        <v>5935</v>
      </c>
      <c r="BW33" s="516">
        <v>0</v>
      </c>
      <c r="BX33" s="516">
        <v>0</v>
      </c>
      <c r="BY33" s="402">
        <v>5935</v>
      </c>
      <c r="BZ33" s="402">
        <v>0</v>
      </c>
      <c r="CA33" s="402">
        <v>26233</v>
      </c>
      <c r="CB33" s="402">
        <v>0</v>
      </c>
      <c r="CC33" s="402">
        <v>1000</v>
      </c>
      <c r="CD33" s="402">
        <v>27233</v>
      </c>
      <c r="CE33" s="402">
        <v>-21298</v>
      </c>
      <c r="CF33" s="402">
        <v>21298</v>
      </c>
      <c r="CG33" s="402">
        <v>0</v>
      </c>
      <c r="CH33" s="402">
        <f>VLOOKUP($B33,'Data - CFR 2024-25'!$B$4:$CJ$127,85,0)</f>
        <v>21298.45</v>
      </c>
      <c r="CI33" s="402">
        <f>VLOOKUP($B33,'Data - CFR 2024-25'!$B$4:$CJ$127,86,0)</f>
        <v>0</v>
      </c>
      <c r="CJ33" s="402">
        <f>VLOOKUP($B33,'Data - CFR 2024-25'!$B$4:$CJ$127,87,0)</f>
        <v>21298.45</v>
      </c>
    </row>
    <row r="34" spans="1:88" s="220" customFormat="1" ht="13.8">
      <c r="A34" s="252" t="s">
        <v>1384</v>
      </c>
      <c r="B34" s="288">
        <v>2246</v>
      </c>
      <c r="C34" s="288" t="s">
        <v>741</v>
      </c>
      <c r="D34" s="248" t="s">
        <v>708</v>
      </c>
      <c r="E34" s="399"/>
      <c r="F34" s="402">
        <v>1103245.1760471829</v>
      </c>
      <c r="G34" s="402">
        <v>0</v>
      </c>
      <c r="H34" s="402">
        <v>38300</v>
      </c>
      <c r="I34" s="402">
        <v>0</v>
      </c>
      <c r="J34" s="402">
        <v>50710</v>
      </c>
      <c r="K34" s="402">
        <v>0</v>
      </c>
      <c r="L34" s="402">
        <v>0</v>
      </c>
      <c r="M34" s="402">
        <v>13000</v>
      </c>
      <c r="N34" s="402">
        <v>3750</v>
      </c>
      <c r="O34" s="402">
        <v>0</v>
      </c>
      <c r="P34" s="402">
        <v>0</v>
      </c>
      <c r="Q34" s="402">
        <v>0</v>
      </c>
      <c r="R34" s="402">
        <v>20000</v>
      </c>
      <c r="S34" s="402">
        <v>0</v>
      </c>
      <c r="T34" s="402">
        <v>0</v>
      </c>
      <c r="U34" s="402">
        <v>0</v>
      </c>
      <c r="V34" s="402">
        <v>0</v>
      </c>
      <c r="W34" s="402">
        <v>0</v>
      </c>
      <c r="X34" s="402">
        <v>71326</v>
      </c>
      <c r="Y34" s="402">
        <v>1300331.1760471829</v>
      </c>
      <c r="Z34" s="402">
        <v>621159.68081466062</v>
      </c>
      <c r="AA34" s="402">
        <v>500</v>
      </c>
      <c r="AB34" s="402">
        <v>365719.91147843911</v>
      </c>
      <c r="AC34" s="402">
        <v>23114</v>
      </c>
      <c r="AD34" s="402">
        <v>59089.232897956077</v>
      </c>
      <c r="AE34" s="402">
        <v>46241.366060956643</v>
      </c>
      <c r="AF34" s="402">
        <v>35086.050642992377</v>
      </c>
      <c r="AG34" s="402">
        <v>3900</v>
      </c>
      <c r="AH34" s="402">
        <v>2000</v>
      </c>
      <c r="AI34" s="402">
        <v>4973</v>
      </c>
      <c r="AJ34" s="402">
        <v>0</v>
      </c>
      <c r="AK34" s="402">
        <v>2500</v>
      </c>
      <c r="AL34" s="402">
        <v>3500</v>
      </c>
      <c r="AM34" s="402">
        <v>36400</v>
      </c>
      <c r="AN34" s="402">
        <v>5000</v>
      </c>
      <c r="AO34" s="402">
        <v>35000</v>
      </c>
      <c r="AP34" s="402">
        <v>0</v>
      </c>
      <c r="AQ34" s="402">
        <v>5450</v>
      </c>
      <c r="AR34" s="402">
        <v>4500</v>
      </c>
      <c r="AS34" s="402">
        <v>21721</v>
      </c>
      <c r="AT34" s="402">
        <v>0</v>
      </c>
      <c r="AU34" s="402">
        <v>6785</v>
      </c>
      <c r="AV34" s="402">
        <v>3800</v>
      </c>
      <c r="AW34" s="402">
        <v>0</v>
      </c>
      <c r="AX34" s="402">
        <v>32000</v>
      </c>
      <c r="AY34" s="402">
        <v>11000</v>
      </c>
      <c r="AZ34" s="402">
        <v>1200</v>
      </c>
      <c r="BA34" s="402">
        <v>13300</v>
      </c>
      <c r="BB34" s="402">
        <v>0</v>
      </c>
      <c r="BC34" s="402">
        <v>0</v>
      </c>
      <c r="BD34" s="402">
        <v>0</v>
      </c>
      <c r="BE34" s="402">
        <v>1343939.2418950049</v>
      </c>
      <c r="BF34" s="402">
        <v>-43608.065847821999</v>
      </c>
      <c r="BG34" s="402">
        <v>-58316.290000000401</v>
      </c>
      <c r="BH34" s="402">
        <v>-101924.3558478224</v>
      </c>
      <c r="BI34" s="402">
        <v>0</v>
      </c>
      <c r="BJ34" s="402">
        <v>0</v>
      </c>
      <c r="BK34" s="402">
        <v>0</v>
      </c>
      <c r="BL34" s="402">
        <v>0</v>
      </c>
      <c r="BM34" s="402">
        <v>0</v>
      </c>
      <c r="BN34" s="402">
        <v>0</v>
      </c>
      <c r="BO34" s="402">
        <v>0</v>
      </c>
      <c r="BP34" s="402">
        <v>0</v>
      </c>
      <c r="BQ34" s="402">
        <v>0</v>
      </c>
      <c r="BR34" s="402">
        <v>0</v>
      </c>
      <c r="BS34" s="402">
        <v>-101924.3558478224</v>
      </c>
      <c r="BT34" s="402">
        <v>0</v>
      </c>
      <c r="BU34" s="402">
        <v>-101924.3558478224</v>
      </c>
      <c r="BV34" s="402">
        <v>6192</v>
      </c>
      <c r="BW34" s="402">
        <v>0</v>
      </c>
      <c r="BX34" s="402">
        <v>0</v>
      </c>
      <c r="BY34" s="402">
        <v>6192</v>
      </c>
      <c r="BZ34" s="402">
        <v>0</v>
      </c>
      <c r="CA34" s="402">
        <v>6192</v>
      </c>
      <c r="CB34" s="402">
        <v>0</v>
      </c>
      <c r="CC34" s="402">
        <v>0</v>
      </c>
      <c r="CD34" s="402">
        <v>6192</v>
      </c>
      <c r="CE34" s="402">
        <v>0</v>
      </c>
      <c r="CF34" s="402">
        <v>47850.43</v>
      </c>
      <c r="CG34" s="402">
        <v>47850.43</v>
      </c>
      <c r="CH34" s="402">
        <f>VLOOKUP($B34,'Data - CFR 2024-25'!$B$4:$CJ$127,85,0)</f>
        <v>19151.09</v>
      </c>
      <c r="CI34" s="402">
        <f>VLOOKUP($B34,'Data - CFR 2024-25'!$B$4:$CJ$127,86,0)</f>
        <v>28699.34</v>
      </c>
      <c r="CJ34" s="402">
        <f>VLOOKUP($B34,'Data - CFR 2024-25'!$B$4:$CJ$127,87,0)</f>
        <v>47850.43</v>
      </c>
    </row>
    <row r="35" spans="1:88" s="220" customFormat="1" ht="13.8">
      <c r="A35" s="252" t="s">
        <v>1384</v>
      </c>
      <c r="B35" s="288">
        <v>3308</v>
      </c>
      <c r="C35" s="288" t="s">
        <v>742</v>
      </c>
      <c r="D35" s="248" t="s">
        <v>708</v>
      </c>
      <c r="E35" s="399"/>
      <c r="F35" s="402">
        <v>750935.86568833888</v>
      </c>
      <c r="G35" s="402">
        <v>0</v>
      </c>
      <c r="H35" s="402">
        <v>16600</v>
      </c>
      <c r="I35" s="402">
        <v>0</v>
      </c>
      <c r="J35" s="402">
        <v>17780</v>
      </c>
      <c r="K35" s="402">
        <v>0</v>
      </c>
      <c r="L35" s="402">
        <v>0</v>
      </c>
      <c r="M35" s="402">
        <v>0</v>
      </c>
      <c r="N35" s="402">
        <v>29500</v>
      </c>
      <c r="O35" s="402">
        <v>0</v>
      </c>
      <c r="P35" s="402">
        <v>3956</v>
      </c>
      <c r="Q35" s="402">
        <v>0</v>
      </c>
      <c r="R35" s="402">
        <v>0</v>
      </c>
      <c r="S35" s="402">
        <v>10000</v>
      </c>
      <c r="T35" s="402">
        <v>0</v>
      </c>
      <c r="U35" s="402">
        <v>0</v>
      </c>
      <c r="V35" s="402">
        <v>0</v>
      </c>
      <c r="W35" s="402">
        <v>0</v>
      </c>
      <c r="X35" s="402">
        <v>42320</v>
      </c>
      <c r="Y35" s="402">
        <v>871091.86568833888</v>
      </c>
      <c r="Z35" s="402">
        <v>468851.01273216016</v>
      </c>
      <c r="AA35" s="402">
        <v>19000</v>
      </c>
      <c r="AB35" s="402">
        <v>109885.13368501473</v>
      </c>
      <c r="AC35" s="402">
        <v>13999.128651442827</v>
      </c>
      <c r="AD35" s="402">
        <v>54090.711734470882</v>
      </c>
      <c r="AE35" s="402">
        <v>0</v>
      </c>
      <c r="AF35" s="402">
        <v>32047.146302019028</v>
      </c>
      <c r="AG35" s="402">
        <v>200</v>
      </c>
      <c r="AH35" s="402">
        <v>4000</v>
      </c>
      <c r="AI35" s="402">
        <v>3250</v>
      </c>
      <c r="AJ35" s="402">
        <v>101</v>
      </c>
      <c r="AK35" s="402">
        <v>10500</v>
      </c>
      <c r="AL35" s="402">
        <v>4200</v>
      </c>
      <c r="AM35" s="402">
        <v>2000</v>
      </c>
      <c r="AN35" s="402">
        <v>1000</v>
      </c>
      <c r="AO35" s="402">
        <v>17200</v>
      </c>
      <c r="AP35" s="402">
        <v>0</v>
      </c>
      <c r="AQ35" s="402">
        <v>2909.7200000000003</v>
      </c>
      <c r="AR35" s="402">
        <v>34405.72</v>
      </c>
      <c r="AS35" s="402">
        <v>24587</v>
      </c>
      <c r="AT35" s="402">
        <v>0</v>
      </c>
      <c r="AU35" s="402">
        <v>6410.32</v>
      </c>
      <c r="AV35" s="402">
        <v>3652</v>
      </c>
      <c r="AW35" s="402">
        <v>1100</v>
      </c>
      <c r="AX35" s="402">
        <v>43102</v>
      </c>
      <c r="AY35" s="402">
        <v>5000</v>
      </c>
      <c r="AZ35" s="402">
        <v>0</v>
      </c>
      <c r="BA35" s="402">
        <v>19400.210000000003</v>
      </c>
      <c r="BB35" s="402">
        <v>0</v>
      </c>
      <c r="BC35" s="402">
        <v>0</v>
      </c>
      <c r="BD35" s="402">
        <v>16200</v>
      </c>
      <c r="BE35" s="402">
        <v>897091.10310510756</v>
      </c>
      <c r="BF35" s="402">
        <v>-25999.237416768679</v>
      </c>
      <c r="BG35" s="402">
        <v>121629.11000000022</v>
      </c>
      <c r="BH35" s="402">
        <v>95629.872583231539</v>
      </c>
      <c r="BI35" s="402">
        <v>0</v>
      </c>
      <c r="BJ35" s="402">
        <v>0</v>
      </c>
      <c r="BK35" s="402">
        <v>0</v>
      </c>
      <c r="BL35" s="402">
        <v>0</v>
      </c>
      <c r="BM35" s="402">
        <v>0</v>
      </c>
      <c r="BN35" s="402">
        <v>0</v>
      </c>
      <c r="BO35" s="402">
        <v>0</v>
      </c>
      <c r="BP35" s="402">
        <v>0</v>
      </c>
      <c r="BQ35" s="402">
        <v>0</v>
      </c>
      <c r="BR35" s="402">
        <v>0</v>
      </c>
      <c r="BS35" s="402">
        <v>95629.872583231539</v>
      </c>
      <c r="BT35" s="402">
        <v>0</v>
      </c>
      <c r="BU35" s="402">
        <v>95629.872583231539</v>
      </c>
      <c r="BV35" s="402">
        <v>0</v>
      </c>
      <c r="BW35" s="402">
        <v>0</v>
      </c>
      <c r="BX35" s="402">
        <v>0</v>
      </c>
      <c r="BY35" s="402">
        <v>0</v>
      </c>
      <c r="BZ35" s="402">
        <v>0</v>
      </c>
      <c r="CA35" s="402">
        <v>0</v>
      </c>
      <c r="CB35" s="402">
        <v>0</v>
      </c>
      <c r="CC35" s="402">
        <v>0</v>
      </c>
      <c r="CD35" s="402">
        <v>0</v>
      </c>
      <c r="CE35" s="402">
        <v>0</v>
      </c>
      <c r="CF35" s="402">
        <v>0</v>
      </c>
      <c r="CG35" s="402">
        <v>0</v>
      </c>
      <c r="CH35" s="402">
        <f>VLOOKUP($B35,'Data - CFR 2024-25'!$B$4:$CJ$127,85,0)</f>
        <v>0</v>
      </c>
      <c r="CI35" s="402">
        <f>VLOOKUP($B35,'Data - CFR 2024-25'!$B$4:$CJ$127,86,0)</f>
        <v>0</v>
      </c>
      <c r="CJ35" s="402">
        <f>VLOOKUP($B35,'Data - CFR 2024-25'!$B$4:$CJ$127,87,0)</f>
        <v>0</v>
      </c>
    </row>
    <row r="36" spans="1:88" s="220" customFormat="1" ht="13.8">
      <c r="A36" s="252" t="s">
        <v>1384</v>
      </c>
      <c r="B36" s="288">
        <v>3368</v>
      </c>
      <c r="C36" s="288" t="s">
        <v>743</v>
      </c>
      <c r="D36" s="248" t="s">
        <v>708</v>
      </c>
      <c r="E36" s="399"/>
      <c r="F36" s="402">
        <v>745480</v>
      </c>
      <c r="G36" s="402">
        <v>0</v>
      </c>
      <c r="H36" s="402">
        <v>9499</v>
      </c>
      <c r="I36" s="402">
        <v>0</v>
      </c>
      <c r="J36" s="402">
        <v>16265</v>
      </c>
      <c r="K36" s="402">
        <v>0</v>
      </c>
      <c r="L36" s="402">
        <v>9000</v>
      </c>
      <c r="M36" s="402">
        <v>0</v>
      </c>
      <c r="N36" s="402">
        <v>700</v>
      </c>
      <c r="O36" s="402">
        <v>22658</v>
      </c>
      <c r="P36" s="402">
        <v>0</v>
      </c>
      <c r="Q36" s="402">
        <v>0</v>
      </c>
      <c r="R36" s="402">
        <v>0</v>
      </c>
      <c r="S36" s="402">
        <v>5750</v>
      </c>
      <c r="T36" s="402">
        <v>0</v>
      </c>
      <c r="U36" s="402">
        <v>0</v>
      </c>
      <c r="V36" s="402">
        <v>0</v>
      </c>
      <c r="W36" s="402">
        <v>0</v>
      </c>
      <c r="X36" s="402">
        <v>40768</v>
      </c>
      <c r="Y36" s="402">
        <v>850120</v>
      </c>
      <c r="Z36" s="402">
        <v>429681</v>
      </c>
      <c r="AA36" s="402">
        <v>36800</v>
      </c>
      <c r="AB36" s="402">
        <v>196915</v>
      </c>
      <c r="AC36" s="402">
        <v>0</v>
      </c>
      <c r="AD36" s="402">
        <v>38542</v>
      </c>
      <c r="AE36" s="402">
        <v>36551</v>
      </c>
      <c r="AF36" s="402">
        <v>8215</v>
      </c>
      <c r="AG36" s="402">
        <v>300</v>
      </c>
      <c r="AH36" s="402">
        <v>8489</v>
      </c>
      <c r="AI36" s="402">
        <v>2390</v>
      </c>
      <c r="AJ36" s="402">
        <v>0</v>
      </c>
      <c r="AK36" s="402">
        <v>8000</v>
      </c>
      <c r="AL36" s="402">
        <v>1834</v>
      </c>
      <c r="AM36" s="402">
        <v>20126</v>
      </c>
      <c r="AN36" s="402">
        <v>3533</v>
      </c>
      <c r="AO36" s="402">
        <v>13500</v>
      </c>
      <c r="AP36" s="402">
        <v>0</v>
      </c>
      <c r="AQ36" s="402">
        <v>2382</v>
      </c>
      <c r="AR36" s="402">
        <v>26253</v>
      </c>
      <c r="AS36" s="402">
        <v>14978</v>
      </c>
      <c r="AT36" s="402">
        <v>0</v>
      </c>
      <c r="AU36" s="402">
        <v>4298</v>
      </c>
      <c r="AV36" s="402">
        <v>3062</v>
      </c>
      <c r="AW36" s="402">
        <v>0</v>
      </c>
      <c r="AX36" s="402">
        <v>17250</v>
      </c>
      <c r="AY36" s="402">
        <v>1720</v>
      </c>
      <c r="AZ36" s="402">
        <v>23569</v>
      </c>
      <c r="BA36" s="402">
        <v>11471</v>
      </c>
      <c r="BB36" s="402">
        <v>0</v>
      </c>
      <c r="BC36" s="402">
        <v>0</v>
      </c>
      <c r="BD36" s="402">
        <v>12026</v>
      </c>
      <c r="BE36" s="402">
        <v>921884</v>
      </c>
      <c r="BF36" s="402">
        <v>-71765</v>
      </c>
      <c r="BG36" s="402">
        <v>73212</v>
      </c>
      <c r="BH36" s="402">
        <v>1447</v>
      </c>
      <c r="BI36" s="402">
        <v>0</v>
      </c>
      <c r="BJ36" s="402">
        <v>0</v>
      </c>
      <c r="BK36" s="402">
        <v>0</v>
      </c>
      <c r="BL36" s="402">
        <v>0</v>
      </c>
      <c r="BM36" s="402">
        <v>0</v>
      </c>
      <c r="BN36" s="402">
        <v>0</v>
      </c>
      <c r="BO36" s="402">
        <v>0</v>
      </c>
      <c r="BP36" s="402">
        <v>0</v>
      </c>
      <c r="BQ36" s="402">
        <v>0</v>
      </c>
      <c r="BR36" s="402">
        <v>0</v>
      </c>
      <c r="BS36" s="402">
        <v>1447</v>
      </c>
      <c r="BT36" s="402">
        <v>0</v>
      </c>
      <c r="BU36" s="402">
        <v>1447</v>
      </c>
      <c r="BV36" s="402">
        <v>0</v>
      </c>
      <c r="BW36" s="402">
        <v>0</v>
      </c>
      <c r="BX36" s="402">
        <v>0</v>
      </c>
      <c r="BY36" s="402">
        <v>0</v>
      </c>
      <c r="BZ36" s="402">
        <v>0</v>
      </c>
      <c r="CA36" s="402">
        <v>0</v>
      </c>
      <c r="CB36" s="402">
        <v>0</v>
      </c>
      <c r="CC36" s="402">
        <v>0</v>
      </c>
      <c r="CD36" s="402">
        <v>0</v>
      </c>
      <c r="CE36" s="402">
        <v>0</v>
      </c>
      <c r="CF36" s="402">
        <v>0</v>
      </c>
      <c r="CG36" s="402">
        <v>0</v>
      </c>
      <c r="CH36" s="402">
        <f>VLOOKUP($B36,'Data - CFR 2024-25'!$B$4:$CJ$127,85,0)</f>
        <v>0</v>
      </c>
      <c r="CI36" s="402">
        <f>VLOOKUP($B36,'Data - CFR 2024-25'!$B$4:$CJ$127,86,0)</f>
        <v>0</v>
      </c>
      <c r="CJ36" s="402">
        <f>VLOOKUP($B36,'Data - CFR 2024-25'!$B$4:$CJ$127,87,0)</f>
        <v>0</v>
      </c>
    </row>
    <row r="37" spans="1:88" s="220" customFormat="1" ht="13.8">
      <c r="A37" s="252" t="s">
        <v>1384</v>
      </c>
      <c r="B37" s="288">
        <v>2444</v>
      </c>
      <c r="C37" s="288" t="s">
        <v>744</v>
      </c>
      <c r="D37" s="248" t="s">
        <v>708</v>
      </c>
      <c r="E37" s="399"/>
      <c r="F37" s="402">
        <v>1841052.8500019009</v>
      </c>
      <c r="G37" s="402">
        <v>0</v>
      </c>
      <c r="H37" s="402">
        <v>141000</v>
      </c>
      <c r="I37" s="402">
        <v>0</v>
      </c>
      <c r="J37" s="402">
        <v>87135</v>
      </c>
      <c r="K37" s="402">
        <v>0</v>
      </c>
      <c r="L37" s="402">
        <v>0</v>
      </c>
      <c r="M37" s="402">
        <v>24000</v>
      </c>
      <c r="N37" s="402">
        <v>6000</v>
      </c>
      <c r="O37" s="402">
        <v>43000</v>
      </c>
      <c r="P37" s="402">
        <v>0</v>
      </c>
      <c r="Q37" s="402">
        <v>0</v>
      </c>
      <c r="R37" s="402">
        <v>8000</v>
      </c>
      <c r="S37" s="402">
        <v>5800</v>
      </c>
      <c r="T37" s="402">
        <v>0</v>
      </c>
      <c r="U37" s="402">
        <v>0</v>
      </c>
      <c r="V37" s="402">
        <v>0</v>
      </c>
      <c r="W37" s="402">
        <v>0</v>
      </c>
      <c r="X37" s="402">
        <v>107253</v>
      </c>
      <c r="Y37" s="402">
        <v>2263240.8500019009</v>
      </c>
      <c r="Z37" s="402">
        <v>1187865.7713872828</v>
      </c>
      <c r="AA37" s="402">
        <v>4000</v>
      </c>
      <c r="AB37" s="402">
        <v>493056.00010122632</v>
      </c>
      <c r="AC37" s="402">
        <v>75882.136560281273</v>
      </c>
      <c r="AD37" s="402">
        <v>95749.341314960344</v>
      </c>
      <c r="AE37" s="402">
        <v>0</v>
      </c>
      <c r="AF37" s="402">
        <v>33871.421121468469</v>
      </c>
      <c r="AG37" s="402">
        <v>7300</v>
      </c>
      <c r="AH37" s="402">
        <v>5000</v>
      </c>
      <c r="AI37" s="402">
        <v>0</v>
      </c>
      <c r="AJ37" s="402">
        <v>0</v>
      </c>
      <c r="AK37" s="402">
        <v>32000</v>
      </c>
      <c r="AL37" s="402">
        <v>6000</v>
      </c>
      <c r="AM37" s="402">
        <v>7000</v>
      </c>
      <c r="AN37" s="402">
        <v>7500</v>
      </c>
      <c r="AO37" s="402">
        <v>34000</v>
      </c>
      <c r="AP37" s="402">
        <v>0</v>
      </c>
      <c r="AQ37" s="402">
        <v>7300</v>
      </c>
      <c r="AR37" s="402">
        <v>34327</v>
      </c>
      <c r="AS37" s="402">
        <v>42500</v>
      </c>
      <c r="AT37" s="402">
        <v>0</v>
      </c>
      <c r="AU37" s="402">
        <v>12350</v>
      </c>
      <c r="AV37" s="402">
        <v>9500</v>
      </c>
      <c r="AW37" s="402">
        <v>3000</v>
      </c>
      <c r="AX37" s="402">
        <v>151518</v>
      </c>
      <c r="AY37" s="402">
        <v>0</v>
      </c>
      <c r="AZ37" s="402">
        <v>23300</v>
      </c>
      <c r="BA37" s="402">
        <v>21975</v>
      </c>
      <c r="BB37" s="402">
        <v>0</v>
      </c>
      <c r="BC37" s="402">
        <v>5320</v>
      </c>
      <c r="BD37" s="402">
        <v>8635</v>
      </c>
      <c r="BE37" s="402">
        <v>2308949.670485219</v>
      </c>
      <c r="BF37" s="402">
        <v>-45708.820483318064</v>
      </c>
      <c r="BG37" s="402">
        <v>47227.870000000374</v>
      </c>
      <c r="BH37" s="402">
        <v>1519.0495166823093</v>
      </c>
      <c r="BI37" s="402">
        <v>0</v>
      </c>
      <c r="BJ37" s="402">
        <v>0</v>
      </c>
      <c r="BK37" s="402">
        <v>0</v>
      </c>
      <c r="BL37" s="402">
        <v>0</v>
      </c>
      <c r="BM37" s="402">
        <v>0</v>
      </c>
      <c r="BN37" s="402">
        <v>0</v>
      </c>
      <c r="BO37" s="402">
        <v>0</v>
      </c>
      <c r="BP37" s="402">
        <v>0</v>
      </c>
      <c r="BQ37" s="402">
        <v>0</v>
      </c>
      <c r="BR37" s="402">
        <v>0</v>
      </c>
      <c r="BS37" s="402">
        <v>1519.0495166823093</v>
      </c>
      <c r="BT37" s="402">
        <v>0</v>
      </c>
      <c r="BU37" s="402">
        <v>1519.0495166823093</v>
      </c>
      <c r="BV37" s="402">
        <v>8095</v>
      </c>
      <c r="BW37" s="402">
        <v>0</v>
      </c>
      <c r="BX37" s="402">
        <v>8635</v>
      </c>
      <c r="BY37" s="402">
        <v>16730</v>
      </c>
      <c r="BZ37" s="402">
        <v>0</v>
      </c>
      <c r="CA37" s="402">
        <v>0</v>
      </c>
      <c r="CB37" s="402">
        <v>0</v>
      </c>
      <c r="CC37" s="402">
        <v>19871.05</v>
      </c>
      <c r="CD37" s="402">
        <v>19871.05</v>
      </c>
      <c r="CE37" s="402">
        <v>-3141.0499999999993</v>
      </c>
      <c r="CF37" s="402">
        <v>11776.05</v>
      </c>
      <c r="CG37" s="402">
        <v>8635</v>
      </c>
      <c r="CH37" s="402">
        <f>VLOOKUP($B37,'Data - CFR 2024-25'!$B$4:$CJ$127,85,0)</f>
        <v>11776.05</v>
      </c>
      <c r="CI37" s="402">
        <f>VLOOKUP($B37,'Data - CFR 2024-25'!$B$4:$CJ$127,86,0)</f>
        <v>0</v>
      </c>
      <c r="CJ37" s="402">
        <f>VLOOKUP($B37,'Data - CFR 2024-25'!$B$4:$CJ$127,87,0)</f>
        <v>11776.05</v>
      </c>
    </row>
    <row r="38" spans="1:88" s="220" customFormat="1" ht="13.8">
      <c r="A38" s="252" t="s">
        <v>1384</v>
      </c>
      <c r="B38" s="288">
        <v>3074</v>
      </c>
      <c r="C38" s="288" t="s">
        <v>745</v>
      </c>
      <c r="D38" s="248" t="s">
        <v>708</v>
      </c>
      <c r="E38" s="399"/>
      <c r="F38" s="402">
        <v>1052009.8642107442</v>
      </c>
      <c r="G38" s="402">
        <v>0</v>
      </c>
      <c r="H38" s="402">
        <v>59092</v>
      </c>
      <c r="I38" s="402">
        <v>0</v>
      </c>
      <c r="J38" s="402">
        <v>72235</v>
      </c>
      <c r="K38" s="402">
        <v>0</v>
      </c>
      <c r="L38" s="402">
        <v>0</v>
      </c>
      <c r="M38" s="402">
        <v>5540</v>
      </c>
      <c r="N38" s="402">
        <v>50025</v>
      </c>
      <c r="O38" s="402">
        <v>0</v>
      </c>
      <c r="P38" s="402">
        <v>0</v>
      </c>
      <c r="Q38" s="402">
        <v>0</v>
      </c>
      <c r="R38" s="402">
        <v>0</v>
      </c>
      <c r="S38" s="402">
        <v>0</v>
      </c>
      <c r="T38" s="402">
        <v>0</v>
      </c>
      <c r="U38" s="402">
        <v>0</v>
      </c>
      <c r="V38" s="402">
        <v>0</v>
      </c>
      <c r="W38" s="402">
        <v>0</v>
      </c>
      <c r="X38" s="402">
        <v>49096</v>
      </c>
      <c r="Y38" s="402">
        <v>1287997.8642107442</v>
      </c>
      <c r="Z38" s="402">
        <v>661675.96056795726</v>
      </c>
      <c r="AA38" s="402">
        <v>18000</v>
      </c>
      <c r="AB38" s="402">
        <v>273761.90931217786</v>
      </c>
      <c r="AC38" s="402">
        <v>27444.443831680976</v>
      </c>
      <c r="AD38" s="402">
        <v>65143.3136264735</v>
      </c>
      <c r="AE38" s="402">
        <v>0</v>
      </c>
      <c r="AF38" s="402">
        <v>29460.201777076931</v>
      </c>
      <c r="AG38" s="402">
        <v>5313</v>
      </c>
      <c r="AH38" s="402">
        <v>6500</v>
      </c>
      <c r="AI38" s="402">
        <v>4975</v>
      </c>
      <c r="AJ38" s="402">
        <v>1684</v>
      </c>
      <c r="AK38" s="402">
        <v>14000</v>
      </c>
      <c r="AL38" s="402">
        <v>6500</v>
      </c>
      <c r="AM38" s="402">
        <v>5644</v>
      </c>
      <c r="AN38" s="402">
        <v>3000</v>
      </c>
      <c r="AO38" s="402">
        <v>31310</v>
      </c>
      <c r="AP38" s="402">
        <v>0</v>
      </c>
      <c r="AQ38" s="402">
        <v>7045</v>
      </c>
      <c r="AR38" s="402">
        <v>43415</v>
      </c>
      <c r="AS38" s="402">
        <v>36456</v>
      </c>
      <c r="AT38" s="402">
        <v>0</v>
      </c>
      <c r="AU38" s="402">
        <v>16955</v>
      </c>
      <c r="AV38" s="402">
        <v>5183</v>
      </c>
      <c r="AW38" s="402">
        <v>4600</v>
      </c>
      <c r="AX38" s="402">
        <v>57883</v>
      </c>
      <c r="AY38" s="402">
        <v>0</v>
      </c>
      <c r="AZ38" s="402">
        <v>1500</v>
      </c>
      <c r="BA38" s="402">
        <v>15875</v>
      </c>
      <c r="BB38" s="402">
        <v>0</v>
      </c>
      <c r="BC38" s="402">
        <v>0</v>
      </c>
      <c r="BD38" s="402">
        <v>1000</v>
      </c>
      <c r="BE38" s="402">
        <v>1344323.8291153666</v>
      </c>
      <c r="BF38" s="402">
        <v>-56325.964904622408</v>
      </c>
      <c r="BG38" s="402">
        <v>120557.83000000067</v>
      </c>
      <c r="BH38" s="402">
        <v>64231.865095378264</v>
      </c>
      <c r="BI38" s="402">
        <v>92400</v>
      </c>
      <c r="BJ38" s="402">
        <v>9204</v>
      </c>
      <c r="BK38" s="402">
        <v>101604</v>
      </c>
      <c r="BL38" s="402">
        <v>101518.73266693557</v>
      </c>
      <c r="BM38" s="402">
        <v>21554</v>
      </c>
      <c r="BN38" s="402">
        <v>123072.73266693557</v>
      </c>
      <c r="BO38" s="402">
        <v>-21468.732666935568</v>
      </c>
      <c r="BP38" s="402">
        <v>30842.98000000001</v>
      </c>
      <c r="BQ38" s="402">
        <v>9374.2473330644425</v>
      </c>
      <c r="BR38" s="402">
        <v>0</v>
      </c>
      <c r="BS38" s="402">
        <v>64231.865095378264</v>
      </c>
      <c r="BT38" s="402">
        <v>9374.2473330644425</v>
      </c>
      <c r="BU38" s="402">
        <v>73606.112428442706</v>
      </c>
      <c r="BV38" s="402">
        <v>6523</v>
      </c>
      <c r="BW38" s="402">
        <v>0</v>
      </c>
      <c r="BX38" s="402">
        <v>0</v>
      </c>
      <c r="BY38" s="402">
        <v>6523</v>
      </c>
      <c r="BZ38" s="402">
        <v>0</v>
      </c>
      <c r="CA38" s="402">
        <v>15293.1</v>
      </c>
      <c r="CB38" s="402">
        <v>0</v>
      </c>
      <c r="CC38" s="402">
        <v>0</v>
      </c>
      <c r="CD38" s="402">
        <v>15293.1</v>
      </c>
      <c r="CE38" s="402">
        <v>-8770.1</v>
      </c>
      <c r="CF38" s="402">
        <v>8770.0999999999985</v>
      </c>
      <c r="CG38" s="402">
        <v>0</v>
      </c>
      <c r="CH38" s="402">
        <f>VLOOKUP($B38,'Data - CFR 2024-25'!$B$4:$CJ$127,85,0)</f>
        <v>8770.1</v>
      </c>
      <c r="CI38" s="402">
        <f>VLOOKUP($B38,'Data - CFR 2024-25'!$B$4:$CJ$127,86,0)</f>
        <v>0</v>
      </c>
      <c r="CJ38" s="402">
        <f>VLOOKUP($B38,'Data - CFR 2024-25'!$B$4:$CJ$127,87,0)</f>
        <v>8770.1</v>
      </c>
    </row>
    <row r="39" spans="1:88" s="220" customFormat="1" ht="13.8">
      <c r="A39" s="252" t="s">
        <v>1384</v>
      </c>
      <c r="B39" s="288">
        <v>2336</v>
      </c>
      <c r="C39" s="288" t="s">
        <v>1378</v>
      </c>
      <c r="D39" s="248" t="s">
        <v>708</v>
      </c>
      <c r="E39" s="399"/>
      <c r="F39" s="402">
        <v>0</v>
      </c>
      <c r="G39" s="402">
        <v>0</v>
      </c>
      <c r="H39" s="402">
        <v>0</v>
      </c>
      <c r="I39" s="402">
        <v>0</v>
      </c>
      <c r="J39" s="402">
        <v>0</v>
      </c>
      <c r="K39" s="402">
        <v>0</v>
      </c>
      <c r="L39" s="402">
        <v>0</v>
      </c>
      <c r="M39" s="402">
        <v>0</v>
      </c>
      <c r="N39" s="402">
        <v>0</v>
      </c>
      <c r="O39" s="402">
        <v>0</v>
      </c>
      <c r="P39" s="402">
        <v>0</v>
      </c>
      <c r="Q39" s="402">
        <v>0</v>
      </c>
      <c r="R39" s="402">
        <v>0</v>
      </c>
      <c r="S39" s="402">
        <v>0</v>
      </c>
      <c r="T39" s="402">
        <v>0</v>
      </c>
      <c r="U39" s="402">
        <v>0</v>
      </c>
      <c r="V39" s="402">
        <v>0</v>
      </c>
      <c r="W39" s="402">
        <v>0</v>
      </c>
      <c r="X39" s="402">
        <v>0</v>
      </c>
      <c r="Y39" s="402">
        <v>0</v>
      </c>
      <c r="Z39" s="402">
        <v>0</v>
      </c>
      <c r="AA39" s="402">
        <v>0</v>
      </c>
      <c r="AB39" s="402">
        <v>0</v>
      </c>
      <c r="AC39" s="402">
        <v>0</v>
      </c>
      <c r="AD39" s="402">
        <v>0</v>
      </c>
      <c r="AE39" s="402">
        <v>0</v>
      </c>
      <c r="AF39" s="402">
        <v>0</v>
      </c>
      <c r="AG39" s="402">
        <v>0</v>
      </c>
      <c r="AH39" s="402">
        <v>0</v>
      </c>
      <c r="AI39" s="402">
        <v>0</v>
      </c>
      <c r="AJ39" s="402">
        <v>0</v>
      </c>
      <c r="AK39" s="402">
        <v>0</v>
      </c>
      <c r="AL39" s="402">
        <v>0</v>
      </c>
      <c r="AM39" s="402">
        <v>0</v>
      </c>
      <c r="AN39" s="402">
        <v>0</v>
      </c>
      <c r="AO39" s="402">
        <v>0</v>
      </c>
      <c r="AP39" s="402">
        <v>0</v>
      </c>
      <c r="AQ39" s="402">
        <v>0</v>
      </c>
      <c r="AR39" s="402">
        <v>0</v>
      </c>
      <c r="AS39" s="402">
        <v>0</v>
      </c>
      <c r="AT39" s="402">
        <v>0</v>
      </c>
      <c r="AU39" s="402">
        <v>0</v>
      </c>
      <c r="AV39" s="402">
        <v>0</v>
      </c>
      <c r="AW39" s="402">
        <v>0</v>
      </c>
      <c r="AX39" s="402">
        <v>0</v>
      </c>
      <c r="AY39" s="402">
        <v>0</v>
      </c>
      <c r="AZ39" s="402">
        <v>0</v>
      </c>
      <c r="BA39" s="402">
        <v>0</v>
      </c>
      <c r="BB39" s="402">
        <v>0</v>
      </c>
      <c r="BC39" s="402">
        <v>0</v>
      </c>
      <c r="BD39" s="402">
        <v>0</v>
      </c>
      <c r="BE39" s="402">
        <v>0</v>
      </c>
      <c r="BF39" s="402">
        <v>0</v>
      </c>
      <c r="BG39" s="402">
        <v>0</v>
      </c>
      <c r="BH39" s="402">
        <v>0</v>
      </c>
      <c r="BI39" s="402">
        <v>0</v>
      </c>
      <c r="BJ39" s="402">
        <v>0</v>
      </c>
      <c r="BK39" s="402">
        <v>0</v>
      </c>
      <c r="BL39" s="402">
        <v>0</v>
      </c>
      <c r="BM39" s="402">
        <v>0</v>
      </c>
      <c r="BN39" s="402">
        <v>0</v>
      </c>
      <c r="BO39" s="402">
        <v>0</v>
      </c>
      <c r="BP39" s="402">
        <v>0</v>
      </c>
      <c r="BQ39" s="402">
        <v>0</v>
      </c>
      <c r="BR39" s="402">
        <v>0</v>
      </c>
      <c r="BS39" s="402">
        <v>0</v>
      </c>
      <c r="BT39" s="402">
        <v>0</v>
      </c>
      <c r="BU39" s="402">
        <v>0</v>
      </c>
      <c r="BV39" s="402">
        <v>0</v>
      </c>
      <c r="BW39" s="402">
        <v>0</v>
      </c>
      <c r="BX39" s="402">
        <v>0</v>
      </c>
      <c r="BY39" s="402">
        <v>0</v>
      </c>
      <c r="BZ39" s="402">
        <v>0</v>
      </c>
      <c r="CA39" s="402">
        <v>0</v>
      </c>
      <c r="CB39" s="402">
        <v>0</v>
      </c>
      <c r="CC39" s="402">
        <v>0</v>
      </c>
      <c r="CD39" s="402">
        <v>0</v>
      </c>
      <c r="CE39" s="402">
        <v>0</v>
      </c>
      <c r="CF39" s="402">
        <v>0</v>
      </c>
      <c r="CG39" s="402">
        <v>0</v>
      </c>
      <c r="CH39" s="402">
        <f>VLOOKUP($B39,'Data - CFR 2024-25'!$B$4:$CJ$127,85,0)</f>
        <v>543.67000000000007</v>
      </c>
      <c r="CI39" s="402">
        <f>VLOOKUP($B39,'Data - CFR 2024-25'!$B$4:$CJ$127,86,0)</f>
        <v>0</v>
      </c>
      <c r="CJ39" s="402">
        <f>VLOOKUP($B39,'Data - CFR 2024-25'!$B$4:$CJ$127,87,0)</f>
        <v>543.67000000000007</v>
      </c>
    </row>
    <row r="40" spans="1:88" s="220" customFormat="1" ht="13.8">
      <c r="A40" s="252" t="s">
        <v>1384</v>
      </c>
      <c r="B40" s="288">
        <v>2010</v>
      </c>
      <c r="C40" s="288" t="s">
        <v>746</v>
      </c>
      <c r="D40" s="248" t="s">
        <v>708</v>
      </c>
      <c r="E40" s="399"/>
      <c r="F40" s="402">
        <v>653982</v>
      </c>
      <c r="G40" s="402">
        <v>0</v>
      </c>
      <c r="H40" s="402">
        <v>57385</v>
      </c>
      <c r="I40" s="402">
        <v>0</v>
      </c>
      <c r="J40" s="402">
        <v>26470</v>
      </c>
      <c r="K40" s="402">
        <v>0</v>
      </c>
      <c r="L40" s="402">
        <v>0</v>
      </c>
      <c r="M40" s="402">
        <v>800</v>
      </c>
      <c r="N40" s="402">
        <v>100</v>
      </c>
      <c r="O40" s="402">
        <v>0</v>
      </c>
      <c r="P40" s="402">
        <v>0</v>
      </c>
      <c r="Q40" s="402">
        <v>0</v>
      </c>
      <c r="R40" s="402">
        <v>0</v>
      </c>
      <c r="S40" s="402">
        <v>0</v>
      </c>
      <c r="T40" s="402">
        <v>0</v>
      </c>
      <c r="U40" s="402">
        <v>0</v>
      </c>
      <c r="V40" s="402">
        <v>0</v>
      </c>
      <c r="W40" s="402">
        <v>0</v>
      </c>
      <c r="X40" s="402">
        <v>35033</v>
      </c>
      <c r="Y40" s="402">
        <v>773770</v>
      </c>
      <c r="Z40" s="402">
        <v>369713</v>
      </c>
      <c r="AA40" s="402">
        <v>4000</v>
      </c>
      <c r="AB40" s="402">
        <v>181701</v>
      </c>
      <c r="AC40" s="402">
        <v>0</v>
      </c>
      <c r="AD40" s="402">
        <v>70656</v>
      </c>
      <c r="AE40" s="402">
        <v>0</v>
      </c>
      <c r="AF40" s="402">
        <v>19119</v>
      </c>
      <c r="AG40" s="402">
        <v>2800</v>
      </c>
      <c r="AH40" s="402">
        <v>2500</v>
      </c>
      <c r="AI40" s="402">
        <v>3510</v>
      </c>
      <c r="AJ40" s="402">
        <v>0</v>
      </c>
      <c r="AK40" s="402">
        <v>4400</v>
      </c>
      <c r="AL40" s="402">
        <v>2400</v>
      </c>
      <c r="AM40" s="402">
        <v>18276</v>
      </c>
      <c r="AN40" s="402">
        <v>2000</v>
      </c>
      <c r="AO40" s="402">
        <v>13000</v>
      </c>
      <c r="AP40" s="402">
        <v>0</v>
      </c>
      <c r="AQ40" s="402">
        <v>2440</v>
      </c>
      <c r="AR40" s="402">
        <v>15919</v>
      </c>
      <c r="AS40" s="402">
        <v>19225</v>
      </c>
      <c r="AT40" s="402">
        <v>0</v>
      </c>
      <c r="AU40" s="402">
        <v>3920</v>
      </c>
      <c r="AV40" s="402">
        <v>3180</v>
      </c>
      <c r="AW40" s="402">
        <v>0</v>
      </c>
      <c r="AX40" s="402">
        <v>41042</v>
      </c>
      <c r="AY40" s="402">
        <v>0</v>
      </c>
      <c r="AZ40" s="402">
        <v>10025</v>
      </c>
      <c r="BA40" s="402">
        <v>9385</v>
      </c>
      <c r="BB40" s="402">
        <v>0</v>
      </c>
      <c r="BC40" s="402">
        <v>0</v>
      </c>
      <c r="BD40" s="402">
        <v>0</v>
      </c>
      <c r="BE40" s="402">
        <v>799212</v>
      </c>
      <c r="BF40" s="402">
        <v>-25442</v>
      </c>
      <c r="BG40" s="402">
        <v>-27355</v>
      </c>
      <c r="BH40" s="402">
        <v>-52797</v>
      </c>
      <c r="BI40" s="402">
        <v>0</v>
      </c>
      <c r="BJ40" s="402">
        <v>0</v>
      </c>
      <c r="BK40" s="402">
        <v>0</v>
      </c>
      <c r="BL40" s="402">
        <v>0</v>
      </c>
      <c r="BM40" s="402">
        <v>0</v>
      </c>
      <c r="BN40" s="402">
        <v>0</v>
      </c>
      <c r="BO40" s="402">
        <v>0</v>
      </c>
      <c r="BP40" s="402">
        <v>0</v>
      </c>
      <c r="BQ40" s="402">
        <v>0</v>
      </c>
      <c r="BR40" s="402">
        <v>0</v>
      </c>
      <c r="BS40" s="402">
        <v>-52797</v>
      </c>
      <c r="BT40" s="402">
        <v>0</v>
      </c>
      <c r="BU40" s="402">
        <v>-52797</v>
      </c>
      <c r="BV40" s="402">
        <v>5238</v>
      </c>
      <c r="BW40" s="402">
        <v>0</v>
      </c>
      <c r="BX40" s="402">
        <v>0</v>
      </c>
      <c r="BY40" s="402">
        <v>5238</v>
      </c>
      <c r="BZ40" s="402">
        <v>0</v>
      </c>
      <c r="CA40" s="402">
        <v>13024</v>
      </c>
      <c r="CB40" s="402">
        <v>0</v>
      </c>
      <c r="CC40" s="402">
        <v>0</v>
      </c>
      <c r="CD40" s="402">
        <v>13024</v>
      </c>
      <c r="CE40" s="402">
        <v>-7786</v>
      </c>
      <c r="CF40" s="402">
        <v>7786</v>
      </c>
      <c r="CG40" s="402">
        <v>0</v>
      </c>
      <c r="CH40" s="402">
        <f>VLOOKUP($B40,'Data - CFR 2024-25'!$B$4:$CJ$127,85,0)</f>
        <v>7786.02</v>
      </c>
      <c r="CI40" s="402">
        <f>VLOOKUP($B40,'Data - CFR 2024-25'!$B$4:$CJ$127,86,0)</f>
        <v>0</v>
      </c>
      <c r="CJ40" s="402">
        <f>VLOOKUP($B40,'Data - CFR 2024-25'!$B$4:$CJ$127,87,0)</f>
        <v>7786.02</v>
      </c>
    </row>
    <row r="41" spans="1:88" s="220" customFormat="1" ht="13.8">
      <c r="A41" s="252" t="s">
        <v>1384</v>
      </c>
      <c r="B41" s="288">
        <v>2208</v>
      </c>
      <c r="C41" s="288" t="s">
        <v>747</v>
      </c>
      <c r="D41" s="248" t="s">
        <v>708</v>
      </c>
      <c r="E41" s="399"/>
      <c r="F41" s="402">
        <v>1011376.8533936264</v>
      </c>
      <c r="G41" s="402">
        <v>0</v>
      </c>
      <c r="H41" s="402">
        <v>14658</v>
      </c>
      <c r="I41" s="402">
        <v>0</v>
      </c>
      <c r="J41" s="402">
        <v>55190</v>
      </c>
      <c r="K41" s="402">
        <v>0</v>
      </c>
      <c r="L41" s="402">
        <v>0</v>
      </c>
      <c r="M41" s="402">
        <v>13000</v>
      </c>
      <c r="N41" s="402">
        <v>17000</v>
      </c>
      <c r="O41" s="402">
        <v>21000</v>
      </c>
      <c r="P41" s="402">
        <v>6750</v>
      </c>
      <c r="Q41" s="402">
        <v>0</v>
      </c>
      <c r="R41" s="402">
        <v>0</v>
      </c>
      <c r="S41" s="402">
        <v>10000</v>
      </c>
      <c r="T41" s="402">
        <v>0</v>
      </c>
      <c r="U41" s="402">
        <v>0</v>
      </c>
      <c r="V41" s="402">
        <v>0</v>
      </c>
      <c r="W41" s="402">
        <v>0</v>
      </c>
      <c r="X41" s="402">
        <v>44315</v>
      </c>
      <c r="Y41" s="402">
        <v>1193289.8533936264</v>
      </c>
      <c r="Z41" s="402">
        <v>635699.50284494809</v>
      </c>
      <c r="AA41" s="402">
        <v>10000</v>
      </c>
      <c r="AB41" s="402">
        <v>155894.94809022348</v>
      </c>
      <c r="AC41" s="402">
        <v>37364.153989999999</v>
      </c>
      <c r="AD41" s="402">
        <v>89274.895766097732</v>
      </c>
      <c r="AE41" s="402">
        <v>0</v>
      </c>
      <c r="AF41" s="402">
        <v>29391.776457868251</v>
      </c>
      <c r="AG41" s="402">
        <v>3400</v>
      </c>
      <c r="AH41" s="402">
        <v>3000</v>
      </c>
      <c r="AI41" s="402">
        <v>4700</v>
      </c>
      <c r="AJ41" s="402">
        <v>0</v>
      </c>
      <c r="AK41" s="402">
        <v>18000</v>
      </c>
      <c r="AL41" s="402">
        <v>6500</v>
      </c>
      <c r="AM41" s="402">
        <v>30745</v>
      </c>
      <c r="AN41" s="402">
        <v>6500</v>
      </c>
      <c r="AO41" s="402">
        <v>32500</v>
      </c>
      <c r="AP41" s="402">
        <v>0</v>
      </c>
      <c r="AQ41" s="402">
        <v>2000</v>
      </c>
      <c r="AR41" s="402">
        <v>14710</v>
      </c>
      <c r="AS41" s="402">
        <v>40010</v>
      </c>
      <c r="AT41" s="402">
        <v>0</v>
      </c>
      <c r="AU41" s="402">
        <v>7935</v>
      </c>
      <c r="AV41" s="402">
        <v>5521.31</v>
      </c>
      <c r="AW41" s="402">
        <v>0</v>
      </c>
      <c r="AX41" s="402">
        <v>67609</v>
      </c>
      <c r="AY41" s="402">
        <v>0</v>
      </c>
      <c r="AZ41" s="402">
        <v>14000</v>
      </c>
      <c r="BA41" s="402">
        <v>18511.760000000002</v>
      </c>
      <c r="BB41" s="402">
        <v>0</v>
      </c>
      <c r="BC41" s="402">
        <v>0</v>
      </c>
      <c r="BD41" s="402">
        <v>5741.73</v>
      </c>
      <c r="BE41" s="402">
        <v>1239009.0771491376</v>
      </c>
      <c r="BF41" s="402">
        <v>-45719.223755511222</v>
      </c>
      <c r="BG41" s="402">
        <v>68190</v>
      </c>
      <c r="BH41" s="402">
        <v>22470.776244488778</v>
      </c>
      <c r="BI41" s="402">
        <v>120000</v>
      </c>
      <c r="BJ41" s="402">
        <v>10000</v>
      </c>
      <c r="BK41" s="402">
        <v>130000</v>
      </c>
      <c r="BL41" s="402">
        <v>114163.78848539123</v>
      </c>
      <c r="BM41" s="402">
        <v>36830</v>
      </c>
      <c r="BN41" s="402">
        <v>150993.78848539124</v>
      </c>
      <c r="BO41" s="402">
        <v>-20993.78848539124</v>
      </c>
      <c r="BP41" s="402">
        <v>49991</v>
      </c>
      <c r="BQ41" s="402">
        <v>28997.21151460876</v>
      </c>
      <c r="BR41" s="402">
        <v>0</v>
      </c>
      <c r="BS41" s="402">
        <v>22470.776244488778</v>
      </c>
      <c r="BT41" s="402">
        <v>28997.21151460876</v>
      </c>
      <c r="BU41" s="402">
        <v>51467.987759097537</v>
      </c>
      <c r="BV41" s="402">
        <v>6416.91</v>
      </c>
      <c r="BW41" s="402">
        <v>0</v>
      </c>
      <c r="BX41" s="402">
        <v>0</v>
      </c>
      <c r="BY41" s="402">
        <v>6416.91</v>
      </c>
      <c r="BZ41" s="402">
        <v>0</v>
      </c>
      <c r="CA41" s="402">
        <v>0</v>
      </c>
      <c r="CB41" s="402">
        <v>0</v>
      </c>
      <c r="CC41" s="402">
        <v>6416.91</v>
      </c>
      <c r="CD41" s="402">
        <v>6416.91</v>
      </c>
      <c r="CE41" s="402">
        <v>0</v>
      </c>
      <c r="CF41" s="402">
        <v>14944.75</v>
      </c>
      <c r="CG41" s="402">
        <v>14944.75</v>
      </c>
      <c r="CH41" s="402">
        <f>VLOOKUP($B41,'Data - CFR 2024-25'!$B$4:$CJ$127,85,0)</f>
        <v>14410.32</v>
      </c>
      <c r="CI41" s="402">
        <f>VLOOKUP($B41,'Data - CFR 2024-25'!$B$4:$CJ$127,86,0)</f>
        <v>534.42999999999995</v>
      </c>
      <c r="CJ41" s="402">
        <f>VLOOKUP($B41,'Data - CFR 2024-25'!$B$4:$CJ$127,87,0)</f>
        <v>14944.75</v>
      </c>
    </row>
    <row r="42" spans="1:88" s="220" customFormat="1" ht="13.8">
      <c r="A42" s="252" t="s">
        <v>1384</v>
      </c>
      <c r="B42" s="288">
        <v>3065</v>
      </c>
      <c r="C42" s="288" t="s">
        <v>748</v>
      </c>
      <c r="D42" s="248" t="s">
        <v>708</v>
      </c>
      <c r="E42" s="399"/>
      <c r="F42" s="402">
        <v>581349</v>
      </c>
      <c r="G42" s="402">
        <v>0</v>
      </c>
      <c r="H42" s="402">
        <v>48000</v>
      </c>
      <c r="I42" s="402">
        <v>0</v>
      </c>
      <c r="J42" s="402">
        <v>24955</v>
      </c>
      <c r="K42" s="402">
        <v>0</v>
      </c>
      <c r="L42" s="402">
        <v>0</v>
      </c>
      <c r="M42" s="402">
        <v>2550</v>
      </c>
      <c r="N42" s="402">
        <v>18100</v>
      </c>
      <c r="O42" s="402">
        <v>7000</v>
      </c>
      <c r="P42" s="402">
        <v>0</v>
      </c>
      <c r="Q42" s="402">
        <v>0</v>
      </c>
      <c r="R42" s="402">
        <v>1170</v>
      </c>
      <c r="S42" s="402">
        <v>1550</v>
      </c>
      <c r="T42" s="402">
        <v>0</v>
      </c>
      <c r="U42" s="402">
        <v>0</v>
      </c>
      <c r="V42" s="402">
        <v>0</v>
      </c>
      <c r="W42" s="402">
        <v>0</v>
      </c>
      <c r="X42" s="402">
        <v>31888</v>
      </c>
      <c r="Y42" s="402">
        <v>716562</v>
      </c>
      <c r="Z42" s="402">
        <v>371475</v>
      </c>
      <c r="AA42" s="402">
        <v>0</v>
      </c>
      <c r="AB42" s="402">
        <v>135535</v>
      </c>
      <c r="AC42" s="402">
        <v>0</v>
      </c>
      <c r="AD42" s="402">
        <v>26968</v>
      </c>
      <c r="AE42" s="402">
        <v>20980</v>
      </c>
      <c r="AF42" s="402">
        <v>35251</v>
      </c>
      <c r="AG42" s="402">
        <v>2265</v>
      </c>
      <c r="AH42" s="402">
        <v>500</v>
      </c>
      <c r="AI42" s="402">
        <v>1154</v>
      </c>
      <c r="AJ42" s="402">
        <v>0</v>
      </c>
      <c r="AK42" s="402">
        <v>5000</v>
      </c>
      <c r="AL42" s="402">
        <v>3548</v>
      </c>
      <c r="AM42" s="402">
        <v>16964</v>
      </c>
      <c r="AN42" s="402">
        <v>4000</v>
      </c>
      <c r="AO42" s="402">
        <v>17000</v>
      </c>
      <c r="AP42" s="402">
        <v>0</v>
      </c>
      <c r="AQ42" s="402">
        <v>1343</v>
      </c>
      <c r="AR42" s="402">
        <v>6920</v>
      </c>
      <c r="AS42" s="402">
        <v>27531</v>
      </c>
      <c r="AT42" s="402">
        <v>0</v>
      </c>
      <c r="AU42" s="402">
        <v>4803</v>
      </c>
      <c r="AV42" s="402">
        <v>2534</v>
      </c>
      <c r="AW42" s="402">
        <v>500</v>
      </c>
      <c r="AX42" s="402">
        <v>9900</v>
      </c>
      <c r="AY42" s="402">
        <v>0</v>
      </c>
      <c r="AZ42" s="402">
        <v>1925</v>
      </c>
      <c r="BA42" s="402">
        <v>7602</v>
      </c>
      <c r="BB42" s="402">
        <v>0</v>
      </c>
      <c r="BC42" s="402">
        <v>0</v>
      </c>
      <c r="BD42" s="402">
        <v>0</v>
      </c>
      <c r="BE42" s="402">
        <v>703698</v>
      </c>
      <c r="BF42" s="402">
        <v>12864</v>
      </c>
      <c r="BG42" s="402">
        <v>-5014</v>
      </c>
      <c r="BH42" s="402">
        <v>7850</v>
      </c>
      <c r="BI42" s="402">
        <v>0</v>
      </c>
      <c r="BJ42" s="402">
        <v>0</v>
      </c>
      <c r="BK42" s="402">
        <v>0</v>
      </c>
      <c r="BL42" s="402">
        <v>0</v>
      </c>
      <c r="BM42" s="402">
        <v>0</v>
      </c>
      <c r="BN42" s="402">
        <v>0</v>
      </c>
      <c r="BO42" s="402">
        <v>0</v>
      </c>
      <c r="BP42" s="402">
        <v>0</v>
      </c>
      <c r="BQ42" s="402">
        <v>0</v>
      </c>
      <c r="BR42" s="402">
        <v>0</v>
      </c>
      <c r="BS42" s="402">
        <v>7850</v>
      </c>
      <c r="BT42" s="402">
        <v>0</v>
      </c>
      <c r="BU42" s="402">
        <v>7850</v>
      </c>
      <c r="BV42" s="402">
        <v>5069</v>
      </c>
      <c r="BW42" s="402">
        <v>0</v>
      </c>
      <c r="BX42" s="402">
        <v>0</v>
      </c>
      <c r="BY42" s="402">
        <v>5069</v>
      </c>
      <c r="BZ42" s="402">
        <v>0</v>
      </c>
      <c r="CA42" s="402">
        <v>5069</v>
      </c>
      <c r="CB42" s="402">
        <v>0</v>
      </c>
      <c r="CC42" s="402">
        <v>0</v>
      </c>
      <c r="CD42" s="402">
        <v>5069</v>
      </c>
      <c r="CE42" s="402">
        <v>0</v>
      </c>
      <c r="CF42" s="402">
        <v>0</v>
      </c>
      <c r="CG42" s="402">
        <v>0</v>
      </c>
      <c r="CH42" s="402">
        <f>VLOOKUP($B42,'Data - CFR 2024-25'!$B$4:$CJ$127,85,0)</f>
        <v>4.0023540037736893E-13</v>
      </c>
      <c r="CI42" s="402">
        <f>VLOOKUP($B42,'Data - CFR 2024-25'!$B$4:$CJ$127,86,0)</f>
        <v>0</v>
      </c>
      <c r="CJ42" s="402">
        <f>VLOOKUP($B42,'Data - CFR 2024-25'!$B$4:$CJ$127,87,0)</f>
        <v>4.0023540037736893E-13</v>
      </c>
    </row>
    <row r="43" spans="1:88" s="220" customFormat="1" ht="13.8">
      <c r="A43" s="252" t="s">
        <v>1384</v>
      </c>
      <c r="B43" s="288">
        <v>3014</v>
      </c>
      <c r="C43" s="288" t="s">
        <v>749</v>
      </c>
      <c r="D43" s="248" t="s">
        <v>708</v>
      </c>
      <c r="E43" s="399"/>
      <c r="F43" s="402">
        <v>2097570.0499955504</v>
      </c>
      <c r="G43" s="402">
        <v>0</v>
      </c>
      <c r="H43" s="402">
        <v>94411</v>
      </c>
      <c r="I43" s="402">
        <v>0</v>
      </c>
      <c r="J43" s="402">
        <v>109320</v>
      </c>
      <c r="K43" s="402">
        <v>0</v>
      </c>
      <c r="L43" s="402">
        <v>0</v>
      </c>
      <c r="M43" s="402">
        <v>800</v>
      </c>
      <c r="N43" s="402">
        <v>102000</v>
      </c>
      <c r="O43" s="402">
        <v>43050</v>
      </c>
      <c r="P43" s="402">
        <v>6000</v>
      </c>
      <c r="Q43" s="402">
        <v>0</v>
      </c>
      <c r="R43" s="402">
        <v>0</v>
      </c>
      <c r="S43" s="402">
        <v>0</v>
      </c>
      <c r="T43" s="402">
        <v>0</v>
      </c>
      <c r="U43" s="402">
        <v>0</v>
      </c>
      <c r="V43" s="402">
        <v>0</v>
      </c>
      <c r="W43" s="402">
        <v>0</v>
      </c>
      <c r="X43" s="402">
        <v>84180</v>
      </c>
      <c r="Y43" s="402">
        <v>2537331.0499955504</v>
      </c>
      <c r="Z43" s="402">
        <v>1432711.8153234331</v>
      </c>
      <c r="AA43" s="402">
        <v>0</v>
      </c>
      <c r="AB43" s="402">
        <v>554092.96369397186</v>
      </c>
      <c r="AC43" s="402">
        <v>34421.008402702704</v>
      </c>
      <c r="AD43" s="402">
        <v>101967.7581391587</v>
      </c>
      <c r="AE43" s="402">
        <v>0</v>
      </c>
      <c r="AF43" s="402">
        <v>93225.437222975597</v>
      </c>
      <c r="AG43" s="402">
        <v>9500</v>
      </c>
      <c r="AH43" s="402">
        <v>7000</v>
      </c>
      <c r="AI43" s="402">
        <v>12168.16</v>
      </c>
      <c r="AJ43" s="402">
        <v>0</v>
      </c>
      <c r="AK43" s="402">
        <v>36050</v>
      </c>
      <c r="AL43" s="402">
        <v>500</v>
      </c>
      <c r="AM43" s="402">
        <v>61800</v>
      </c>
      <c r="AN43" s="402">
        <v>6500</v>
      </c>
      <c r="AO43" s="402">
        <v>75000</v>
      </c>
      <c r="AP43" s="402">
        <v>0</v>
      </c>
      <c r="AQ43" s="402">
        <v>26775</v>
      </c>
      <c r="AR43" s="402">
        <v>31346.400000000001</v>
      </c>
      <c r="AS43" s="402">
        <v>40235.93</v>
      </c>
      <c r="AT43" s="402">
        <v>0</v>
      </c>
      <c r="AU43" s="402">
        <v>16012.5</v>
      </c>
      <c r="AV43" s="402">
        <v>10869.84</v>
      </c>
      <c r="AW43" s="402">
        <v>0</v>
      </c>
      <c r="AX43" s="402">
        <v>130350</v>
      </c>
      <c r="AY43" s="402">
        <v>5820</v>
      </c>
      <c r="AZ43" s="402">
        <v>0</v>
      </c>
      <c r="BA43" s="402">
        <v>12111.32</v>
      </c>
      <c r="BB43" s="402">
        <v>0</v>
      </c>
      <c r="BC43" s="402">
        <v>0</v>
      </c>
      <c r="BD43" s="402">
        <v>0</v>
      </c>
      <c r="BE43" s="402">
        <v>2698458.1327822423</v>
      </c>
      <c r="BF43" s="402">
        <v>-161127.08278669184</v>
      </c>
      <c r="BG43" s="402">
        <v>185919.45999999973</v>
      </c>
      <c r="BH43" s="402">
        <v>24792.377213307889</v>
      </c>
      <c r="BI43" s="402">
        <v>0</v>
      </c>
      <c r="BJ43" s="402">
        <v>0</v>
      </c>
      <c r="BK43" s="402">
        <v>0</v>
      </c>
      <c r="BL43" s="402">
        <v>0</v>
      </c>
      <c r="BM43" s="402">
        <v>0</v>
      </c>
      <c r="BN43" s="402">
        <v>0</v>
      </c>
      <c r="BO43" s="402">
        <v>0</v>
      </c>
      <c r="BP43" s="402">
        <v>0</v>
      </c>
      <c r="BQ43" s="402">
        <v>0</v>
      </c>
      <c r="BR43" s="402">
        <v>0</v>
      </c>
      <c r="BS43" s="402">
        <v>24792.377213307889</v>
      </c>
      <c r="BT43" s="402">
        <v>0</v>
      </c>
      <c r="BU43" s="402">
        <v>24792.377213307889</v>
      </c>
      <c r="BV43" s="402">
        <v>8241</v>
      </c>
      <c r="BW43" s="402">
        <v>0</v>
      </c>
      <c r="BX43" s="402">
        <v>0</v>
      </c>
      <c r="BY43" s="402">
        <v>8241</v>
      </c>
      <c r="BZ43" s="402">
        <v>0</v>
      </c>
      <c r="CA43" s="402">
        <v>2241</v>
      </c>
      <c r="CB43" s="402">
        <v>0</v>
      </c>
      <c r="CC43" s="402">
        <v>0</v>
      </c>
      <c r="CD43" s="402">
        <v>2241</v>
      </c>
      <c r="CE43" s="402">
        <v>6000</v>
      </c>
      <c r="CF43" s="402">
        <v>12380.679999999998</v>
      </c>
      <c r="CG43" s="402">
        <v>18380.68</v>
      </c>
      <c r="CH43" s="402">
        <f>VLOOKUP($B43,'Data - CFR 2024-25'!$B$4:$CJ$127,85,0)</f>
        <v>12380.679999999998</v>
      </c>
      <c r="CI43" s="402">
        <f>VLOOKUP($B43,'Data - CFR 2024-25'!$B$4:$CJ$127,86,0)</f>
        <v>0</v>
      </c>
      <c r="CJ43" s="402">
        <f>VLOOKUP($B43,'Data - CFR 2024-25'!$B$4:$CJ$127,87,0)</f>
        <v>12380.679999999998</v>
      </c>
    </row>
    <row r="44" spans="1:88" s="220" customFormat="1" ht="13.8">
      <c r="A44" s="252" t="s">
        <v>1384</v>
      </c>
      <c r="B44" s="288">
        <v>2321</v>
      </c>
      <c r="C44" s="288" t="s">
        <v>750</v>
      </c>
      <c r="D44" s="248" t="s">
        <v>708</v>
      </c>
      <c r="E44" s="399"/>
      <c r="F44" s="402">
        <v>2267262</v>
      </c>
      <c r="G44" s="402">
        <v>0</v>
      </c>
      <c r="H44" s="402">
        <v>235000</v>
      </c>
      <c r="I44" s="402">
        <v>0</v>
      </c>
      <c r="J44" s="402">
        <v>143440</v>
      </c>
      <c r="K44" s="402">
        <v>0</v>
      </c>
      <c r="L44" s="402">
        <v>0</v>
      </c>
      <c r="M44" s="402">
        <v>0</v>
      </c>
      <c r="N44" s="402">
        <v>22500</v>
      </c>
      <c r="O44" s="402">
        <v>30000</v>
      </c>
      <c r="P44" s="402">
        <v>0</v>
      </c>
      <c r="Q44" s="402">
        <v>0</v>
      </c>
      <c r="R44" s="402">
        <v>1300</v>
      </c>
      <c r="S44" s="402">
        <v>0</v>
      </c>
      <c r="T44" s="402">
        <v>0</v>
      </c>
      <c r="U44" s="402">
        <v>0</v>
      </c>
      <c r="V44" s="402">
        <v>0</v>
      </c>
      <c r="W44" s="402">
        <v>0</v>
      </c>
      <c r="X44" s="402">
        <v>95962</v>
      </c>
      <c r="Y44" s="402">
        <v>2795464</v>
      </c>
      <c r="Z44" s="402">
        <v>1366831</v>
      </c>
      <c r="AA44" s="402">
        <v>20000</v>
      </c>
      <c r="AB44" s="402">
        <v>745335</v>
      </c>
      <c r="AC44" s="402">
        <v>40514</v>
      </c>
      <c r="AD44" s="402">
        <v>169717</v>
      </c>
      <c r="AE44" s="402">
        <v>94196</v>
      </c>
      <c r="AF44" s="402">
        <v>49810</v>
      </c>
      <c r="AG44" s="402">
        <v>22465</v>
      </c>
      <c r="AH44" s="402">
        <v>10000</v>
      </c>
      <c r="AI44" s="402">
        <v>0</v>
      </c>
      <c r="AJ44" s="402">
        <v>7720</v>
      </c>
      <c r="AK44" s="402">
        <v>20000</v>
      </c>
      <c r="AL44" s="402">
        <v>10000</v>
      </c>
      <c r="AM44" s="402">
        <v>57690</v>
      </c>
      <c r="AN44" s="402">
        <v>12600</v>
      </c>
      <c r="AO44" s="402">
        <v>56700</v>
      </c>
      <c r="AP44" s="402">
        <v>0</v>
      </c>
      <c r="AQ44" s="402">
        <v>13920</v>
      </c>
      <c r="AR44" s="402">
        <v>101425</v>
      </c>
      <c r="AS44" s="402">
        <v>56125</v>
      </c>
      <c r="AT44" s="402">
        <v>0</v>
      </c>
      <c r="AU44" s="402">
        <v>14305</v>
      </c>
      <c r="AV44" s="402">
        <v>12268</v>
      </c>
      <c r="AW44" s="402">
        <v>0</v>
      </c>
      <c r="AX44" s="402">
        <v>49750</v>
      </c>
      <c r="AY44" s="402">
        <v>20000</v>
      </c>
      <c r="AZ44" s="402">
        <v>1800</v>
      </c>
      <c r="BA44" s="402">
        <v>13545</v>
      </c>
      <c r="BB44" s="402">
        <v>0</v>
      </c>
      <c r="BC44" s="402">
        <v>0</v>
      </c>
      <c r="BD44" s="402">
        <v>20000</v>
      </c>
      <c r="BE44" s="402">
        <v>2986716</v>
      </c>
      <c r="BF44" s="402">
        <v>-191252</v>
      </c>
      <c r="BG44" s="402">
        <v>275300</v>
      </c>
      <c r="BH44" s="402">
        <v>84048</v>
      </c>
      <c r="BI44" s="402">
        <v>0</v>
      </c>
      <c r="BJ44" s="402">
        <v>22000</v>
      </c>
      <c r="BK44" s="402">
        <v>22000</v>
      </c>
      <c r="BL44" s="402">
        <v>4096</v>
      </c>
      <c r="BM44" s="402">
        <v>22955</v>
      </c>
      <c r="BN44" s="402">
        <v>27051</v>
      </c>
      <c r="BO44" s="402">
        <v>-5051</v>
      </c>
      <c r="BP44" s="402">
        <v>1853</v>
      </c>
      <c r="BQ44" s="402">
        <v>-3198</v>
      </c>
      <c r="BR44" s="402">
        <v>0</v>
      </c>
      <c r="BS44" s="402">
        <v>84048</v>
      </c>
      <c r="BT44" s="402">
        <v>-3198</v>
      </c>
      <c r="BU44" s="402">
        <v>80851</v>
      </c>
      <c r="BV44" s="402">
        <v>9040</v>
      </c>
      <c r="BW44" s="402">
        <v>0</v>
      </c>
      <c r="BX44" s="402">
        <v>0</v>
      </c>
      <c r="BY44" s="402">
        <v>9040</v>
      </c>
      <c r="BZ44" s="402">
        <v>0</v>
      </c>
      <c r="CA44" s="402">
        <v>9040</v>
      </c>
      <c r="CB44" s="402">
        <v>0</v>
      </c>
      <c r="CC44" s="402">
        <v>0</v>
      </c>
      <c r="CD44" s="402">
        <v>9040</v>
      </c>
      <c r="CE44" s="402">
        <v>0</v>
      </c>
      <c r="CF44" s="402">
        <v>3957</v>
      </c>
      <c r="CG44" s="402">
        <v>3957</v>
      </c>
      <c r="CH44" s="402">
        <f>VLOOKUP($B44,'Data - CFR 2024-25'!$B$4:$CJ$127,85,0)</f>
        <v>3957.4599999999991</v>
      </c>
      <c r="CI44" s="402">
        <f>VLOOKUP($B44,'Data - CFR 2024-25'!$B$4:$CJ$127,86,0)</f>
        <v>0</v>
      </c>
      <c r="CJ44" s="402">
        <f>VLOOKUP($B44,'Data - CFR 2024-25'!$B$4:$CJ$127,87,0)</f>
        <v>3957.4599999999991</v>
      </c>
    </row>
    <row r="45" spans="1:88" s="220" customFormat="1" ht="13.8">
      <c r="A45" s="252" t="s">
        <v>1384</v>
      </c>
      <c r="B45" s="288">
        <v>2011</v>
      </c>
      <c r="C45" s="288" t="s">
        <v>751</v>
      </c>
      <c r="D45" s="248" t="s">
        <v>708</v>
      </c>
      <c r="E45" s="399"/>
      <c r="F45" s="402">
        <v>487945</v>
      </c>
      <c r="G45" s="402">
        <v>0</v>
      </c>
      <c r="H45" s="402">
        <v>2244</v>
      </c>
      <c r="I45" s="402">
        <v>0</v>
      </c>
      <c r="J45" s="402">
        <v>10605</v>
      </c>
      <c r="K45" s="402">
        <v>0</v>
      </c>
      <c r="L45" s="402">
        <v>0</v>
      </c>
      <c r="M45" s="402">
        <v>5000</v>
      </c>
      <c r="N45" s="402">
        <v>8881</v>
      </c>
      <c r="O45" s="402">
        <v>0</v>
      </c>
      <c r="P45" s="402">
        <v>1800</v>
      </c>
      <c r="Q45" s="402">
        <v>0</v>
      </c>
      <c r="R45" s="402">
        <v>0</v>
      </c>
      <c r="S45" s="402">
        <v>0</v>
      </c>
      <c r="T45" s="402">
        <v>0</v>
      </c>
      <c r="U45" s="402">
        <v>0</v>
      </c>
      <c r="V45" s="402">
        <v>0</v>
      </c>
      <c r="W45" s="402">
        <v>0</v>
      </c>
      <c r="X45" s="402">
        <v>31792</v>
      </c>
      <c r="Y45" s="402">
        <v>548268</v>
      </c>
      <c r="Z45" s="402">
        <v>306375</v>
      </c>
      <c r="AA45" s="402">
        <v>0</v>
      </c>
      <c r="AB45" s="402">
        <v>75328</v>
      </c>
      <c r="AC45" s="402">
        <v>269</v>
      </c>
      <c r="AD45" s="402">
        <v>28996</v>
      </c>
      <c r="AE45" s="402">
        <v>0</v>
      </c>
      <c r="AF45" s="402">
        <v>17687</v>
      </c>
      <c r="AG45" s="402">
        <v>21000</v>
      </c>
      <c r="AH45" s="402">
        <v>3000</v>
      </c>
      <c r="AI45" s="402">
        <v>1875</v>
      </c>
      <c r="AJ45" s="402">
        <v>355</v>
      </c>
      <c r="AK45" s="402">
        <v>5000</v>
      </c>
      <c r="AL45" s="402">
        <v>2331</v>
      </c>
      <c r="AM45" s="402">
        <v>15630</v>
      </c>
      <c r="AN45" s="402">
        <v>1350</v>
      </c>
      <c r="AO45" s="402">
        <v>21000</v>
      </c>
      <c r="AP45" s="402">
        <v>0</v>
      </c>
      <c r="AQ45" s="402">
        <v>11839</v>
      </c>
      <c r="AR45" s="402">
        <v>35993</v>
      </c>
      <c r="AS45" s="402">
        <v>23370</v>
      </c>
      <c r="AT45" s="402">
        <v>0</v>
      </c>
      <c r="AU45" s="402">
        <v>2785</v>
      </c>
      <c r="AV45" s="402">
        <v>2050</v>
      </c>
      <c r="AW45" s="402">
        <v>2800</v>
      </c>
      <c r="AX45" s="402">
        <v>19582</v>
      </c>
      <c r="AY45" s="402">
        <v>4800</v>
      </c>
      <c r="AZ45" s="402">
        <v>0</v>
      </c>
      <c r="BA45" s="402">
        <v>49051</v>
      </c>
      <c r="BB45" s="402">
        <v>0</v>
      </c>
      <c r="BC45" s="402">
        <v>0</v>
      </c>
      <c r="BD45" s="402">
        <v>0</v>
      </c>
      <c r="BE45" s="402">
        <v>652466</v>
      </c>
      <c r="BF45" s="402">
        <v>-104198</v>
      </c>
      <c r="BG45" s="402">
        <v>29553</v>
      </c>
      <c r="BH45" s="402">
        <v>-74645</v>
      </c>
      <c r="BI45" s="402">
        <v>0</v>
      </c>
      <c r="BJ45" s="402">
        <v>0</v>
      </c>
      <c r="BK45" s="402">
        <v>0</v>
      </c>
      <c r="BL45" s="402">
        <v>0</v>
      </c>
      <c r="BM45" s="402">
        <v>0</v>
      </c>
      <c r="BN45" s="402">
        <v>0</v>
      </c>
      <c r="BO45" s="402">
        <v>0</v>
      </c>
      <c r="BP45" s="402">
        <v>0</v>
      </c>
      <c r="BQ45" s="402">
        <v>0</v>
      </c>
      <c r="BR45" s="402">
        <v>0</v>
      </c>
      <c r="BS45" s="402">
        <v>-74645</v>
      </c>
      <c r="BT45" s="402">
        <v>0</v>
      </c>
      <c r="BU45" s="402">
        <v>-74645</v>
      </c>
      <c r="BV45" s="402">
        <v>4878</v>
      </c>
      <c r="BW45" s="402">
        <v>0</v>
      </c>
      <c r="BX45" s="402">
        <v>0</v>
      </c>
      <c r="BY45" s="402">
        <v>4878</v>
      </c>
      <c r="BZ45" s="402">
        <v>0</v>
      </c>
      <c r="CA45" s="402">
        <v>11004</v>
      </c>
      <c r="CB45" s="402">
        <v>0</v>
      </c>
      <c r="CC45" s="402">
        <v>0</v>
      </c>
      <c r="CD45" s="402">
        <v>11004</v>
      </c>
      <c r="CE45" s="402">
        <v>-6127</v>
      </c>
      <c r="CF45" s="402">
        <v>6127</v>
      </c>
      <c r="CG45" s="402">
        <v>0</v>
      </c>
      <c r="CH45" s="402">
        <f>VLOOKUP($B45,'Data - CFR 2024-25'!$B$4:$CJ$127,85,0)</f>
        <v>6126.97</v>
      </c>
      <c r="CI45" s="402">
        <f>VLOOKUP($B45,'Data - CFR 2024-25'!$B$4:$CJ$127,86,0)</f>
        <v>0</v>
      </c>
      <c r="CJ45" s="402">
        <f>VLOOKUP($B45,'Data - CFR 2024-25'!$B$4:$CJ$127,87,0)</f>
        <v>6126.97</v>
      </c>
    </row>
    <row r="46" spans="1:88" s="220" customFormat="1" ht="13.8">
      <c r="A46" s="252" t="s">
        <v>1384</v>
      </c>
      <c r="B46" s="288">
        <v>2012</v>
      </c>
      <c r="C46" s="288" t="s">
        <v>752</v>
      </c>
      <c r="D46" s="248" t="s">
        <v>708</v>
      </c>
      <c r="E46" s="399"/>
      <c r="F46" s="402">
        <v>594934.70786920213</v>
      </c>
      <c r="G46" s="402">
        <v>0</v>
      </c>
      <c r="H46" s="402">
        <v>34333</v>
      </c>
      <c r="I46" s="402">
        <v>0</v>
      </c>
      <c r="J46" s="402">
        <v>28120</v>
      </c>
      <c r="K46" s="402">
        <v>0</v>
      </c>
      <c r="L46" s="402">
        <v>0</v>
      </c>
      <c r="M46" s="402">
        <v>0</v>
      </c>
      <c r="N46" s="402">
        <v>27252</v>
      </c>
      <c r="O46" s="402">
        <v>10600</v>
      </c>
      <c r="P46" s="402">
        <v>1350</v>
      </c>
      <c r="Q46" s="402">
        <v>0</v>
      </c>
      <c r="R46" s="402">
        <v>0</v>
      </c>
      <c r="S46" s="402">
        <v>0</v>
      </c>
      <c r="T46" s="402">
        <v>0</v>
      </c>
      <c r="U46" s="402">
        <v>0</v>
      </c>
      <c r="V46" s="402">
        <v>0</v>
      </c>
      <c r="W46" s="402">
        <v>0</v>
      </c>
      <c r="X46" s="402">
        <v>22885</v>
      </c>
      <c r="Y46" s="402">
        <v>719474.70786920213</v>
      </c>
      <c r="Z46" s="402">
        <v>363251.52751688275</v>
      </c>
      <c r="AA46" s="402">
        <v>2250</v>
      </c>
      <c r="AB46" s="402">
        <v>131225.34368383331</v>
      </c>
      <c r="AC46" s="402">
        <v>18581.043047440231</v>
      </c>
      <c r="AD46" s="402">
        <v>41575.963414886624</v>
      </c>
      <c r="AE46" s="402">
        <v>0</v>
      </c>
      <c r="AF46" s="402">
        <v>1271.6426214635849</v>
      </c>
      <c r="AG46" s="402">
        <v>2350</v>
      </c>
      <c r="AH46" s="402">
        <v>3000</v>
      </c>
      <c r="AI46" s="402">
        <v>1925</v>
      </c>
      <c r="AJ46" s="402">
        <v>179</v>
      </c>
      <c r="AK46" s="402">
        <v>6000</v>
      </c>
      <c r="AL46" s="402">
        <v>2700</v>
      </c>
      <c r="AM46" s="402">
        <v>1600</v>
      </c>
      <c r="AN46" s="402">
        <v>1700</v>
      </c>
      <c r="AO46" s="402">
        <v>22000</v>
      </c>
      <c r="AP46" s="402">
        <v>0</v>
      </c>
      <c r="AQ46" s="402">
        <v>21297</v>
      </c>
      <c r="AR46" s="402">
        <v>21750</v>
      </c>
      <c r="AS46" s="402">
        <v>21251</v>
      </c>
      <c r="AT46" s="402">
        <v>0</v>
      </c>
      <c r="AU46" s="402">
        <v>5950</v>
      </c>
      <c r="AV46" s="402">
        <v>2650</v>
      </c>
      <c r="AW46" s="402">
        <v>0</v>
      </c>
      <c r="AX46" s="402">
        <v>31445</v>
      </c>
      <c r="AY46" s="402">
        <v>0</v>
      </c>
      <c r="AZ46" s="402">
        <v>26371</v>
      </c>
      <c r="BA46" s="402">
        <v>23258</v>
      </c>
      <c r="BB46" s="402">
        <v>0</v>
      </c>
      <c r="BC46" s="402">
        <v>0</v>
      </c>
      <c r="BD46" s="402">
        <v>9000</v>
      </c>
      <c r="BE46" s="402">
        <v>762581.52028450661</v>
      </c>
      <c r="BF46" s="402">
        <v>-43106.812415304477</v>
      </c>
      <c r="BG46" s="402">
        <v>163532.3600000001</v>
      </c>
      <c r="BH46" s="402">
        <v>120425.54758469563</v>
      </c>
      <c r="BI46" s="402">
        <v>0</v>
      </c>
      <c r="BJ46" s="402">
        <v>0</v>
      </c>
      <c r="BK46" s="402">
        <v>0</v>
      </c>
      <c r="BL46" s="402">
        <v>0</v>
      </c>
      <c r="BM46" s="402">
        <v>0</v>
      </c>
      <c r="BN46" s="402">
        <v>0</v>
      </c>
      <c r="BO46" s="402">
        <v>0</v>
      </c>
      <c r="BP46" s="402">
        <v>0</v>
      </c>
      <c r="BQ46" s="402">
        <v>0</v>
      </c>
      <c r="BR46" s="402">
        <v>0</v>
      </c>
      <c r="BS46" s="402">
        <v>120425.54758469563</v>
      </c>
      <c r="BT46" s="402">
        <v>0</v>
      </c>
      <c r="BU46" s="402">
        <v>120425.54758469563</v>
      </c>
      <c r="BV46" s="402">
        <v>5073.75</v>
      </c>
      <c r="BW46" s="402">
        <v>0</v>
      </c>
      <c r="BX46" s="402">
        <v>9000</v>
      </c>
      <c r="BY46" s="402">
        <v>14073.75</v>
      </c>
      <c r="BZ46" s="402">
        <v>0</v>
      </c>
      <c r="CA46" s="402">
        <v>23243.739999999998</v>
      </c>
      <c r="CB46" s="402">
        <v>0</v>
      </c>
      <c r="CC46" s="402">
        <v>8675.7000000000007</v>
      </c>
      <c r="CD46" s="402">
        <v>31919.439999999999</v>
      </c>
      <c r="CE46" s="402">
        <v>-17845.689999999999</v>
      </c>
      <c r="CF46" s="402">
        <v>17845.690000000002</v>
      </c>
      <c r="CG46" s="402">
        <v>0</v>
      </c>
      <c r="CH46" s="402">
        <f>VLOOKUP($B46,'Data - CFR 2024-25'!$B$4:$CJ$127,85,0)</f>
        <v>17845.690000000002</v>
      </c>
      <c r="CI46" s="402">
        <f>VLOOKUP($B46,'Data - CFR 2024-25'!$B$4:$CJ$127,86,0)</f>
        <v>0</v>
      </c>
      <c r="CJ46" s="402">
        <f>VLOOKUP($B46,'Data - CFR 2024-25'!$B$4:$CJ$127,87,0)</f>
        <v>17845.690000000002</v>
      </c>
    </row>
    <row r="47" spans="1:88" s="220" customFormat="1" ht="13.8">
      <c r="A47" s="252" t="s">
        <v>1384</v>
      </c>
      <c r="B47" s="288">
        <v>2068</v>
      </c>
      <c r="C47" s="288" t="s">
        <v>753</v>
      </c>
      <c r="D47" s="248" t="s">
        <v>708</v>
      </c>
      <c r="E47" s="399"/>
      <c r="F47" s="402">
        <v>643781.47448801179</v>
      </c>
      <c r="G47" s="402">
        <v>0</v>
      </c>
      <c r="H47" s="402">
        <v>36235</v>
      </c>
      <c r="I47" s="402">
        <v>0</v>
      </c>
      <c r="J47" s="402">
        <v>58685</v>
      </c>
      <c r="K47" s="402">
        <v>0</v>
      </c>
      <c r="L47" s="402">
        <v>0</v>
      </c>
      <c r="M47" s="402">
        <v>7000</v>
      </c>
      <c r="N47" s="402">
        <v>15400</v>
      </c>
      <c r="O47" s="402">
        <v>5900</v>
      </c>
      <c r="P47" s="402">
        <v>3300</v>
      </c>
      <c r="Q47" s="402">
        <v>0</v>
      </c>
      <c r="R47" s="402">
        <v>0</v>
      </c>
      <c r="S47" s="402">
        <v>0</v>
      </c>
      <c r="T47" s="402">
        <v>0</v>
      </c>
      <c r="U47" s="402">
        <v>0</v>
      </c>
      <c r="V47" s="402">
        <v>0</v>
      </c>
      <c r="W47" s="402">
        <v>0</v>
      </c>
      <c r="X47" s="402">
        <v>29142</v>
      </c>
      <c r="Y47" s="402">
        <v>799443.47448801179</v>
      </c>
      <c r="Z47" s="402">
        <v>250027.53627733327</v>
      </c>
      <c r="AA47" s="402">
        <v>74000</v>
      </c>
      <c r="AB47" s="402">
        <v>225020.01362231158</v>
      </c>
      <c r="AC47" s="402">
        <v>29880.344037432435</v>
      </c>
      <c r="AD47" s="402">
        <v>43367.06186540897</v>
      </c>
      <c r="AE47" s="402">
        <v>0</v>
      </c>
      <c r="AF47" s="402">
        <v>3833.79140521912</v>
      </c>
      <c r="AG47" s="402">
        <v>2350</v>
      </c>
      <c r="AH47" s="402">
        <v>2000</v>
      </c>
      <c r="AI47" s="402">
        <v>2225</v>
      </c>
      <c r="AJ47" s="402">
        <v>287</v>
      </c>
      <c r="AK47" s="402">
        <v>6000</v>
      </c>
      <c r="AL47" s="402">
        <v>1400</v>
      </c>
      <c r="AM47" s="402">
        <v>2200</v>
      </c>
      <c r="AN47" s="402">
        <v>3000</v>
      </c>
      <c r="AO47" s="402">
        <v>17500</v>
      </c>
      <c r="AP47" s="402">
        <v>0</v>
      </c>
      <c r="AQ47" s="402">
        <v>3500</v>
      </c>
      <c r="AR47" s="402">
        <v>13600</v>
      </c>
      <c r="AS47" s="402">
        <v>17960</v>
      </c>
      <c r="AT47" s="402">
        <v>0</v>
      </c>
      <c r="AU47" s="402">
        <v>6105</v>
      </c>
      <c r="AV47" s="402">
        <v>2800</v>
      </c>
      <c r="AW47" s="402">
        <v>500</v>
      </c>
      <c r="AX47" s="402">
        <v>43505</v>
      </c>
      <c r="AY47" s="402">
        <v>0</v>
      </c>
      <c r="AZ47" s="402">
        <v>5960</v>
      </c>
      <c r="BA47" s="402">
        <v>13027</v>
      </c>
      <c r="BB47" s="402">
        <v>0</v>
      </c>
      <c r="BC47" s="402">
        <v>0</v>
      </c>
      <c r="BD47" s="402">
        <v>0</v>
      </c>
      <c r="BE47" s="402">
        <v>770047.74720770551</v>
      </c>
      <c r="BF47" s="402">
        <v>29395.727280306281</v>
      </c>
      <c r="BG47" s="402">
        <v>-58976</v>
      </c>
      <c r="BH47" s="402">
        <v>-29580.272719693719</v>
      </c>
      <c r="BI47" s="402">
        <v>0</v>
      </c>
      <c r="BJ47" s="402">
        <v>0</v>
      </c>
      <c r="BK47" s="402">
        <v>0</v>
      </c>
      <c r="BL47" s="402">
        <v>0</v>
      </c>
      <c r="BM47" s="402">
        <v>0</v>
      </c>
      <c r="BN47" s="402">
        <v>0</v>
      </c>
      <c r="BO47" s="402">
        <v>0</v>
      </c>
      <c r="BP47" s="402">
        <v>0</v>
      </c>
      <c r="BQ47" s="402">
        <v>0</v>
      </c>
      <c r="BR47" s="402">
        <v>0</v>
      </c>
      <c r="BS47" s="402">
        <v>-29580.272719693719</v>
      </c>
      <c r="BT47" s="402">
        <v>0</v>
      </c>
      <c r="BU47" s="402">
        <v>-29580.272719693719</v>
      </c>
      <c r="BV47" s="402">
        <v>4979</v>
      </c>
      <c r="BW47" s="402">
        <v>0</v>
      </c>
      <c r="BX47" s="402">
        <v>0</v>
      </c>
      <c r="BY47" s="402">
        <v>4979</v>
      </c>
      <c r="BZ47" s="402">
        <v>0</v>
      </c>
      <c r="CA47" s="402">
        <v>4979</v>
      </c>
      <c r="CB47" s="402">
        <v>0</v>
      </c>
      <c r="CC47" s="402">
        <v>2632.1</v>
      </c>
      <c r="CD47" s="402">
        <v>7611.1</v>
      </c>
      <c r="CE47" s="402">
        <v>-2632.1000000000004</v>
      </c>
      <c r="CF47" s="402">
        <v>2632</v>
      </c>
      <c r="CG47" s="402">
        <v>-0.1000000000003638</v>
      </c>
      <c r="CH47" s="402">
        <f>VLOOKUP($B47,'Data - CFR 2024-25'!$B$4:$CJ$127,85,0)</f>
        <v>2632.1000000000022</v>
      </c>
      <c r="CI47" s="402">
        <f>VLOOKUP($B47,'Data - CFR 2024-25'!$B$4:$CJ$127,86,0)</f>
        <v>0</v>
      </c>
      <c r="CJ47" s="402">
        <f>VLOOKUP($B47,'Data - CFR 2024-25'!$B$4:$CJ$127,87,0)</f>
        <v>2632.1000000000022</v>
      </c>
    </row>
    <row r="48" spans="1:88" s="220" customFormat="1" ht="13.8">
      <c r="A48" s="252" t="s">
        <v>1384</v>
      </c>
      <c r="B48" s="288">
        <v>2328</v>
      </c>
      <c r="C48" s="288" t="s">
        <v>754</v>
      </c>
      <c r="D48" s="248" t="s">
        <v>708</v>
      </c>
      <c r="E48" s="399"/>
      <c r="F48" s="402">
        <v>1335964.0800017498</v>
      </c>
      <c r="G48" s="402">
        <v>0</v>
      </c>
      <c r="H48" s="402">
        <v>79575</v>
      </c>
      <c r="I48" s="402">
        <v>0</v>
      </c>
      <c r="J48" s="402">
        <v>60950</v>
      </c>
      <c r="K48" s="402">
        <v>0</v>
      </c>
      <c r="L48" s="402">
        <v>0</v>
      </c>
      <c r="M48" s="402">
        <v>33500</v>
      </c>
      <c r="N48" s="402">
        <v>19568.599999999999</v>
      </c>
      <c r="O48" s="402">
        <v>33600</v>
      </c>
      <c r="P48" s="402">
        <v>4500</v>
      </c>
      <c r="Q48" s="402">
        <v>0</v>
      </c>
      <c r="R48" s="402">
        <v>0</v>
      </c>
      <c r="S48" s="402">
        <v>250249</v>
      </c>
      <c r="T48" s="402">
        <v>0</v>
      </c>
      <c r="U48" s="402">
        <v>0</v>
      </c>
      <c r="V48" s="402">
        <v>0</v>
      </c>
      <c r="W48" s="402">
        <v>0</v>
      </c>
      <c r="X48" s="402">
        <v>63146</v>
      </c>
      <c r="Y48" s="402">
        <v>1881052.6800017499</v>
      </c>
      <c r="Z48" s="402">
        <v>922078.29550252494</v>
      </c>
      <c r="AA48" s="402">
        <v>1000</v>
      </c>
      <c r="AB48" s="402">
        <v>381121.89763649204</v>
      </c>
      <c r="AC48" s="402">
        <v>39913.57703</v>
      </c>
      <c r="AD48" s="402">
        <v>110081.34087836189</v>
      </c>
      <c r="AE48" s="402">
        <v>0</v>
      </c>
      <c r="AF48" s="402">
        <v>24310.669828933766</v>
      </c>
      <c r="AG48" s="402">
        <v>9400</v>
      </c>
      <c r="AH48" s="402">
        <v>5000</v>
      </c>
      <c r="AI48" s="402">
        <v>4745</v>
      </c>
      <c r="AJ48" s="402">
        <v>0</v>
      </c>
      <c r="AK48" s="402">
        <v>11000</v>
      </c>
      <c r="AL48" s="402">
        <v>3698</v>
      </c>
      <c r="AM48" s="402">
        <v>50908</v>
      </c>
      <c r="AN48" s="402">
        <v>2500</v>
      </c>
      <c r="AO48" s="402">
        <v>61000</v>
      </c>
      <c r="AP48" s="402">
        <v>2500</v>
      </c>
      <c r="AQ48" s="402">
        <v>15025</v>
      </c>
      <c r="AR48" s="402">
        <v>128081</v>
      </c>
      <c r="AS48" s="402">
        <v>21077</v>
      </c>
      <c r="AT48" s="402">
        <v>0</v>
      </c>
      <c r="AU48" s="402">
        <v>9297</v>
      </c>
      <c r="AV48" s="402">
        <v>7889</v>
      </c>
      <c r="AW48" s="402">
        <v>628</v>
      </c>
      <c r="AX48" s="402">
        <v>108654</v>
      </c>
      <c r="AY48" s="402">
        <v>8600</v>
      </c>
      <c r="AZ48" s="402">
        <v>5500</v>
      </c>
      <c r="BA48" s="402">
        <v>19049</v>
      </c>
      <c r="BB48" s="402">
        <v>0</v>
      </c>
      <c r="BC48" s="402">
        <v>0</v>
      </c>
      <c r="BD48" s="402">
        <v>0</v>
      </c>
      <c r="BE48" s="402">
        <v>1953056.7808763126</v>
      </c>
      <c r="BF48" s="402">
        <v>-72004.100874562748</v>
      </c>
      <c r="BG48" s="402">
        <v>127486.24</v>
      </c>
      <c r="BH48" s="402">
        <v>55482.139125437257</v>
      </c>
      <c r="BI48" s="402">
        <v>0</v>
      </c>
      <c r="BJ48" s="402">
        <v>0</v>
      </c>
      <c r="BK48" s="402">
        <v>0</v>
      </c>
      <c r="BL48" s="402">
        <v>0</v>
      </c>
      <c r="BM48" s="402">
        <v>0</v>
      </c>
      <c r="BN48" s="402">
        <v>0</v>
      </c>
      <c r="BO48" s="402">
        <v>0</v>
      </c>
      <c r="BP48" s="402">
        <v>0</v>
      </c>
      <c r="BQ48" s="402">
        <v>0</v>
      </c>
      <c r="BR48" s="402">
        <v>0</v>
      </c>
      <c r="BS48" s="402">
        <v>55482.139125437257</v>
      </c>
      <c r="BT48" s="402">
        <v>0</v>
      </c>
      <c r="BU48" s="402">
        <v>55482.139125437257</v>
      </c>
      <c r="BV48" s="402">
        <v>7263</v>
      </c>
      <c r="BW48" s="402">
        <v>0</v>
      </c>
      <c r="BX48" s="402">
        <v>0</v>
      </c>
      <c r="BY48" s="402">
        <v>7263</v>
      </c>
      <c r="BZ48" s="402">
        <v>0</v>
      </c>
      <c r="CA48" s="402">
        <v>21355</v>
      </c>
      <c r="CB48" s="402">
        <v>0</v>
      </c>
      <c r="CC48" s="402">
        <v>0</v>
      </c>
      <c r="CD48" s="402">
        <v>21355</v>
      </c>
      <c r="CE48" s="402">
        <v>-14092</v>
      </c>
      <c r="CF48" s="402">
        <v>14091.76</v>
      </c>
      <c r="CG48" s="402">
        <v>-0.23999999999978172</v>
      </c>
      <c r="CH48" s="402">
        <f>VLOOKUP($B48,'Data - CFR 2024-25'!$B$4:$CJ$127,85,0)</f>
        <v>14091.759999999998</v>
      </c>
      <c r="CI48" s="402">
        <f>VLOOKUP($B48,'Data - CFR 2024-25'!$B$4:$CJ$127,86,0)</f>
        <v>0</v>
      </c>
      <c r="CJ48" s="402">
        <f>VLOOKUP($B48,'Data - CFR 2024-25'!$B$4:$CJ$127,87,0)</f>
        <v>14091.759999999998</v>
      </c>
    </row>
    <row r="49" spans="1:88" s="220" customFormat="1" ht="13.8">
      <c r="A49" s="252" t="s">
        <v>1384</v>
      </c>
      <c r="B49" s="288">
        <v>7025</v>
      </c>
      <c r="C49" s="288" t="s">
        <v>755</v>
      </c>
      <c r="D49" s="248" t="s">
        <v>730</v>
      </c>
      <c r="E49" s="399"/>
      <c r="F49" s="402">
        <v>2589742</v>
      </c>
      <c r="G49" s="402">
        <v>389987</v>
      </c>
      <c r="H49" s="402">
        <v>1506346</v>
      </c>
      <c r="I49" s="402">
        <v>0</v>
      </c>
      <c r="J49" s="402">
        <v>98440</v>
      </c>
      <c r="K49" s="402">
        <v>0</v>
      </c>
      <c r="L49" s="402">
        <v>0</v>
      </c>
      <c r="M49" s="402">
        <v>60000</v>
      </c>
      <c r="N49" s="402">
        <v>8000</v>
      </c>
      <c r="O49" s="402">
        <v>0</v>
      </c>
      <c r="P49" s="402">
        <v>0</v>
      </c>
      <c r="Q49" s="402">
        <v>0</v>
      </c>
      <c r="R49" s="402">
        <v>0</v>
      </c>
      <c r="S49" s="402">
        <v>1000</v>
      </c>
      <c r="T49" s="402">
        <v>0</v>
      </c>
      <c r="U49" s="402">
        <v>0</v>
      </c>
      <c r="V49" s="402">
        <v>0</v>
      </c>
      <c r="W49" s="402">
        <v>0</v>
      </c>
      <c r="X49" s="402">
        <v>22053</v>
      </c>
      <c r="Y49" s="402">
        <v>4675568</v>
      </c>
      <c r="Z49" s="402">
        <v>1713275</v>
      </c>
      <c r="AA49" s="402">
        <v>24800</v>
      </c>
      <c r="AB49" s="402">
        <v>2782256</v>
      </c>
      <c r="AC49" s="402">
        <v>82398</v>
      </c>
      <c r="AD49" s="402">
        <v>181463</v>
      </c>
      <c r="AE49" s="402">
        <v>4281</v>
      </c>
      <c r="AF49" s="402">
        <v>115706</v>
      </c>
      <c r="AG49" s="402">
        <v>21550</v>
      </c>
      <c r="AH49" s="402">
        <v>18000</v>
      </c>
      <c r="AI49" s="402">
        <v>0</v>
      </c>
      <c r="AJ49" s="402">
        <v>0</v>
      </c>
      <c r="AK49" s="402">
        <v>100000</v>
      </c>
      <c r="AL49" s="402">
        <v>6000</v>
      </c>
      <c r="AM49" s="402">
        <v>125000</v>
      </c>
      <c r="AN49" s="402">
        <v>5071</v>
      </c>
      <c r="AO49" s="402">
        <v>144148</v>
      </c>
      <c r="AP49" s="402">
        <v>0</v>
      </c>
      <c r="AQ49" s="402">
        <v>56838</v>
      </c>
      <c r="AR49" s="402">
        <v>53644</v>
      </c>
      <c r="AS49" s="402">
        <v>76979</v>
      </c>
      <c r="AT49" s="402">
        <v>4000</v>
      </c>
      <c r="AU49" s="402">
        <v>37750</v>
      </c>
      <c r="AV49" s="402">
        <v>14000</v>
      </c>
      <c r="AW49" s="402">
        <v>0</v>
      </c>
      <c r="AX49" s="402">
        <v>105765</v>
      </c>
      <c r="AY49" s="402">
        <v>45000</v>
      </c>
      <c r="AZ49" s="402">
        <v>41500</v>
      </c>
      <c r="BA49" s="402">
        <v>46399</v>
      </c>
      <c r="BB49" s="402">
        <v>0</v>
      </c>
      <c r="BC49" s="402">
        <v>3096</v>
      </c>
      <c r="BD49" s="402">
        <v>9316</v>
      </c>
      <c r="BE49" s="402">
        <v>5818234</v>
      </c>
      <c r="BF49" s="402">
        <v>-1142666</v>
      </c>
      <c r="BG49" s="402">
        <v>-201460</v>
      </c>
      <c r="BH49" s="402">
        <v>-1344126</v>
      </c>
      <c r="BI49" s="402">
        <v>0</v>
      </c>
      <c r="BJ49" s="402">
        <v>0</v>
      </c>
      <c r="BK49" s="402">
        <v>0</v>
      </c>
      <c r="BL49" s="402">
        <v>0</v>
      </c>
      <c r="BM49" s="402">
        <v>0</v>
      </c>
      <c r="BN49" s="402">
        <v>0</v>
      </c>
      <c r="BO49" s="402">
        <v>0</v>
      </c>
      <c r="BP49" s="402">
        <v>0</v>
      </c>
      <c r="BQ49" s="402">
        <v>0</v>
      </c>
      <c r="BR49" s="402">
        <v>0</v>
      </c>
      <c r="BS49" s="402">
        <v>-1344126</v>
      </c>
      <c r="BT49" s="402">
        <v>0</v>
      </c>
      <c r="BU49" s="402">
        <v>-1344126</v>
      </c>
      <c r="BV49" s="402">
        <v>11593</v>
      </c>
      <c r="BW49" s="402">
        <v>0</v>
      </c>
      <c r="BX49" s="402">
        <v>0</v>
      </c>
      <c r="BY49" s="402">
        <v>11593</v>
      </c>
      <c r="BZ49" s="402">
        <v>0</v>
      </c>
      <c r="CA49" s="402">
        <v>11593</v>
      </c>
      <c r="CB49" s="402">
        <v>0</v>
      </c>
      <c r="CC49" s="402">
        <v>0</v>
      </c>
      <c r="CD49" s="402">
        <v>11593</v>
      </c>
      <c r="CE49" s="402">
        <v>0</v>
      </c>
      <c r="CF49" s="402">
        <v>1519</v>
      </c>
      <c r="CG49" s="402">
        <v>1519</v>
      </c>
      <c r="CH49" s="402">
        <f>VLOOKUP($B49,'Data - CFR 2024-25'!$B$4:$CJ$127,85,0)</f>
        <v>1448.6299999999992</v>
      </c>
      <c r="CI49" s="402">
        <f>VLOOKUP($B49,'Data - CFR 2024-25'!$B$4:$CJ$127,86,0)</f>
        <v>70</v>
      </c>
      <c r="CJ49" s="402">
        <f>VLOOKUP($B49,'Data - CFR 2024-25'!$B$4:$CJ$127,87,0)</f>
        <v>1518.6299999999992</v>
      </c>
    </row>
    <row r="50" spans="1:88" s="220" customFormat="1" ht="13.8">
      <c r="A50" s="252" t="s">
        <v>1384</v>
      </c>
      <c r="B50" s="288">
        <v>2016</v>
      </c>
      <c r="C50" s="288" t="s">
        <v>756</v>
      </c>
      <c r="D50" s="248" t="s">
        <v>708</v>
      </c>
      <c r="E50" s="399"/>
      <c r="F50" s="402">
        <v>788150.41</v>
      </c>
      <c r="G50" s="402">
        <v>0</v>
      </c>
      <c r="H50" s="402">
        <v>22402</v>
      </c>
      <c r="I50" s="402">
        <v>0</v>
      </c>
      <c r="J50" s="402">
        <v>43470</v>
      </c>
      <c r="K50" s="402">
        <v>0</v>
      </c>
      <c r="L50" s="402">
        <v>0</v>
      </c>
      <c r="M50" s="402">
        <v>3000</v>
      </c>
      <c r="N50" s="402">
        <v>49830</v>
      </c>
      <c r="O50" s="402">
        <v>0</v>
      </c>
      <c r="P50" s="402">
        <v>0</v>
      </c>
      <c r="Q50" s="402">
        <v>0</v>
      </c>
      <c r="R50" s="402">
        <v>0</v>
      </c>
      <c r="S50" s="402">
        <v>4500</v>
      </c>
      <c r="T50" s="402">
        <v>0</v>
      </c>
      <c r="U50" s="402">
        <v>0</v>
      </c>
      <c r="V50" s="402">
        <v>0</v>
      </c>
      <c r="W50" s="402">
        <v>0</v>
      </c>
      <c r="X50" s="402">
        <v>36160</v>
      </c>
      <c r="Y50" s="402">
        <v>947512.41</v>
      </c>
      <c r="Z50" s="402">
        <v>532774</v>
      </c>
      <c r="AA50" s="402">
        <v>11000</v>
      </c>
      <c r="AB50" s="402">
        <v>152057</v>
      </c>
      <c r="AC50" s="402">
        <v>15011.57</v>
      </c>
      <c r="AD50" s="402">
        <v>33356.160000000003</v>
      </c>
      <c r="AE50" s="402">
        <v>0</v>
      </c>
      <c r="AF50" s="402">
        <v>22671.53</v>
      </c>
      <c r="AG50" s="402">
        <v>3850</v>
      </c>
      <c r="AH50" s="402">
        <v>3000</v>
      </c>
      <c r="AI50" s="402">
        <v>3275</v>
      </c>
      <c r="AJ50" s="402">
        <v>601</v>
      </c>
      <c r="AK50" s="402">
        <v>22137</v>
      </c>
      <c r="AL50" s="402">
        <v>1800</v>
      </c>
      <c r="AM50" s="402">
        <v>1850</v>
      </c>
      <c r="AN50" s="402">
        <v>3700</v>
      </c>
      <c r="AO50" s="402">
        <v>16340</v>
      </c>
      <c r="AP50" s="402">
        <v>0</v>
      </c>
      <c r="AQ50" s="402">
        <v>3346</v>
      </c>
      <c r="AR50" s="402">
        <v>31142</v>
      </c>
      <c r="AS50" s="402">
        <v>29207.040000000001</v>
      </c>
      <c r="AT50" s="402">
        <v>0</v>
      </c>
      <c r="AU50" s="402">
        <v>4800</v>
      </c>
      <c r="AV50" s="402">
        <v>3914</v>
      </c>
      <c r="AW50" s="402">
        <v>1500</v>
      </c>
      <c r="AX50" s="402">
        <v>48608</v>
      </c>
      <c r="AY50" s="402">
        <v>0</v>
      </c>
      <c r="AZ50" s="402">
        <v>1590</v>
      </c>
      <c r="BA50" s="402">
        <v>10952</v>
      </c>
      <c r="BB50" s="402">
        <v>0</v>
      </c>
      <c r="BC50" s="402">
        <v>1100</v>
      </c>
      <c r="BD50" s="402">
        <v>3336</v>
      </c>
      <c r="BE50" s="402">
        <v>962918.3</v>
      </c>
      <c r="BF50" s="402">
        <v>-15405.890000000014</v>
      </c>
      <c r="BG50" s="402">
        <v>15612.94000000015</v>
      </c>
      <c r="BH50" s="402">
        <v>207.0500000001357</v>
      </c>
      <c r="BI50" s="402">
        <v>0</v>
      </c>
      <c r="BJ50" s="402">
        <v>0</v>
      </c>
      <c r="BK50" s="402">
        <v>0</v>
      </c>
      <c r="BL50" s="402">
        <v>0</v>
      </c>
      <c r="BM50" s="402">
        <v>0</v>
      </c>
      <c r="BN50" s="402">
        <v>0</v>
      </c>
      <c r="BO50" s="402">
        <v>0</v>
      </c>
      <c r="BP50" s="402">
        <v>0</v>
      </c>
      <c r="BQ50" s="402">
        <v>0</v>
      </c>
      <c r="BR50" s="402">
        <v>0</v>
      </c>
      <c r="BS50" s="402">
        <v>207.0500000001357</v>
      </c>
      <c r="BT50" s="402">
        <v>0</v>
      </c>
      <c r="BU50" s="402">
        <v>207.0500000001357</v>
      </c>
      <c r="BV50" s="402">
        <v>5530</v>
      </c>
      <c r="BW50" s="402">
        <v>0</v>
      </c>
      <c r="BX50" s="402">
        <v>0</v>
      </c>
      <c r="BY50" s="402">
        <v>5530</v>
      </c>
      <c r="BZ50" s="402">
        <v>0</v>
      </c>
      <c r="CA50" s="402">
        <v>29506.84</v>
      </c>
      <c r="CB50" s="402">
        <v>0</v>
      </c>
      <c r="CC50" s="402">
        <v>0</v>
      </c>
      <c r="CD50" s="402">
        <v>29506.84</v>
      </c>
      <c r="CE50" s="402">
        <v>-23976.84</v>
      </c>
      <c r="CF50" s="402">
        <v>23976.840000000004</v>
      </c>
      <c r="CG50" s="402">
        <v>0</v>
      </c>
      <c r="CH50" s="402">
        <f>VLOOKUP($B50,'Data - CFR 2024-25'!$B$4:$CJ$127,85,0)</f>
        <v>21275.850000000002</v>
      </c>
      <c r="CI50" s="402">
        <f>VLOOKUP($B50,'Data - CFR 2024-25'!$B$4:$CJ$127,86,0)</f>
        <v>2700.99</v>
      </c>
      <c r="CJ50" s="402">
        <f>VLOOKUP($B50,'Data - CFR 2024-25'!$B$4:$CJ$127,87,0)</f>
        <v>23976.840000000004</v>
      </c>
    </row>
    <row r="51" spans="1:88" s="220" customFormat="1" ht="13.8">
      <c r="A51" s="252" t="s">
        <v>1384</v>
      </c>
      <c r="B51" s="288">
        <v>3310</v>
      </c>
      <c r="C51" s="288" t="s">
        <v>757</v>
      </c>
      <c r="D51" s="248" t="s">
        <v>708</v>
      </c>
      <c r="E51" s="399"/>
      <c r="F51" s="402">
        <v>1043163.3599988724</v>
      </c>
      <c r="G51" s="402">
        <v>0</v>
      </c>
      <c r="H51" s="402">
        <v>63383</v>
      </c>
      <c r="I51" s="402">
        <v>0</v>
      </c>
      <c r="J51" s="402">
        <v>27155</v>
      </c>
      <c r="K51" s="402">
        <v>0</v>
      </c>
      <c r="L51" s="402">
        <v>0</v>
      </c>
      <c r="M51" s="402">
        <v>8730</v>
      </c>
      <c r="N51" s="402">
        <v>56972</v>
      </c>
      <c r="O51" s="402">
        <v>1500</v>
      </c>
      <c r="P51" s="402">
        <v>2096</v>
      </c>
      <c r="Q51" s="402">
        <v>0</v>
      </c>
      <c r="R51" s="402">
        <v>1400</v>
      </c>
      <c r="S51" s="402">
        <v>0</v>
      </c>
      <c r="T51" s="402">
        <v>0</v>
      </c>
      <c r="U51" s="402">
        <v>0</v>
      </c>
      <c r="V51" s="402">
        <v>0</v>
      </c>
      <c r="W51" s="402">
        <v>0</v>
      </c>
      <c r="X51" s="402">
        <v>53359</v>
      </c>
      <c r="Y51" s="402">
        <v>1257758.3599988725</v>
      </c>
      <c r="Z51" s="402">
        <v>625570.80039493181</v>
      </c>
      <c r="AA51" s="402">
        <v>10000</v>
      </c>
      <c r="AB51" s="402">
        <v>267809.1723138098</v>
      </c>
      <c r="AC51" s="402">
        <v>39775.075589661836</v>
      </c>
      <c r="AD51" s="402">
        <v>65503.552699608699</v>
      </c>
      <c r="AE51" s="402">
        <v>0</v>
      </c>
      <c r="AF51" s="402">
        <v>25008.766280581462</v>
      </c>
      <c r="AG51" s="402">
        <v>1000</v>
      </c>
      <c r="AH51" s="402">
        <v>5000</v>
      </c>
      <c r="AI51" s="402">
        <v>5200</v>
      </c>
      <c r="AJ51" s="402">
        <v>0</v>
      </c>
      <c r="AK51" s="402">
        <v>13000</v>
      </c>
      <c r="AL51" s="402">
        <v>2655</v>
      </c>
      <c r="AM51" s="402">
        <v>3500</v>
      </c>
      <c r="AN51" s="402">
        <v>9450</v>
      </c>
      <c r="AO51" s="402">
        <v>37325</v>
      </c>
      <c r="AP51" s="402">
        <v>0</v>
      </c>
      <c r="AQ51" s="402">
        <v>9460</v>
      </c>
      <c r="AR51" s="402">
        <v>10100</v>
      </c>
      <c r="AS51" s="402">
        <v>34270</v>
      </c>
      <c r="AT51" s="402">
        <v>0</v>
      </c>
      <c r="AU51" s="402">
        <v>12102</v>
      </c>
      <c r="AV51" s="402">
        <v>5683</v>
      </c>
      <c r="AW51" s="402">
        <v>15625</v>
      </c>
      <c r="AX51" s="402">
        <v>50524</v>
      </c>
      <c r="AY51" s="402">
        <v>3000</v>
      </c>
      <c r="AZ51" s="402">
        <v>19047</v>
      </c>
      <c r="BA51" s="402">
        <v>18964</v>
      </c>
      <c r="BB51" s="402">
        <v>0</v>
      </c>
      <c r="BC51" s="402">
        <v>0</v>
      </c>
      <c r="BD51" s="402">
        <v>15058</v>
      </c>
      <c r="BE51" s="402">
        <v>1304630.3672785936</v>
      </c>
      <c r="BF51" s="402">
        <v>-46872.007279721089</v>
      </c>
      <c r="BG51" s="402">
        <v>-28398.36</v>
      </c>
      <c r="BH51" s="402">
        <v>-75270.367279721089</v>
      </c>
      <c r="BI51" s="402">
        <v>86200</v>
      </c>
      <c r="BJ51" s="402">
        <v>41625</v>
      </c>
      <c r="BK51" s="402">
        <v>127825</v>
      </c>
      <c r="BL51" s="402">
        <v>134183.79725922193</v>
      </c>
      <c r="BM51" s="402">
        <v>12169</v>
      </c>
      <c r="BN51" s="402">
        <v>146352.79725922193</v>
      </c>
      <c r="BO51" s="402">
        <v>-18527.79725922193</v>
      </c>
      <c r="BP51" s="402">
        <v>-28871.23</v>
      </c>
      <c r="BQ51" s="402">
        <v>-47399.027259221926</v>
      </c>
      <c r="BR51" s="402">
        <v>0</v>
      </c>
      <c r="BS51" s="402">
        <v>-75270.367279721089</v>
      </c>
      <c r="BT51" s="402">
        <v>-47399.027259221926</v>
      </c>
      <c r="BU51" s="402">
        <v>-122669.39453894302</v>
      </c>
      <c r="BV51" s="402">
        <v>0</v>
      </c>
      <c r="BW51" s="402">
        <v>0</v>
      </c>
      <c r="BX51" s="402">
        <v>0</v>
      </c>
      <c r="BY51" s="402">
        <v>0</v>
      </c>
      <c r="BZ51" s="402">
        <v>0</v>
      </c>
      <c r="CA51" s="402">
        <v>0</v>
      </c>
      <c r="CB51" s="402">
        <v>0</v>
      </c>
      <c r="CC51" s="402">
        <v>0</v>
      </c>
      <c r="CD51" s="402">
        <v>0</v>
      </c>
      <c r="CE51" s="402">
        <v>0</v>
      </c>
      <c r="CF51" s="402">
        <v>0</v>
      </c>
      <c r="CG51" s="402">
        <v>0</v>
      </c>
      <c r="CH51" s="402">
        <f>VLOOKUP($B51,'Data - CFR 2024-25'!$B$4:$CJ$127,85,0)</f>
        <v>0</v>
      </c>
      <c r="CI51" s="402">
        <f>VLOOKUP($B51,'Data - CFR 2024-25'!$B$4:$CJ$127,86,0)</f>
        <v>0</v>
      </c>
      <c r="CJ51" s="402">
        <f>VLOOKUP($B51,'Data - CFR 2024-25'!$B$4:$CJ$127,87,0)</f>
        <v>0</v>
      </c>
    </row>
    <row r="52" spans="1:88" s="220" customFormat="1" ht="13.8">
      <c r="A52" s="252" t="s">
        <v>1384</v>
      </c>
      <c r="B52" s="288">
        <v>3068</v>
      </c>
      <c r="C52" s="288" t="s">
        <v>758</v>
      </c>
      <c r="D52" s="248" t="s">
        <v>708</v>
      </c>
      <c r="E52" s="399"/>
      <c r="F52" s="402">
        <v>582889.69337174029</v>
      </c>
      <c r="G52" s="402">
        <v>0</v>
      </c>
      <c r="H52" s="402">
        <v>21056</v>
      </c>
      <c r="I52" s="402">
        <v>0</v>
      </c>
      <c r="J52" s="402">
        <v>15150</v>
      </c>
      <c r="K52" s="402">
        <v>0</v>
      </c>
      <c r="L52" s="402">
        <v>0</v>
      </c>
      <c r="M52" s="402">
        <v>2600</v>
      </c>
      <c r="N52" s="402">
        <v>20788</v>
      </c>
      <c r="O52" s="402">
        <v>10100</v>
      </c>
      <c r="P52" s="402">
        <v>0</v>
      </c>
      <c r="Q52" s="402">
        <v>0</v>
      </c>
      <c r="R52" s="402">
        <v>0</v>
      </c>
      <c r="S52" s="402">
        <v>0</v>
      </c>
      <c r="T52" s="402">
        <v>0</v>
      </c>
      <c r="U52" s="402">
        <v>0</v>
      </c>
      <c r="V52" s="402">
        <v>0</v>
      </c>
      <c r="W52" s="402">
        <v>0</v>
      </c>
      <c r="X52" s="402">
        <v>25940</v>
      </c>
      <c r="Y52" s="402">
        <v>678523.69337174029</v>
      </c>
      <c r="Z52" s="402">
        <v>358146.04669855995</v>
      </c>
      <c r="AA52" s="402">
        <v>5000</v>
      </c>
      <c r="AB52" s="402">
        <v>127105.75304069585</v>
      </c>
      <c r="AC52" s="402">
        <v>33609.102528131851</v>
      </c>
      <c r="AD52" s="402">
        <v>33874.826912334116</v>
      </c>
      <c r="AE52" s="402">
        <v>26789.13534099792</v>
      </c>
      <c r="AF52" s="402">
        <v>19570.164338540835</v>
      </c>
      <c r="AG52" s="402">
        <v>3748</v>
      </c>
      <c r="AH52" s="402">
        <v>2000</v>
      </c>
      <c r="AI52" s="402">
        <v>2475</v>
      </c>
      <c r="AJ52" s="402">
        <v>47</v>
      </c>
      <c r="AK52" s="402">
        <v>8000</v>
      </c>
      <c r="AL52" s="402">
        <v>2710</v>
      </c>
      <c r="AM52" s="402">
        <v>1810</v>
      </c>
      <c r="AN52" s="402">
        <v>1500</v>
      </c>
      <c r="AO52" s="402">
        <v>14000</v>
      </c>
      <c r="AP52" s="402">
        <v>0</v>
      </c>
      <c r="AQ52" s="402">
        <v>2650</v>
      </c>
      <c r="AR52" s="402">
        <v>11850</v>
      </c>
      <c r="AS52" s="402">
        <v>17174</v>
      </c>
      <c r="AT52" s="402">
        <v>0</v>
      </c>
      <c r="AU52" s="402">
        <v>2585</v>
      </c>
      <c r="AV52" s="402">
        <v>2660</v>
      </c>
      <c r="AW52" s="402">
        <v>500</v>
      </c>
      <c r="AX52" s="402">
        <v>7100</v>
      </c>
      <c r="AY52" s="402">
        <v>0</v>
      </c>
      <c r="AZ52" s="402">
        <v>0</v>
      </c>
      <c r="BA52" s="402">
        <v>10069</v>
      </c>
      <c r="BB52" s="402">
        <v>0</v>
      </c>
      <c r="BC52" s="402">
        <v>3732</v>
      </c>
      <c r="BD52" s="402">
        <v>6698</v>
      </c>
      <c r="BE52" s="402">
        <v>705403.02885926061</v>
      </c>
      <c r="BF52" s="402">
        <v>-26879.335487520322</v>
      </c>
      <c r="BG52" s="402">
        <v>-25467.799999999625</v>
      </c>
      <c r="BH52" s="402">
        <v>-52347.135487519947</v>
      </c>
      <c r="BI52" s="402">
        <v>0</v>
      </c>
      <c r="BJ52" s="402">
        <v>0</v>
      </c>
      <c r="BK52" s="402">
        <v>0</v>
      </c>
      <c r="BL52" s="402">
        <v>0</v>
      </c>
      <c r="BM52" s="402">
        <v>0</v>
      </c>
      <c r="BN52" s="402">
        <v>0</v>
      </c>
      <c r="BO52" s="402">
        <v>0</v>
      </c>
      <c r="BP52" s="402">
        <v>0</v>
      </c>
      <c r="BQ52" s="402">
        <v>0</v>
      </c>
      <c r="BR52" s="402">
        <v>0</v>
      </c>
      <c r="BS52" s="402">
        <v>-52347.135487519947</v>
      </c>
      <c r="BT52" s="402">
        <v>0</v>
      </c>
      <c r="BU52" s="402">
        <v>-52347.135487519947</v>
      </c>
      <c r="BV52" s="402">
        <v>5114</v>
      </c>
      <c r="BW52" s="402">
        <v>0</v>
      </c>
      <c r="BX52" s="402">
        <v>6698</v>
      </c>
      <c r="BY52" s="402">
        <v>11812</v>
      </c>
      <c r="BZ52" s="402">
        <v>0</v>
      </c>
      <c r="CA52" s="402">
        <v>10340.25</v>
      </c>
      <c r="CB52" s="402">
        <v>0</v>
      </c>
      <c r="CC52" s="402">
        <v>0</v>
      </c>
      <c r="CD52" s="402">
        <v>10340.25</v>
      </c>
      <c r="CE52" s="402">
        <v>1471.75</v>
      </c>
      <c r="CF52" s="402">
        <v>5226.25</v>
      </c>
      <c r="CG52" s="402">
        <v>6698</v>
      </c>
      <c r="CH52" s="402">
        <f>VLOOKUP($B52,'Data - CFR 2024-25'!$B$4:$CJ$127,85,0)</f>
        <v>5226.25</v>
      </c>
      <c r="CI52" s="402">
        <f>VLOOKUP($B52,'Data - CFR 2024-25'!$B$4:$CJ$127,86,0)</f>
        <v>0</v>
      </c>
      <c r="CJ52" s="402">
        <f>VLOOKUP($B52,'Data - CFR 2024-25'!$B$4:$CJ$127,87,0)</f>
        <v>5226.25</v>
      </c>
    </row>
    <row r="53" spans="1:88" s="220" customFormat="1" ht="13.8">
      <c r="A53" s="252" t="s">
        <v>1384</v>
      </c>
      <c r="B53" s="288">
        <v>2315</v>
      </c>
      <c r="C53" s="288" t="s">
        <v>759</v>
      </c>
      <c r="D53" s="248" t="s">
        <v>708</v>
      </c>
      <c r="E53" s="399"/>
      <c r="F53" s="402">
        <v>2933607.8160875626</v>
      </c>
      <c r="G53" s="402">
        <v>0</v>
      </c>
      <c r="H53" s="402">
        <v>120000</v>
      </c>
      <c r="I53" s="402">
        <v>0</v>
      </c>
      <c r="J53" s="402">
        <v>162105</v>
      </c>
      <c r="K53" s="402">
        <v>0</v>
      </c>
      <c r="L53" s="402">
        <v>0</v>
      </c>
      <c r="M53" s="402">
        <v>40000</v>
      </c>
      <c r="N53" s="402">
        <v>2000</v>
      </c>
      <c r="O53" s="402">
        <v>0</v>
      </c>
      <c r="P53" s="402">
        <v>0</v>
      </c>
      <c r="Q53" s="402">
        <v>0</v>
      </c>
      <c r="R53" s="402">
        <v>0</v>
      </c>
      <c r="S53" s="402">
        <v>0</v>
      </c>
      <c r="T53" s="402">
        <v>0</v>
      </c>
      <c r="U53" s="402">
        <v>0</v>
      </c>
      <c r="V53" s="402">
        <v>0</v>
      </c>
      <c r="W53" s="402">
        <v>0</v>
      </c>
      <c r="X53" s="402">
        <v>20000</v>
      </c>
      <c r="Y53" s="402">
        <v>3277712.8160875626</v>
      </c>
      <c r="Z53" s="402">
        <v>1870592.2863877334</v>
      </c>
      <c r="AA53" s="402">
        <v>22000</v>
      </c>
      <c r="AB53" s="402">
        <v>733804.07901597407</v>
      </c>
      <c r="AC53" s="402">
        <v>68293.874748341856</v>
      </c>
      <c r="AD53" s="402">
        <v>140187.75909159909</v>
      </c>
      <c r="AE53" s="402">
        <v>0</v>
      </c>
      <c r="AF53" s="402">
        <v>74436.754171432302</v>
      </c>
      <c r="AG53" s="402">
        <v>10500</v>
      </c>
      <c r="AH53" s="402">
        <v>10000</v>
      </c>
      <c r="AI53" s="402">
        <v>12500</v>
      </c>
      <c r="AJ53" s="402">
        <v>200</v>
      </c>
      <c r="AK53" s="402">
        <v>30000</v>
      </c>
      <c r="AL53" s="402">
        <v>7000</v>
      </c>
      <c r="AM53" s="402">
        <v>40000</v>
      </c>
      <c r="AN53" s="402">
        <v>10000</v>
      </c>
      <c r="AO53" s="402">
        <v>98000</v>
      </c>
      <c r="AP53" s="402">
        <v>0</v>
      </c>
      <c r="AQ53" s="402">
        <v>12900</v>
      </c>
      <c r="AR53" s="402">
        <v>76503</v>
      </c>
      <c r="AS53" s="402">
        <v>59300</v>
      </c>
      <c r="AT53" s="402">
        <v>0</v>
      </c>
      <c r="AU53" s="402">
        <v>26100</v>
      </c>
      <c r="AV53" s="402">
        <v>14000</v>
      </c>
      <c r="AW53" s="402">
        <v>0</v>
      </c>
      <c r="AX53" s="402">
        <v>34000</v>
      </c>
      <c r="AY53" s="402">
        <v>0</v>
      </c>
      <c r="AZ53" s="402">
        <v>31440</v>
      </c>
      <c r="BA53" s="402">
        <v>20277</v>
      </c>
      <c r="BB53" s="402">
        <v>0</v>
      </c>
      <c r="BC53" s="402">
        <v>0</v>
      </c>
      <c r="BD53" s="402">
        <v>0</v>
      </c>
      <c r="BE53" s="402">
        <v>3402034.7534150807</v>
      </c>
      <c r="BF53" s="402">
        <v>-124321.93732751813</v>
      </c>
      <c r="BG53" s="402">
        <v>142715.32999999958</v>
      </c>
      <c r="BH53" s="402">
        <v>18393.392672481452</v>
      </c>
      <c r="BI53" s="402">
        <v>0</v>
      </c>
      <c r="BJ53" s="402">
        <v>0</v>
      </c>
      <c r="BK53" s="402">
        <v>0</v>
      </c>
      <c r="BL53" s="402">
        <v>0</v>
      </c>
      <c r="BM53" s="402">
        <v>0</v>
      </c>
      <c r="BN53" s="402">
        <v>0</v>
      </c>
      <c r="BO53" s="402">
        <v>0</v>
      </c>
      <c r="BP53" s="402">
        <v>0</v>
      </c>
      <c r="BQ53" s="402">
        <v>0</v>
      </c>
      <c r="BR53" s="402">
        <v>0</v>
      </c>
      <c r="BS53" s="402">
        <v>18393.392672481452</v>
      </c>
      <c r="BT53" s="402">
        <v>0</v>
      </c>
      <c r="BU53" s="402">
        <v>18393.392672481452</v>
      </c>
      <c r="BV53" s="402">
        <v>10552</v>
      </c>
      <c r="BW53" s="402">
        <v>0</v>
      </c>
      <c r="BX53" s="402">
        <v>0</v>
      </c>
      <c r="BY53" s="402">
        <v>10552</v>
      </c>
      <c r="BZ53" s="402">
        <v>0</v>
      </c>
      <c r="CA53" s="402">
        <v>10552</v>
      </c>
      <c r="CB53" s="402">
        <v>0</v>
      </c>
      <c r="CC53" s="402">
        <v>0</v>
      </c>
      <c r="CD53" s="402">
        <v>10552</v>
      </c>
      <c r="CE53" s="402">
        <v>0</v>
      </c>
      <c r="CF53" s="402">
        <v>17096.100000000006</v>
      </c>
      <c r="CG53" s="402">
        <v>17096.100000000006</v>
      </c>
      <c r="CH53" s="402">
        <f>VLOOKUP($B53,'Data - CFR 2024-25'!$B$4:$CJ$127,85,0)</f>
        <v>17096.100000000006</v>
      </c>
      <c r="CI53" s="402">
        <f>VLOOKUP($B53,'Data - CFR 2024-25'!$B$4:$CJ$127,86,0)</f>
        <v>0</v>
      </c>
      <c r="CJ53" s="402">
        <f>VLOOKUP($B53,'Data - CFR 2024-25'!$B$4:$CJ$127,87,0)</f>
        <v>17096.100000000006</v>
      </c>
    </row>
    <row r="54" spans="1:88" s="220" customFormat="1" ht="13.8">
      <c r="A54" s="252" t="s">
        <v>1384</v>
      </c>
      <c r="B54" s="288">
        <v>2018</v>
      </c>
      <c r="C54" s="288" t="s">
        <v>760</v>
      </c>
      <c r="D54" s="248" t="s">
        <v>708</v>
      </c>
      <c r="E54" s="399"/>
      <c r="F54" s="402">
        <v>0</v>
      </c>
      <c r="G54" s="402">
        <v>0</v>
      </c>
      <c r="H54" s="402">
        <v>0</v>
      </c>
      <c r="I54" s="402">
        <v>0</v>
      </c>
      <c r="J54" s="402">
        <v>0</v>
      </c>
      <c r="K54" s="402">
        <v>0</v>
      </c>
      <c r="L54" s="402">
        <v>0</v>
      </c>
      <c r="M54" s="402">
        <v>0</v>
      </c>
      <c r="N54" s="402">
        <v>0</v>
      </c>
      <c r="O54" s="402">
        <v>0</v>
      </c>
      <c r="P54" s="402">
        <v>0</v>
      </c>
      <c r="Q54" s="402">
        <v>0</v>
      </c>
      <c r="R54" s="402">
        <v>0</v>
      </c>
      <c r="S54" s="402">
        <v>0</v>
      </c>
      <c r="T54" s="402">
        <v>0</v>
      </c>
      <c r="U54" s="402">
        <v>0</v>
      </c>
      <c r="V54" s="402">
        <v>0</v>
      </c>
      <c r="W54" s="402">
        <v>0</v>
      </c>
      <c r="X54" s="402">
        <v>0</v>
      </c>
      <c r="Y54" s="402">
        <v>0</v>
      </c>
      <c r="Z54" s="402">
        <v>0</v>
      </c>
      <c r="AA54" s="402">
        <v>0</v>
      </c>
      <c r="AB54" s="402">
        <v>0</v>
      </c>
      <c r="AC54" s="402">
        <v>0</v>
      </c>
      <c r="AD54" s="402">
        <v>0</v>
      </c>
      <c r="AE54" s="402">
        <v>0</v>
      </c>
      <c r="AF54" s="402">
        <v>0</v>
      </c>
      <c r="AG54" s="402">
        <v>0</v>
      </c>
      <c r="AH54" s="402">
        <v>0</v>
      </c>
      <c r="AI54" s="402">
        <v>0</v>
      </c>
      <c r="AJ54" s="402">
        <v>0</v>
      </c>
      <c r="AK54" s="402">
        <v>0</v>
      </c>
      <c r="AL54" s="402">
        <v>0</v>
      </c>
      <c r="AM54" s="402">
        <v>0</v>
      </c>
      <c r="AN54" s="402">
        <v>0</v>
      </c>
      <c r="AO54" s="402">
        <v>0</v>
      </c>
      <c r="AP54" s="402">
        <v>0</v>
      </c>
      <c r="AQ54" s="402">
        <v>0</v>
      </c>
      <c r="AR54" s="402">
        <v>0</v>
      </c>
      <c r="AS54" s="402">
        <v>0</v>
      </c>
      <c r="AT54" s="402">
        <v>0</v>
      </c>
      <c r="AU54" s="402">
        <v>0</v>
      </c>
      <c r="AV54" s="402">
        <v>0</v>
      </c>
      <c r="AW54" s="402">
        <v>0</v>
      </c>
      <c r="AX54" s="402">
        <v>0</v>
      </c>
      <c r="AY54" s="402">
        <v>0</v>
      </c>
      <c r="AZ54" s="402">
        <v>0</v>
      </c>
      <c r="BA54" s="402">
        <v>0</v>
      </c>
      <c r="BB54" s="402">
        <v>0</v>
      </c>
      <c r="BC54" s="402">
        <v>0</v>
      </c>
      <c r="BD54" s="402">
        <v>0</v>
      </c>
      <c r="BE54" s="402">
        <v>0</v>
      </c>
      <c r="BF54" s="402">
        <v>0</v>
      </c>
      <c r="BG54" s="402">
        <v>0</v>
      </c>
      <c r="BH54" s="402">
        <v>0</v>
      </c>
      <c r="BI54" s="402">
        <v>0</v>
      </c>
      <c r="BJ54" s="402">
        <v>0</v>
      </c>
      <c r="BK54" s="402">
        <v>0</v>
      </c>
      <c r="BL54" s="402">
        <v>0</v>
      </c>
      <c r="BM54" s="402">
        <v>0</v>
      </c>
      <c r="BN54" s="402">
        <v>0</v>
      </c>
      <c r="BO54" s="402">
        <v>0</v>
      </c>
      <c r="BP54" s="402">
        <v>0</v>
      </c>
      <c r="BQ54" s="402">
        <v>0</v>
      </c>
      <c r="BR54" s="402">
        <v>0</v>
      </c>
      <c r="BS54" s="402">
        <v>0</v>
      </c>
      <c r="BT54" s="402">
        <v>0</v>
      </c>
      <c r="BU54" s="402">
        <v>0</v>
      </c>
      <c r="BV54" s="402">
        <v>0</v>
      </c>
      <c r="BW54" s="402">
        <v>0</v>
      </c>
      <c r="BX54" s="402">
        <v>0</v>
      </c>
      <c r="BY54" s="402">
        <v>0</v>
      </c>
      <c r="BZ54" s="402">
        <v>0</v>
      </c>
      <c r="CA54" s="402">
        <v>0</v>
      </c>
      <c r="CB54" s="402">
        <v>0</v>
      </c>
      <c r="CC54" s="402">
        <v>0</v>
      </c>
      <c r="CD54" s="402">
        <v>0</v>
      </c>
      <c r="CE54" s="402">
        <v>0</v>
      </c>
      <c r="CF54" s="402">
        <v>0</v>
      </c>
      <c r="CG54" s="402">
        <v>0</v>
      </c>
      <c r="CH54" s="402">
        <f>VLOOKUP($B54,'Data - CFR 2024-25'!$B$4:$CJ$127,85,0)</f>
        <v>0</v>
      </c>
      <c r="CI54" s="402">
        <f>VLOOKUP($B54,'Data - CFR 2024-25'!$B$4:$CJ$127,86,0)</f>
        <v>0</v>
      </c>
      <c r="CJ54" s="402">
        <f>VLOOKUP($B54,'Data - CFR 2024-25'!$B$4:$CJ$127,87,0)</f>
        <v>0</v>
      </c>
    </row>
    <row r="55" spans="1:88" s="220" customFormat="1" ht="13.8">
      <c r="A55" s="252" t="s">
        <v>1384</v>
      </c>
      <c r="B55" s="288">
        <v>3035</v>
      </c>
      <c r="C55" s="288" t="s">
        <v>761</v>
      </c>
      <c r="D55" s="248" t="s">
        <v>708</v>
      </c>
      <c r="E55" s="399"/>
      <c r="F55" s="402">
        <v>751858.76891929843</v>
      </c>
      <c r="G55" s="402">
        <v>0</v>
      </c>
      <c r="H55" s="402">
        <v>4171</v>
      </c>
      <c r="I55" s="402">
        <v>0</v>
      </c>
      <c r="J55" s="402">
        <v>23425</v>
      </c>
      <c r="K55" s="402">
        <v>0</v>
      </c>
      <c r="L55" s="402">
        <v>0</v>
      </c>
      <c r="M55" s="402">
        <v>200</v>
      </c>
      <c r="N55" s="402">
        <v>15162.1</v>
      </c>
      <c r="O55" s="402">
        <v>0</v>
      </c>
      <c r="P55" s="402">
        <v>0</v>
      </c>
      <c r="Q55" s="402">
        <v>0</v>
      </c>
      <c r="R55" s="402">
        <v>900</v>
      </c>
      <c r="S55" s="402">
        <v>0</v>
      </c>
      <c r="T55" s="402">
        <v>0</v>
      </c>
      <c r="U55" s="402">
        <v>0</v>
      </c>
      <c r="V55" s="402">
        <v>0</v>
      </c>
      <c r="W55" s="402">
        <v>0</v>
      </c>
      <c r="X55" s="402">
        <v>38845</v>
      </c>
      <c r="Y55" s="402">
        <v>834561.8689192984</v>
      </c>
      <c r="Z55" s="402">
        <v>415990.36687339999</v>
      </c>
      <c r="AA55" s="402">
        <v>8500</v>
      </c>
      <c r="AB55" s="402">
        <v>157547.24323653764</v>
      </c>
      <c r="AC55" s="402">
        <v>7809.7684067401251</v>
      </c>
      <c r="AD55" s="402">
        <v>62443.236710859412</v>
      </c>
      <c r="AE55" s="402">
        <v>0</v>
      </c>
      <c r="AF55" s="402">
        <v>28119.452394145133</v>
      </c>
      <c r="AG55" s="402">
        <v>15075</v>
      </c>
      <c r="AH55" s="402">
        <v>8500</v>
      </c>
      <c r="AI55" s="402">
        <v>2051</v>
      </c>
      <c r="AJ55" s="402">
        <v>0</v>
      </c>
      <c r="AK55" s="402">
        <v>10000</v>
      </c>
      <c r="AL55" s="402">
        <v>2850</v>
      </c>
      <c r="AM55" s="402">
        <v>20020</v>
      </c>
      <c r="AN55" s="402">
        <v>9770</v>
      </c>
      <c r="AO55" s="402">
        <v>28000</v>
      </c>
      <c r="AP55" s="402">
        <v>0</v>
      </c>
      <c r="AQ55" s="402">
        <v>5745</v>
      </c>
      <c r="AR55" s="402">
        <v>23515.919999999998</v>
      </c>
      <c r="AS55" s="402">
        <v>26070</v>
      </c>
      <c r="AT55" s="402">
        <v>0</v>
      </c>
      <c r="AU55" s="402">
        <v>6950</v>
      </c>
      <c r="AV55" s="402">
        <v>3744</v>
      </c>
      <c r="AW55" s="402">
        <v>0</v>
      </c>
      <c r="AX55" s="402">
        <v>28895</v>
      </c>
      <c r="AY55" s="402">
        <v>0</v>
      </c>
      <c r="AZ55" s="402">
        <v>8150</v>
      </c>
      <c r="BA55" s="402">
        <v>14711</v>
      </c>
      <c r="BB55" s="402">
        <v>0</v>
      </c>
      <c r="BC55" s="402">
        <v>0</v>
      </c>
      <c r="BD55" s="402">
        <v>1819</v>
      </c>
      <c r="BE55" s="402">
        <v>896275.98762168235</v>
      </c>
      <c r="BF55" s="402">
        <v>-61714.118702383945</v>
      </c>
      <c r="BG55" s="402">
        <v>111438.42000000016</v>
      </c>
      <c r="BH55" s="402">
        <v>49724.301297616214</v>
      </c>
      <c r="BI55" s="402">
        <v>0</v>
      </c>
      <c r="BJ55" s="402">
        <v>0</v>
      </c>
      <c r="BK55" s="402">
        <v>0</v>
      </c>
      <c r="BL55" s="402">
        <v>0</v>
      </c>
      <c r="BM55" s="402">
        <v>0</v>
      </c>
      <c r="BN55" s="402">
        <v>0</v>
      </c>
      <c r="BO55" s="402">
        <v>0</v>
      </c>
      <c r="BP55" s="402">
        <v>0</v>
      </c>
      <c r="BQ55" s="402">
        <v>0</v>
      </c>
      <c r="BR55" s="402">
        <v>0</v>
      </c>
      <c r="BS55" s="402">
        <v>49724.301297616214</v>
      </c>
      <c r="BT55" s="402">
        <v>0</v>
      </c>
      <c r="BU55" s="402">
        <v>49724.301297616214</v>
      </c>
      <c r="BV55" s="402">
        <v>5800</v>
      </c>
      <c r="BW55" s="402">
        <v>0</v>
      </c>
      <c r="BX55" s="402">
        <v>0</v>
      </c>
      <c r="BY55" s="402">
        <v>5800</v>
      </c>
      <c r="BZ55" s="402">
        <v>0</v>
      </c>
      <c r="CA55" s="402">
        <v>6476.84</v>
      </c>
      <c r="CB55" s="402">
        <v>0</v>
      </c>
      <c r="CC55" s="402">
        <v>2000</v>
      </c>
      <c r="CD55" s="402">
        <v>8476.84</v>
      </c>
      <c r="CE55" s="402">
        <v>-2676.84</v>
      </c>
      <c r="CF55" s="402">
        <v>2676.84</v>
      </c>
      <c r="CG55" s="402">
        <v>0</v>
      </c>
      <c r="CH55" s="402">
        <f>VLOOKUP($B55,'Data - CFR 2024-25'!$B$4:$CJ$127,85,0)</f>
        <v>2676.84</v>
      </c>
      <c r="CI55" s="402">
        <f>VLOOKUP($B55,'Data - CFR 2024-25'!$B$4:$CJ$127,86,0)</f>
        <v>0</v>
      </c>
      <c r="CJ55" s="402">
        <f>VLOOKUP($B55,'Data - CFR 2024-25'!$B$4:$CJ$127,87,0)</f>
        <v>2676.84</v>
      </c>
    </row>
    <row r="56" spans="1:88" s="220" customFormat="1" ht="13.8">
      <c r="A56" s="252" t="s">
        <v>1384</v>
      </c>
      <c r="B56" s="288">
        <v>2205</v>
      </c>
      <c r="C56" s="288" t="s">
        <v>762</v>
      </c>
      <c r="D56" s="248" t="s">
        <v>708</v>
      </c>
      <c r="E56" s="399"/>
      <c r="F56" s="402">
        <v>522354.95803874609</v>
      </c>
      <c r="G56" s="402">
        <v>0</v>
      </c>
      <c r="H56" s="402">
        <v>25000</v>
      </c>
      <c r="I56" s="402">
        <v>0</v>
      </c>
      <c r="J56" s="402">
        <v>21210</v>
      </c>
      <c r="K56" s="402">
        <v>0</v>
      </c>
      <c r="L56" s="402">
        <v>0</v>
      </c>
      <c r="M56" s="402">
        <v>3800</v>
      </c>
      <c r="N56" s="402">
        <v>400</v>
      </c>
      <c r="O56" s="402">
        <v>0</v>
      </c>
      <c r="P56" s="402">
        <v>0</v>
      </c>
      <c r="Q56" s="402">
        <v>0</v>
      </c>
      <c r="R56" s="402">
        <v>0</v>
      </c>
      <c r="S56" s="402">
        <v>0</v>
      </c>
      <c r="T56" s="402">
        <v>0</v>
      </c>
      <c r="U56" s="402">
        <v>0</v>
      </c>
      <c r="V56" s="402">
        <v>0</v>
      </c>
      <c r="W56" s="402">
        <v>0</v>
      </c>
      <c r="X56" s="402">
        <v>32092</v>
      </c>
      <c r="Y56" s="402">
        <v>604856.95803874615</v>
      </c>
      <c r="Z56" s="402">
        <v>221233.68378613333</v>
      </c>
      <c r="AA56" s="402">
        <v>2000</v>
      </c>
      <c r="AB56" s="402">
        <v>170994.63047184967</v>
      </c>
      <c r="AC56" s="402">
        <v>0</v>
      </c>
      <c r="AD56" s="402">
        <v>42781.29069550139</v>
      </c>
      <c r="AE56" s="402">
        <v>0</v>
      </c>
      <c r="AF56" s="402">
        <v>4725.7092212342577</v>
      </c>
      <c r="AG56" s="402">
        <v>2415</v>
      </c>
      <c r="AH56" s="402">
        <v>1800</v>
      </c>
      <c r="AI56" s="402">
        <v>1227</v>
      </c>
      <c r="AJ56" s="402">
        <v>0</v>
      </c>
      <c r="AK56" s="402">
        <v>7260</v>
      </c>
      <c r="AL56" s="402">
        <v>2100</v>
      </c>
      <c r="AM56" s="402">
        <v>17618</v>
      </c>
      <c r="AN56" s="402">
        <v>4085</v>
      </c>
      <c r="AO56" s="402">
        <v>17900</v>
      </c>
      <c r="AP56" s="402">
        <v>19367.439999999999</v>
      </c>
      <c r="AQ56" s="402">
        <v>3792</v>
      </c>
      <c r="AR56" s="402">
        <v>20629</v>
      </c>
      <c r="AS56" s="402">
        <v>20839.099999999999</v>
      </c>
      <c r="AT56" s="402">
        <v>0</v>
      </c>
      <c r="AU56" s="402">
        <v>2521</v>
      </c>
      <c r="AV56" s="402">
        <v>2367.12</v>
      </c>
      <c r="AW56" s="402">
        <v>0</v>
      </c>
      <c r="AX56" s="402">
        <v>716</v>
      </c>
      <c r="AY56" s="402">
        <v>1500</v>
      </c>
      <c r="AZ56" s="402">
        <v>2974</v>
      </c>
      <c r="BA56" s="402">
        <v>47113.68</v>
      </c>
      <c r="BB56" s="402">
        <v>0</v>
      </c>
      <c r="BC56" s="402">
        <v>0</v>
      </c>
      <c r="BD56" s="402">
        <v>0</v>
      </c>
      <c r="BE56" s="402">
        <v>617959.65417471866</v>
      </c>
      <c r="BF56" s="402">
        <v>-13102.69613597251</v>
      </c>
      <c r="BG56" s="402">
        <v>-15071.609999999637</v>
      </c>
      <c r="BH56" s="402">
        <v>-28174.306135972147</v>
      </c>
      <c r="BI56" s="402">
        <v>0</v>
      </c>
      <c r="BJ56" s="402">
        <v>0</v>
      </c>
      <c r="BK56" s="402">
        <v>0</v>
      </c>
      <c r="BL56" s="402">
        <v>0</v>
      </c>
      <c r="BM56" s="402">
        <v>0</v>
      </c>
      <c r="BN56" s="402">
        <v>0</v>
      </c>
      <c r="BO56" s="402">
        <v>0</v>
      </c>
      <c r="BP56" s="402">
        <v>0</v>
      </c>
      <c r="BQ56" s="402">
        <v>0</v>
      </c>
      <c r="BR56" s="402">
        <v>0</v>
      </c>
      <c r="BS56" s="402">
        <v>-28174.306135972147</v>
      </c>
      <c r="BT56" s="402">
        <v>0</v>
      </c>
      <c r="BU56" s="402">
        <v>-28174.306135972147</v>
      </c>
      <c r="BV56" s="402">
        <v>5080</v>
      </c>
      <c r="BW56" s="402">
        <v>0</v>
      </c>
      <c r="BX56" s="402">
        <v>0</v>
      </c>
      <c r="BY56" s="402">
        <v>5080</v>
      </c>
      <c r="BZ56" s="402">
        <v>0</v>
      </c>
      <c r="CA56" s="402">
        <v>29061.94</v>
      </c>
      <c r="CB56" s="402">
        <v>0</v>
      </c>
      <c r="CC56" s="402">
        <v>0</v>
      </c>
      <c r="CD56" s="402">
        <v>29061.94</v>
      </c>
      <c r="CE56" s="402">
        <v>-23981.94</v>
      </c>
      <c r="CF56" s="402">
        <v>23981.95</v>
      </c>
      <c r="CG56" s="402">
        <v>1.0000000002037268E-2</v>
      </c>
      <c r="CH56" s="402">
        <f>VLOOKUP($B56,'Data - CFR 2024-25'!$B$4:$CJ$127,85,0)</f>
        <v>23981.940000000002</v>
      </c>
      <c r="CI56" s="402">
        <f>VLOOKUP($B56,'Data - CFR 2024-25'!$B$4:$CJ$127,86,0)</f>
        <v>1.0000000000218279E-2</v>
      </c>
      <c r="CJ56" s="402">
        <f>VLOOKUP($B56,'Data - CFR 2024-25'!$B$4:$CJ$127,87,0)</f>
        <v>23981.950000000004</v>
      </c>
    </row>
    <row r="57" spans="1:88" s="220" customFormat="1" ht="13.8">
      <c r="A57" s="252" t="s">
        <v>1384</v>
      </c>
      <c r="B57" s="288">
        <v>2211</v>
      </c>
      <c r="C57" s="288" t="s">
        <v>763</v>
      </c>
      <c r="D57" s="248" t="s">
        <v>708</v>
      </c>
      <c r="E57" s="399"/>
      <c r="F57" s="402">
        <v>1370857.4002330813</v>
      </c>
      <c r="G57" s="402">
        <v>0</v>
      </c>
      <c r="H57" s="402">
        <v>31586</v>
      </c>
      <c r="I57" s="402">
        <v>0</v>
      </c>
      <c r="J57" s="402">
        <v>49845</v>
      </c>
      <c r="K57" s="402">
        <v>0</v>
      </c>
      <c r="L57" s="402">
        <v>0</v>
      </c>
      <c r="M57" s="402">
        <v>26000</v>
      </c>
      <c r="N57" s="402">
        <v>1800</v>
      </c>
      <c r="O57" s="402">
        <v>0</v>
      </c>
      <c r="P57" s="402">
        <v>4320</v>
      </c>
      <c r="Q57" s="402">
        <v>0</v>
      </c>
      <c r="R57" s="402">
        <v>0</v>
      </c>
      <c r="S57" s="402">
        <v>0</v>
      </c>
      <c r="T57" s="402">
        <v>0</v>
      </c>
      <c r="U57" s="402">
        <v>0</v>
      </c>
      <c r="V57" s="402">
        <v>0</v>
      </c>
      <c r="W57" s="402">
        <v>0</v>
      </c>
      <c r="X57" s="402">
        <v>74663</v>
      </c>
      <c r="Y57" s="402">
        <v>1559071.4002330813</v>
      </c>
      <c r="Z57" s="402">
        <v>877083.32432969741</v>
      </c>
      <c r="AA57" s="402">
        <v>5000</v>
      </c>
      <c r="AB57" s="402">
        <v>297126.50079485693</v>
      </c>
      <c r="AC57" s="402">
        <v>37484.853989999996</v>
      </c>
      <c r="AD57" s="402">
        <v>59451.517798357942</v>
      </c>
      <c r="AE57" s="402">
        <v>0</v>
      </c>
      <c r="AF57" s="402">
        <v>0</v>
      </c>
      <c r="AG57" s="402">
        <v>7207</v>
      </c>
      <c r="AH57" s="402">
        <v>4000</v>
      </c>
      <c r="AI57" s="402">
        <v>6662</v>
      </c>
      <c r="AJ57" s="402">
        <v>0</v>
      </c>
      <c r="AK57" s="402">
        <v>10000</v>
      </c>
      <c r="AL57" s="402">
        <v>400</v>
      </c>
      <c r="AM57" s="402">
        <v>31048</v>
      </c>
      <c r="AN57" s="402">
        <v>5500</v>
      </c>
      <c r="AO57" s="402">
        <v>32250</v>
      </c>
      <c r="AP57" s="402">
        <v>0</v>
      </c>
      <c r="AQ57" s="402">
        <v>5880</v>
      </c>
      <c r="AR57" s="402">
        <v>40872</v>
      </c>
      <c r="AS57" s="402">
        <v>48183</v>
      </c>
      <c r="AT57" s="402">
        <v>0</v>
      </c>
      <c r="AU57" s="402">
        <v>9140</v>
      </c>
      <c r="AV57" s="402">
        <v>7395</v>
      </c>
      <c r="AW57" s="402">
        <v>0</v>
      </c>
      <c r="AX57" s="402">
        <v>85339</v>
      </c>
      <c r="AY57" s="402">
        <v>18968</v>
      </c>
      <c r="AZ57" s="402">
        <v>10158</v>
      </c>
      <c r="BA57" s="402">
        <v>16475</v>
      </c>
      <c r="BB57" s="402">
        <v>0</v>
      </c>
      <c r="BC57" s="402">
        <v>0</v>
      </c>
      <c r="BD57" s="402">
        <v>0</v>
      </c>
      <c r="BE57" s="402">
        <v>1615623.1969129122</v>
      </c>
      <c r="BF57" s="402">
        <v>-56551.796679830877</v>
      </c>
      <c r="BG57" s="402">
        <v>94808.660000000076</v>
      </c>
      <c r="BH57" s="402">
        <v>38256.863320169199</v>
      </c>
      <c r="BI57" s="402">
        <v>84863</v>
      </c>
      <c r="BJ57" s="402">
        <v>15938</v>
      </c>
      <c r="BK57" s="402">
        <v>100801</v>
      </c>
      <c r="BL57" s="402">
        <v>76742.411804240051</v>
      </c>
      <c r="BM57" s="402">
        <v>14543</v>
      </c>
      <c r="BN57" s="402">
        <v>91285.411804240051</v>
      </c>
      <c r="BO57" s="402">
        <v>9515.5881957599486</v>
      </c>
      <c r="BP57" s="402">
        <v>-43955</v>
      </c>
      <c r="BQ57" s="402">
        <v>-34439.411804240051</v>
      </c>
      <c r="BR57" s="402">
        <v>0</v>
      </c>
      <c r="BS57" s="402">
        <v>38256.863320169199</v>
      </c>
      <c r="BT57" s="402">
        <v>-34439.411804240051</v>
      </c>
      <c r="BU57" s="402">
        <v>3817.4515159291477</v>
      </c>
      <c r="BV57" s="402">
        <v>7173</v>
      </c>
      <c r="BW57" s="402">
        <v>0</v>
      </c>
      <c r="BX57" s="402">
        <v>0</v>
      </c>
      <c r="BY57" s="402">
        <v>7173</v>
      </c>
      <c r="BZ57" s="402">
        <v>0</v>
      </c>
      <c r="CA57" s="402">
        <v>1260</v>
      </c>
      <c r="CB57" s="402">
        <v>0</v>
      </c>
      <c r="CC57" s="402">
        <v>7173</v>
      </c>
      <c r="CD57" s="402">
        <v>8433</v>
      </c>
      <c r="CE57" s="402">
        <v>-1260</v>
      </c>
      <c r="CF57" s="402">
        <v>1259.6600000000017</v>
      </c>
      <c r="CG57" s="402">
        <v>-0.33999999999832653</v>
      </c>
      <c r="CH57" s="402">
        <f>VLOOKUP($B57,'Data - CFR 2024-25'!$B$4:$CJ$127,85,0)</f>
        <v>1259.6600000000017</v>
      </c>
      <c r="CI57" s="402">
        <f>VLOOKUP($B57,'Data - CFR 2024-25'!$B$4:$CJ$127,86,0)</f>
        <v>0</v>
      </c>
      <c r="CJ57" s="402">
        <f>VLOOKUP($B57,'Data - CFR 2024-25'!$B$4:$CJ$127,87,0)</f>
        <v>1259.6600000000017</v>
      </c>
    </row>
    <row r="58" spans="1:88" s="220" customFormat="1" ht="13.8">
      <c r="A58" s="252" t="s">
        <v>1384</v>
      </c>
      <c r="B58" s="288">
        <v>1003</v>
      </c>
      <c r="C58" s="288" t="s">
        <v>764</v>
      </c>
      <c r="D58" s="248" t="s">
        <v>724</v>
      </c>
      <c r="E58" s="399"/>
      <c r="F58" s="402">
        <v>446022</v>
      </c>
      <c r="G58" s="402">
        <v>0</v>
      </c>
      <c r="H58" s="402">
        <v>0</v>
      </c>
      <c r="I58" s="402">
        <v>0</v>
      </c>
      <c r="J58" s="402">
        <v>0</v>
      </c>
      <c r="K58" s="402">
        <v>0</v>
      </c>
      <c r="L58" s="402">
        <v>0</v>
      </c>
      <c r="M58" s="402">
        <v>0</v>
      </c>
      <c r="N58" s="402">
        <v>1700</v>
      </c>
      <c r="O58" s="402">
        <v>10000</v>
      </c>
      <c r="P58" s="402">
        <v>0</v>
      </c>
      <c r="Q58" s="402">
        <v>0</v>
      </c>
      <c r="R58" s="402">
        <v>0</v>
      </c>
      <c r="S58" s="402">
        <v>0</v>
      </c>
      <c r="T58" s="402">
        <v>0</v>
      </c>
      <c r="U58" s="402">
        <v>0</v>
      </c>
      <c r="V58" s="402">
        <v>0</v>
      </c>
      <c r="W58" s="402">
        <v>0</v>
      </c>
      <c r="X58" s="402">
        <v>0</v>
      </c>
      <c r="Y58" s="402">
        <v>457722</v>
      </c>
      <c r="Z58" s="402">
        <v>249141.78362186666</v>
      </c>
      <c r="AA58" s="402">
        <v>0</v>
      </c>
      <c r="AB58" s="402">
        <v>164558.35376648116</v>
      </c>
      <c r="AC58" s="402">
        <v>9488.5599218295229</v>
      </c>
      <c r="AD58" s="402">
        <v>25223.890473648647</v>
      </c>
      <c r="AE58" s="402">
        <v>0</v>
      </c>
      <c r="AF58" s="402">
        <v>14470.469108232848</v>
      </c>
      <c r="AG58" s="402">
        <v>956</v>
      </c>
      <c r="AH58" s="402">
        <v>2520</v>
      </c>
      <c r="AI58" s="402">
        <v>0</v>
      </c>
      <c r="AJ58" s="402">
        <v>0</v>
      </c>
      <c r="AK58" s="402">
        <v>6300</v>
      </c>
      <c r="AL58" s="402">
        <v>2460</v>
      </c>
      <c r="AM58" s="402">
        <v>8460</v>
      </c>
      <c r="AN58" s="402">
        <v>1200</v>
      </c>
      <c r="AO58" s="402">
        <v>7200</v>
      </c>
      <c r="AP58" s="402">
        <v>14471</v>
      </c>
      <c r="AQ58" s="402">
        <v>5190</v>
      </c>
      <c r="AR58" s="402">
        <v>3736</v>
      </c>
      <c r="AS58" s="402">
        <v>4566</v>
      </c>
      <c r="AT58" s="402">
        <v>0</v>
      </c>
      <c r="AU58" s="402">
        <v>750</v>
      </c>
      <c r="AV58" s="402">
        <v>991.9</v>
      </c>
      <c r="AW58" s="402">
        <v>0</v>
      </c>
      <c r="AX58" s="402">
        <v>9300</v>
      </c>
      <c r="AY58" s="402">
        <v>0</v>
      </c>
      <c r="AZ58" s="402">
        <v>0</v>
      </c>
      <c r="BA58" s="402">
        <v>4388</v>
      </c>
      <c r="BB58" s="402">
        <v>0</v>
      </c>
      <c r="BC58" s="402">
        <v>0</v>
      </c>
      <c r="BD58" s="402">
        <v>0</v>
      </c>
      <c r="BE58" s="402">
        <v>535371.95689205884</v>
      </c>
      <c r="BF58" s="402">
        <v>-77649.956892058835</v>
      </c>
      <c r="BG58" s="402">
        <v>-53622.170000000071</v>
      </c>
      <c r="BH58" s="402">
        <v>-131272.12689205891</v>
      </c>
      <c r="BI58" s="402">
        <v>270000</v>
      </c>
      <c r="BJ58" s="402">
        <v>442100</v>
      </c>
      <c r="BK58" s="402">
        <v>712100</v>
      </c>
      <c r="BL58" s="402">
        <v>624315.73722267046</v>
      </c>
      <c r="BM58" s="402">
        <v>140105.43</v>
      </c>
      <c r="BN58" s="402">
        <v>764421.16722267051</v>
      </c>
      <c r="BO58" s="402">
        <v>-52321.167222670512</v>
      </c>
      <c r="BP58" s="402">
        <v>466403</v>
      </c>
      <c r="BQ58" s="402">
        <v>414081.83277732949</v>
      </c>
      <c r="BR58" s="402">
        <v>0</v>
      </c>
      <c r="BS58" s="402">
        <v>-131272.12689205891</v>
      </c>
      <c r="BT58" s="402">
        <v>414081.83277732949</v>
      </c>
      <c r="BU58" s="402">
        <v>282809.70588527061</v>
      </c>
      <c r="BV58" s="402">
        <v>4743</v>
      </c>
      <c r="BW58" s="402">
        <v>0</v>
      </c>
      <c r="BX58" s="402">
        <v>0</v>
      </c>
      <c r="BY58" s="402">
        <v>4743</v>
      </c>
      <c r="BZ58" s="402">
        <v>0</v>
      </c>
      <c r="CA58" s="402">
        <v>32096.35</v>
      </c>
      <c r="CB58" s="402">
        <v>0</v>
      </c>
      <c r="CC58" s="402">
        <v>0</v>
      </c>
      <c r="CD58" s="402">
        <v>32096.35</v>
      </c>
      <c r="CE58" s="402">
        <v>-27353.35</v>
      </c>
      <c r="CF58" s="402">
        <v>27353.35</v>
      </c>
      <c r="CG58" s="402">
        <v>0</v>
      </c>
      <c r="CH58" s="402">
        <f>VLOOKUP($B58,'Data - CFR 2024-25'!$B$4:$CJ$127,85,0)</f>
        <v>27353.35</v>
      </c>
      <c r="CI58" s="402">
        <f>VLOOKUP($B58,'Data - CFR 2024-25'!$B$4:$CJ$127,86,0)</f>
        <v>0</v>
      </c>
      <c r="CJ58" s="402">
        <f>VLOOKUP($B58,'Data - CFR 2024-25'!$B$4:$CJ$127,87,0)</f>
        <v>27353.35</v>
      </c>
    </row>
    <row r="59" spans="1:88" s="220" customFormat="1" ht="13.8">
      <c r="A59" s="252" t="s">
        <v>1384</v>
      </c>
      <c r="B59" s="288">
        <v>3071</v>
      </c>
      <c r="C59" s="288" t="s">
        <v>765</v>
      </c>
      <c r="D59" s="248" t="s">
        <v>708</v>
      </c>
      <c r="E59" s="399"/>
      <c r="F59" s="402">
        <v>1018122</v>
      </c>
      <c r="G59" s="402">
        <v>0</v>
      </c>
      <c r="H59" s="402">
        <v>80308</v>
      </c>
      <c r="I59" s="402">
        <v>0</v>
      </c>
      <c r="J59" s="402">
        <v>31415</v>
      </c>
      <c r="K59" s="402">
        <v>0</v>
      </c>
      <c r="L59" s="402">
        <v>0</v>
      </c>
      <c r="M59" s="402">
        <v>6500</v>
      </c>
      <c r="N59" s="402">
        <v>75300</v>
      </c>
      <c r="O59" s="402">
        <v>0</v>
      </c>
      <c r="P59" s="402">
        <v>0</v>
      </c>
      <c r="Q59" s="402">
        <v>0</v>
      </c>
      <c r="R59" s="402">
        <v>0</v>
      </c>
      <c r="S59" s="402">
        <v>0</v>
      </c>
      <c r="T59" s="402">
        <v>0</v>
      </c>
      <c r="U59" s="402">
        <v>0</v>
      </c>
      <c r="V59" s="402">
        <v>0</v>
      </c>
      <c r="W59" s="402">
        <v>0</v>
      </c>
      <c r="X59" s="402">
        <v>48951</v>
      </c>
      <c r="Y59" s="402">
        <v>1260596</v>
      </c>
      <c r="Z59" s="402">
        <v>725900</v>
      </c>
      <c r="AA59" s="402">
        <v>1500</v>
      </c>
      <c r="AB59" s="402">
        <v>258407</v>
      </c>
      <c r="AC59" s="402">
        <v>33165</v>
      </c>
      <c r="AD59" s="402">
        <v>39107</v>
      </c>
      <c r="AE59" s="402">
        <v>0</v>
      </c>
      <c r="AF59" s="402">
        <v>42124</v>
      </c>
      <c r="AG59" s="402">
        <v>4700</v>
      </c>
      <c r="AH59" s="402">
        <v>500</v>
      </c>
      <c r="AI59" s="402">
        <v>2450</v>
      </c>
      <c r="AJ59" s="402">
        <v>0</v>
      </c>
      <c r="AK59" s="402">
        <v>13000</v>
      </c>
      <c r="AL59" s="402">
        <v>2000</v>
      </c>
      <c r="AM59" s="402">
        <v>1900</v>
      </c>
      <c r="AN59" s="402">
        <v>3000</v>
      </c>
      <c r="AO59" s="402">
        <v>19000</v>
      </c>
      <c r="AP59" s="402">
        <v>0</v>
      </c>
      <c r="AQ59" s="402">
        <v>6580</v>
      </c>
      <c r="AR59" s="402">
        <v>24000</v>
      </c>
      <c r="AS59" s="402">
        <v>36689</v>
      </c>
      <c r="AT59" s="402">
        <v>0</v>
      </c>
      <c r="AU59" s="402">
        <v>9616</v>
      </c>
      <c r="AV59" s="402">
        <v>5803</v>
      </c>
      <c r="AW59" s="402">
        <v>2500</v>
      </c>
      <c r="AX59" s="402">
        <v>42456</v>
      </c>
      <c r="AY59" s="402">
        <v>0</v>
      </c>
      <c r="AZ59" s="402">
        <v>4250</v>
      </c>
      <c r="BA59" s="402">
        <v>11182</v>
      </c>
      <c r="BB59" s="402">
        <v>0</v>
      </c>
      <c r="BC59" s="402">
        <v>0</v>
      </c>
      <c r="BD59" s="402">
        <v>0</v>
      </c>
      <c r="BE59" s="402">
        <v>1289829</v>
      </c>
      <c r="BF59" s="402">
        <v>-29233</v>
      </c>
      <c r="BG59" s="402">
        <v>-29356</v>
      </c>
      <c r="BH59" s="402">
        <v>-58590</v>
      </c>
      <c r="BI59" s="402">
        <v>0</v>
      </c>
      <c r="BJ59" s="402">
        <v>0</v>
      </c>
      <c r="BK59" s="402">
        <v>0</v>
      </c>
      <c r="BL59" s="402">
        <v>0</v>
      </c>
      <c r="BM59" s="402">
        <v>0</v>
      </c>
      <c r="BN59" s="402">
        <v>0</v>
      </c>
      <c r="BO59" s="402">
        <v>0</v>
      </c>
      <c r="BP59" s="402">
        <v>0</v>
      </c>
      <c r="BQ59" s="402">
        <v>0</v>
      </c>
      <c r="BR59" s="402">
        <v>0</v>
      </c>
      <c r="BS59" s="402">
        <v>-58590</v>
      </c>
      <c r="BT59" s="402">
        <v>0</v>
      </c>
      <c r="BU59" s="402">
        <v>-58590</v>
      </c>
      <c r="BV59" s="402">
        <v>6250</v>
      </c>
      <c r="BW59" s="402">
        <v>0</v>
      </c>
      <c r="BX59" s="402">
        <v>0</v>
      </c>
      <c r="BY59" s="402">
        <v>6250</v>
      </c>
      <c r="BZ59" s="402">
        <v>0</v>
      </c>
      <c r="CA59" s="402">
        <v>14777</v>
      </c>
      <c r="CB59" s="402">
        <v>0</v>
      </c>
      <c r="CC59" s="402">
        <v>0</v>
      </c>
      <c r="CD59" s="402">
        <v>14777</v>
      </c>
      <c r="CE59" s="402">
        <v>-8527</v>
      </c>
      <c r="CF59" s="402">
        <v>8527</v>
      </c>
      <c r="CG59" s="402">
        <v>0</v>
      </c>
      <c r="CH59" s="402">
        <f>VLOOKUP($B59,'Data - CFR 2024-25'!$B$4:$CJ$127,85,0)</f>
        <v>97.139999999999631</v>
      </c>
      <c r="CI59" s="402">
        <f>VLOOKUP($B59,'Data - CFR 2024-25'!$B$4:$CJ$127,86,0)</f>
        <v>8430.1</v>
      </c>
      <c r="CJ59" s="402">
        <f>VLOOKUP($B59,'Data - CFR 2024-25'!$B$4:$CJ$127,87,0)</f>
        <v>8527.24</v>
      </c>
    </row>
    <row r="60" spans="1:88" s="220" customFormat="1" ht="13.8">
      <c r="A60" s="252" t="s">
        <v>1384</v>
      </c>
      <c r="B60" s="288">
        <v>1002</v>
      </c>
      <c r="C60" s="288" t="s">
        <v>766</v>
      </c>
      <c r="D60" s="248" t="s">
        <v>724</v>
      </c>
      <c r="E60" s="399"/>
      <c r="F60" s="402">
        <v>647191</v>
      </c>
      <c r="G60" s="402">
        <v>0</v>
      </c>
      <c r="H60" s="402">
        <v>5000</v>
      </c>
      <c r="I60" s="402">
        <v>0</v>
      </c>
      <c r="J60" s="402">
        <v>0</v>
      </c>
      <c r="K60" s="402">
        <v>0</v>
      </c>
      <c r="L60" s="402">
        <v>0</v>
      </c>
      <c r="M60" s="402">
        <v>0</v>
      </c>
      <c r="N60" s="402">
        <v>750</v>
      </c>
      <c r="O60" s="402">
        <v>0</v>
      </c>
      <c r="P60" s="402">
        <v>0</v>
      </c>
      <c r="Q60" s="402">
        <v>0</v>
      </c>
      <c r="R60" s="402">
        <v>108510</v>
      </c>
      <c r="S60" s="402">
        <v>0</v>
      </c>
      <c r="T60" s="402">
        <v>0</v>
      </c>
      <c r="U60" s="402">
        <v>0</v>
      </c>
      <c r="V60" s="402">
        <v>0</v>
      </c>
      <c r="W60" s="402">
        <v>0</v>
      </c>
      <c r="X60" s="402">
        <v>0</v>
      </c>
      <c r="Y60" s="402">
        <v>761451</v>
      </c>
      <c r="Z60" s="402">
        <v>235291.40042613333</v>
      </c>
      <c r="AA60" s="402">
        <v>2000</v>
      </c>
      <c r="AB60" s="402">
        <v>227574.62923049301</v>
      </c>
      <c r="AC60" s="402">
        <v>13226.394088443476</v>
      </c>
      <c r="AD60" s="402">
        <v>43730.857876353293</v>
      </c>
      <c r="AE60" s="402">
        <v>22304.16895118192</v>
      </c>
      <c r="AF60" s="402">
        <v>44725.001842350175</v>
      </c>
      <c r="AG60" s="402">
        <v>3000</v>
      </c>
      <c r="AH60" s="402">
        <v>6000</v>
      </c>
      <c r="AI60" s="402">
        <v>0</v>
      </c>
      <c r="AJ60" s="402">
        <v>0</v>
      </c>
      <c r="AK60" s="402">
        <v>6000</v>
      </c>
      <c r="AL60" s="402">
        <v>1632</v>
      </c>
      <c r="AM60" s="402">
        <v>19100</v>
      </c>
      <c r="AN60" s="402">
        <v>1800</v>
      </c>
      <c r="AO60" s="402">
        <v>12000</v>
      </c>
      <c r="AP60" s="402">
        <v>10603</v>
      </c>
      <c r="AQ60" s="402">
        <v>4101</v>
      </c>
      <c r="AR60" s="402">
        <v>5000</v>
      </c>
      <c r="AS60" s="402">
        <v>10160</v>
      </c>
      <c r="AT60" s="402">
        <v>0</v>
      </c>
      <c r="AU60" s="402">
        <v>5607</v>
      </c>
      <c r="AV60" s="402">
        <v>1895</v>
      </c>
      <c r="AW60" s="402">
        <v>0</v>
      </c>
      <c r="AX60" s="402">
        <v>0</v>
      </c>
      <c r="AY60" s="402">
        <v>0</v>
      </c>
      <c r="AZ60" s="402">
        <v>0</v>
      </c>
      <c r="BA60" s="402">
        <v>8042</v>
      </c>
      <c r="BB60" s="402">
        <v>0</v>
      </c>
      <c r="BC60" s="402">
        <v>0</v>
      </c>
      <c r="BD60" s="402">
        <v>3500</v>
      </c>
      <c r="BE60" s="402">
        <v>687292.45241495525</v>
      </c>
      <c r="BF60" s="402">
        <v>74158.547585044755</v>
      </c>
      <c r="BG60" s="402">
        <v>59582.099999999788</v>
      </c>
      <c r="BH60" s="402">
        <v>133740.64758504456</v>
      </c>
      <c r="BI60" s="402">
        <v>0</v>
      </c>
      <c r="BJ60" s="402">
        <v>288962</v>
      </c>
      <c r="BK60" s="402">
        <v>288962</v>
      </c>
      <c r="BL60" s="402">
        <v>375626.36051971372</v>
      </c>
      <c r="BM60" s="402">
        <v>78244</v>
      </c>
      <c r="BN60" s="402">
        <v>453870.36051971372</v>
      </c>
      <c r="BO60" s="402">
        <v>-164908.36051971372</v>
      </c>
      <c r="BP60" s="402">
        <v>50827.829999999987</v>
      </c>
      <c r="BQ60" s="402">
        <v>-114080.53051971373</v>
      </c>
      <c r="BR60" s="402">
        <v>0</v>
      </c>
      <c r="BS60" s="402">
        <v>133740.64758504456</v>
      </c>
      <c r="BT60" s="402">
        <v>-114080.53051971373</v>
      </c>
      <c r="BU60" s="402">
        <v>19660.117065330822</v>
      </c>
      <c r="BV60" s="402">
        <v>4845</v>
      </c>
      <c r="BW60" s="402">
        <v>0</v>
      </c>
      <c r="BX60" s="402">
        <v>0</v>
      </c>
      <c r="BY60" s="402">
        <v>4845</v>
      </c>
      <c r="BZ60" s="402">
        <v>0</v>
      </c>
      <c r="CA60" s="402">
        <v>61577.7</v>
      </c>
      <c r="CB60" s="402">
        <v>0</v>
      </c>
      <c r="CC60" s="402">
        <v>0</v>
      </c>
      <c r="CD60" s="402">
        <v>61577.7</v>
      </c>
      <c r="CE60" s="402">
        <v>-56732.7</v>
      </c>
      <c r="CF60" s="402">
        <v>56732.7</v>
      </c>
      <c r="CG60" s="402">
        <v>0</v>
      </c>
      <c r="CH60" s="402">
        <f>VLOOKUP($B60,'Data - CFR 2024-25'!$B$4:$CJ$127,85,0)</f>
        <v>11799.53</v>
      </c>
      <c r="CI60" s="402">
        <f>VLOOKUP($B60,'Data - CFR 2024-25'!$B$4:$CJ$127,86,0)</f>
        <v>44933.170000000006</v>
      </c>
      <c r="CJ60" s="402">
        <f>VLOOKUP($B60,'Data - CFR 2024-25'!$B$4:$CJ$127,87,0)</f>
        <v>56732.700000000004</v>
      </c>
    </row>
    <row r="61" spans="1:88" s="220" customFormat="1" ht="13.8">
      <c r="A61" s="252" t="s">
        <v>1384</v>
      </c>
      <c r="B61" s="288">
        <v>2212</v>
      </c>
      <c r="C61" s="288" t="s">
        <v>767</v>
      </c>
      <c r="D61" s="248" t="s">
        <v>708</v>
      </c>
      <c r="E61" s="399"/>
      <c r="F61" s="402">
        <v>951840</v>
      </c>
      <c r="G61" s="402">
        <v>0</v>
      </c>
      <c r="H61" s="402">
        <v>73684</v>
      </c>
      <c r="I61" s="402">
        <v>0</v>
      </c>
      <c r="J61" s="402">
        <v>31720</v>
      </c>
      <c r="K61" s="402">
        <v>0</v>
      </c>
      <c r="L61" s="402">
        <v>0</v>
      </c>
      <c r="M61" s="402">
        <v>12800</v>
      </c>
      <c r="N61" s="402">
        <v>17250</v>
      </c>
      <c r="O61" s="402">
        <v>32150</v>
      </c>
      <c r="P61" s="402">
        <v>0</v>
      </c>
      <c r="Q61" s="402">
        <v>0</v>
      </c>
      <c r="R61" s="402">
        <v>0</v>
      </c>
      <c r="S61" s="402">
        <v>0</v>
      </c>
      <c r="T61" s="402">
        <v>0</v>
      </c>
      <c r="U61" s="402">
        <v>0</v>
      </c>
      <c r="V61" s="402">
        <v>0</v>
      </c>
      <c r="W61" s="402">
        <v>0</v>
      </c>
      <c r="X61" s="402">
        <v>55646</v>
      </c>
      <c r="Y61" s="402">
        <v>1175090</v>
      </c>
      <c r="Z61" s="402">
        <v>558494</v>
      </c>
      <c r="AA61" s="402">
        <v>0</v>
      </c>
      <c r="AB61" s="402">
        <v>237752</v>
      </c>
      <c r="AC61" s="402">
        <v>47678</v>
      </c>
      <c r="AD61" s="402">
        <v>73781</v>
      </c>
      <c r="AE61" s="402">
        <v>48857</v>
      </c>
      <c r="AF61" s="402">
        <v>28388</v>
      </c>
      <c r="AG61" s="402">
        <v>3682</v>
      </c>
      <c r="AH61" s="402">
        <v>1050</v>
      </c>
      <c r="AI61" s="402">
        <v>4500</v>
      </c>
      <c r="AJ61" s="402">
        <v>0</v>
      </c>
      <c r="AK61" s="402">
        <v>3000</v>
      </c>
      <c r="AL61" s="402">
        <v>2900</v>
      </c>
      <c r="AM61" s="402">
        <v>2500</v>
      </c>
      <c r="AN61" s="402">
        <v>2000</v>
      </c>
      <c r="AO61" s="402">
        <v>24500</v>
      </c>
      <c r="AP61" s="402">
        <v>0</v>
      </c>
      <c r="AQ61" s="402">
        <v>4572</v>
      </c>
      <c r="AR61" s="402">
        <v>9700</v>
      </c>
      <c r="AS61" s="402">
        <v>23453</v>
      </c>
      <c r="AT61" s="402">
        <v>0</v>
      </c>
      <c r="AU61" s="402">
        <v>4360</v>
      </c>
      <c r="AV61" s="402">
        <v>5098</v>
      </c>
      <c r="AW61" s="402">
        <v>0</v>
      </c>
      <c r="AX61" s="402">
        <v>25700</v>
      </c>
      <c r="AY61" s="402">
        <v>1000</v>
      </c>
      <c r="AZ61" s="402">
        <v>450</v>
      </c>
      <c r="BA61" s="402">
        <v>14023</v>
      </c>
      <c r="BB61" s="402">
        <v>0</v>
      </c>
      <c r="BC61" s="402">
        <v>0</v>
      </c>
      <c r="BD61" s="402">
        <v>0</v>
      </c>
      <c r="BE61" s="402">
        <v>1127437</v>
      </c>
      <c r="BF61" s="402">
        <v>47654</v>
      </c>
      <c r="BG61" s="402">
        <v>-46426</v>
      </c>
      <c r="BH61" s="402">
        <v>1227</v>
      </c>
      <c r="BI61" s="402">
        <v>0</v>
      </c>
      <c r="BJ61" s="402">
        <v>0</v>
      </c>
      <c r="BK61" s="402">
        <v>0</v>
      </c>
      <c r="BL61" s="402">
        <v>0</v>
      </c>
      <c r="BM61" s="402">
        <v>0</v>
      </c>
      <c r="BN61" s="402">
        <v>0</v>
      </c>
      <c r="BO61" s="402">
        <v>0</v>
      </c>
      <c r="BP61" s="402">
        <v>0</v>
      </c>
      <c r="BQ61" s="402">
        <v>0</v>
      </c>
      <c r="BR61" s="402">
        <v>0</v>
      </c>
      <c r="BS61" s="402">
        <v>1227</v>
      </c>
      <c r="BT61" s="402">
        <v>0</v>
      </c>
      <c r="BU61" s="402">
        <v>1227</v>
      </c>
      <c r="BV61" s="402">
        <v>6025</v>
      </c>
      <c r="BW61" s="402">
        <v>0</v>
      </c>
      <c r="BX61" s="402">
        <v>0</v>
      </c>
      <c r="BY61" s="402">
        <v>6025</v>
      </c>
      <c r="BZ61" s="402">
        <v>0</v>
      </c>
      <c r="CA61" s="402">
        <v>3025</v>
      </c>
      <c r="CB61" s="402">
        <v>0</v>
      </c>
      <c r="CC61" s="402">
        <v>13545</v>
      </c>
      <c r="CD61" s="402">
        <v>16570</v>
      </c>
      <c r="CE61" s="402">
        <v>-10545</v>
      </c>
      <c r="CF61" s="402">
        <v>10545</v>
      </c>
      <c r="CG61" s="402">
        <v>0</v>
      </c>
      <c r="CH61" s="402">
        <f>VLOOKUP($B61,'Data - CFR 2024-25'!$B$4:$CJ$127,85,0)</f>
        <v>10544.810000000001</v>
      </c>
      <c r="CI61" s="402">
        <f>VLOOKUP($B61,'Data - CFR 2024-25'!$B$4:$CJ$127,86,0)</f>
        <v>0</v>
      </c>
      <c r="CJ61" s="402">
        <f>VLOOKUP($B61,'Data - CFR 2024-25'!$B$4:$CJ$127,87,0)</f>
        <v>10544.810000000001</v>
      </c>
    </row>
    <row r="62" spans="1:88" s="220" customFormat="1" ht="13.8">
      <c r="A62" s="252" t="s">
        <v>1384</v>
      </c>
      <c r="B62" s="288">
        <v>1007</v>
      </c>
      <c r="C62" s="288" t="s">
        <v>768</v>
      </c>
      <c r="D62" s="248" t="s">
        <v>724</v>
      </c>
      <c r="E62" s="399"/>
      <c r="F62" s="402">
        <v>664474</v>
      </c>
      <c r="G62" s="402">
        <v>0</v>
      </c>
      <c r="H62" s="402">
        <v>4236</v>
      </c>
      <c r="I62" s="402">
        <v>0</v>
      </c>
      <c r="J62" s="402">
        <v>0</v>
      </c>
      <c r="K62" s="402">
        <v>0</v>
      </c>
      <c r="L62" s="402">
        <v>46500</v>
      </c>
      <c r="M62" s="402">
        <v>0</v>
      </c>
      <c r="N62" s="402">
        <v>150</v>
      </c>
      <c r="O62" s="402">
        <v>0</v>
      </c>
      <c r="P62" s="402">
        <v>0</v>
      </c>
      <c r="Q62" s="402">
        <v>0</v>
      </c>
      <c r="R62" s="402">
        <v>24000</v>
      </c>
      <c r="S62" s="402">
        <v>20459</v>
      </c>
      <c r="T62" s="402">
        <v>0</v>
      </c>
      <c r="U62" s="402">
        <v>0</v>
      </c>
      <c r="V62" s="402">
        <v>0</v>
      </c>
      <c r="W62" s="402">
        <v>0</v>
      </c>
      <c r="X62" s="402">
        <v>0</v>
      </c>
      <c r="Y62" s="402">
        <v>759819</v>
      </c>
      <c r="Z62" s="402">
        <v>180013.14186133334</v>
      </c>
      <c r="AA62" s="402">
        <v>2000</v>
      </c>
      <c r="AB62" s="402">
        <v>354183.17772957706</v>
      </c>
      <c r="AC62" s="402">
        <v>10306.162094917707</v>
      </c>
      <c r="AD62" s="402">
        <v>50526.833675992857</v>
      </c>
      <c r="AE62" s="402">
        <v>0</v>
      </c>
      <c r="AF62" s="402">
        <v>0</v>
      </c>
      <c r="AG62" s="402">
        <v>40700</v>
      </c>
      <c r="AH62" s="402">
        <v>1000</v>
      </c>
      <c r="AI62" s="402">
        <v>0</v>
      </c>
      <c r="AJ62" s="402">
        <v>0</v>
      </c>
      <c r="AK62" s="402">
        <v>8000</v>
      </c>
      <c r="AL62" s="402">
        <v>0</v>
      </c>
      <c r="AM62" s="402">
        <v>4500</v>
      </c>
      <c r="AN62" s="402">
        <v>1800</v>
      </c>
      <c r="AO62" s="402">
        <v>15500</v>
      </c>
      <c r="AP62" s="402">
        <v>15968</v>
      </c>
      <c r="AQ62" s="402">
        <v>10480</v>
      </c>
      <c r="AR62" s="402">
        <v>14446</v>
      </c>
      <c r="AS62" s="402">
        <v>3900</v>
      </c>
      <c r="AT62" s="402">
        <v>0</v>
      </c>
      <c r="AU62" s="402">
        <v>5000</v>
      </c>
      <c r="AV62" s="402">
        <v>1550</v>
      </c>
      <c r="AW62" s="402">
        <v>0</v>
      </c>
      <c r="AX62" s="402">
        <v>0</v>
      </c>
      <c r="AY62" s="402">
        <v>0</v>
      </c>
      <c r="AZ62" s="402">
        <v>0</v>
      </c>
      <c r="BA62" s="402">
        <v>3016</v>
      </c>
      <c r="BB62" s="402">
        <v>0</v>
      </c>
      <c r="BC62" s="402">
        <v>0</v>
      </c>
      <c r="BD62" s="402">
        <v>0</v>
      </c>
      <c r="BE62" s="402">
        <v>722889.31536182098</v>
      </c>
      <c r="BF62" s="402">
        <v>36929.684638179024</v>
      </c>
      <c r="BG62" s="402">
        <v>-289888.9599999999</v>
      </c>
      <c r="BH62" s="402">
        <v>-252959.27536182088</v>
      </c>
      <c r="BI62" s="402">
        <v>129000</v>
      </c>
      <c r="BJ62" s="402">
        <v>25150</v>
      </c>
      <c r="BK62" s="402">
        <v>154150</v>
      </c>
      <c r="BL62" s="402">
        <v>98238.160783791667</v>
      </c>
      <c r="BM62" s="402">
        <v>47100</v>
      </c>
      <c r="BN62" s="402">
        <v>145338.16078379168</v>
      </c>
      <c r="BO62" s="402">
        <v>8811.8392162083182</v>
      </c>
      <c r="BP62" s="402">
        <v>16188.199999999972</v>
      </c>
      <c r="BQ62" s="402">
        <v>25000.03921620829</v>
      </c>
      <c r="BR62" s="402">
        <v>0</v>
      </c>
      <c r="BS62" s="402">
        <v>-252959.27536182088</v>
      </c>
      <c r="BT62" s="402">
        <v>25000.03921620829</v>
      </c>
      <c r="BU62" s="402">
        <v>-227959.23614561258</v>
      </c>
      <c r="BV62" s="402">
        <v>4729</v>
      </c>
      <c r="BW62" s="402">
        <v>0</v>
      </c>
      <c r="BX62" s="402">
        <v>0</v>
      </c>
      <c r="BY62" s="402">
        <v>4729</v>
      </c>
      <c r="BZ62" s="402">
        <v>0</v>
      </c>
      <c r="CA62" s="402">
        <v>4729</v>
      </c>
      <c r="CB62" s="402">
        <v>0</v>
      </c>
      <c r="CC62" s="402">
        <v>0</v>
      </c>
      <c r="CD62" s="402">
        <v>4729</v>
      </c>
      <c r="CE62" s="402">
        <v>0</v>
      </c>
      <c r="CF62" s="402">
        <v>225182.85</v>
      </c>
      <c r="CG62" s="402">
        <v>225182.85</v>
      </c>
      <c r="CH62" s="402">
        <f>VLOOKUP($B62,'Data - CFR 2024-25'!$B$4:$CJ$127,85,0)</f>
        <v>28519.11</v>
      </c>
      <c r="CI62" s="402">
        <f>VLOOKUP($B62,'Data - CFR 2024-25'!$B$4:$CJ$127,86,0)</f>
        <v>196663.74</v>
      </c>
      <c r="CJ62" s="402">
        <f>VLOOKUP($B62,'Data - CFR 2024-25'!$B$4:$CJ$127,87,0)</f>
        <v>225182.84999999998</v>
      </c>
    </row>
    <row r="63" spans="1:88" ht="13.8">
      <c r="A63" s="252" t="s">
        <v>1384</v>
      </c>
      <c r="B63" s="288">
        <v>3945</v>
      </c>
      <c r="C63" s="288" t="s">
        <v>769</v>
      </c>
      <c r="D63" s="248" t="s">
        <v>708</v>
      </c>
      <c r="E63" s="403"/>
      <c r="F63" s="402">
        <v>2517369</v>
      </c>
      <c r="G63" s="402">
        <v>0</v>
      </c>
      <c r="H63" s="402">
        <v>176279</v>
      </c>
      <c r="I63" s="402">
        <v>0</v>
      </c>
      <c r="J63" s="402">
        <v>230560</v>
      </c>
      <c r="K63" s="402">
        <v>6704</v>
      </c>
      <c r="L63" s="402">
        <v>0</v>
      </c>
      <c r="M63" s="402">
        <v>0</v>
      </c>
      <c r="N63" s="402">
        <v>14700</v>
      </c>
      <c r="O63" s="402">
        <v>32000</v>
      </c>
      <c r="P63" s="402">
        <v>6300</v>
      </c>
      <c r="Q63" s="402">
        <v>0</v>
      </c>
      <c r="R63" s="402">
        <v>0</v>
      </c>
      <c r="S63" s="402">
        <v>0</v>
      </c>
      <c r="T63" s="402">
        <v>0</v>
      </c>
      <c r="U63" s="402">
        <v>0</v>
      </c>
      <c r="V63" s="402">
        <v>0</v>
      </c>
      <c r="W63" s="402">
        <v>0</v>
      </c>
      <c r="X63" s="402">
        <v>89290</v>
      </c>
      <c r="Y63" s="402">
        <v>3073202</v>
      </c>
      <c r="Z63" s="402">
        <v>1298546</v>
      </c>
      <c r="AA63" s="402">
        <v>0</v>
      </c>
      <c r="AB63" s="402">
        <v>671871</v>
      </c>
      <c r="AC63" s="402">
        <v>56338</v>
      </c>
      <c r="AD63" s="402">
        <v>158104</v>
      </c>
      <c r="AE63" s="402">
        <v>0</v>
      </c>
      <c r="AF63" s="402">
        <v>120061</v>
      </c>
      <c r="AG63" s="402">
        <v>13300</v>
      </c>
      <c r="AH63" s="402">
        <v>10400</v>
      </c>
      <c r="AI63" s="402">
        <v>7900</v>
      </c>
      <c r="AJ63" s="402">
        <v>0</v>
      </c>
      <c r="AK63" s="402">
        <v>38000</v>
      </c>
      <c r="AL63" s="402">
        <v>7000</v>
      </c>
      <c r="AM63" s="402">
        <v>48000</v>
      </c>
      <c r="AN63" s="402">
        <v>20000</v>
      </c>
      <c r="AO63" s="402">
        <v>80000</v>
      </c>
      <c r="AP63" s="402">
        <v>0</v>
      </c>
      <c r="AQ63" s="402">
        <v>62400</v>
      </c>
      <c r="AR63" s="402">
        <v>67157</v>
      </c>
      <c r="AS63" s="402">
        <v>69495</v>
      </c>
      <c r="AT63" s="402">
        <v>0</v>
      </c>
      <c r="AU63" s="402">
        <v>46886</v>
      </c>
      <c r="AV63" s="402">
        <v>12701</v>
      </c>
      <c r="AW63" s="402">
        <v>4200</v>
      </c>
      <c r="AX63" s="402">
        <v>158600</v>
      </c>
      <c r="AY63" s="402">
        <v>30000</v>
      </c>
      <c r="AZ63" s="402">
        <v>68714</v>
      </c>
      <c r="BA63" s="402">
        <v>33665</v>
      </c>
      <c r="BB63" s="402">
        <v>0</v>
      </c>
      <c r="BC63" s="402">
        <v>0</v>
      </c>
      <c r="BD63" s="402">
        <v>0</v>
      </c>
      <c r="BE63" s="402">
        <v>3083338</v>
      </c>
      <c r="BF63" s="402">
        <v>-10136</v>
      </c>
      <c r="BG63" s="402">
        <v>59736</v>
      </c>
      <c r="BH63" s="402">
        <v>49600</v>
      </c>
      <c r="BI63" s="402">
        <v>0</v>
      </c>
      <c r="BJ63" s="402">
        <v>0</v>
      </c>
      <c r="BK63" s="402">
        <v>0</v>
      </c>
      <c r="BL63" s="402">
        <v>0</v>
      </c>
      <c r="BM63" s="402">
        <v>0</v>
      </c>
      <c r="BN63" s="402">
        <v>0</v>
      </c>
      <c r="BO63" s="402">
        <v>0</v>
      </c>
      <c r="BP63" s="402">
        <v>0</v>
      </c>
      <c r="BQ63" s="402">
        <v>0</v>
      </c>
      <c r="BR63" s="402">
        <v>0</v>
      </c>
      <c r="BS63" s="402">
        <v>49600</v>
      </c>
      <c r="BT63" s="402">
        <v>0</v>
      </c>
      <c r="BU63" s="402">
        <v>49600</v>
      </c>
      <c r="BV63" s="402">
        <v>8736</v>
      </c>
      <c r="BW63" s="402">
        <v>0</v>
      </c>
      <c r="BX63" s="402">
        <v>0</v>
      </c>
      <c r="BY63" s="402">
        <v>8736</v>
      </c>
      <c r="BZ63" s="402">
        <v>0</v>
      </c>
      <c r="CA63" s="402">
        <v>8736</v>
      </c>
      <c r="CB63" s="402">
        <v>0</v>
      </c>
      <c r="CC63" s="402">
        <v>0</v>
      </c>
      <c r="CD63" s="402">
        <v>8736</v>
      </c>
      <c r="CE63" s="402">
        <v>0</v>
      </c>
      <c r="CF63" s="402">
        <v>161</v>
      </c>
      <c r="CG63" s="402">
        <v>161</v>
      </c>
      <c r="CH63" s="402">
        <f>VLOOKUP($B63,'Data - CFR 2024-25'!$B$4:$CJ$127,85,0)</f>
        <v>0</v>
      </c>
      <c r="CI63" s="402">
        <f>VLOOKUP($B63,'Data - CFR 2024-25'!$B$4:$CJ$127,86,0)</f>
        <v>161.40000000000146</v>
      </c>
      <c r="CJ63" s="402">
        <f>VLOOKUP($B63,'Data - CFR 2024-25'!$B$4:$CJ$127,87,0)</f>
        <v>161.40000000000146</v>
      </c>
    </row>
    <row r="64" spans="1:88" ht="13.8">
      <c r="A64" s="252" t="s">
        <v>1384</v>
      </c>
      <c r="B64" s="288">
        <v>3022</v>
      </c>
      <c r="C64" s="288" t="s">
        <v>770</v>
      </c>
      <c r="D64" s="248" t="s">
        <v>708</v>
      </c>
      <c r="E64" s="403"/>
      <c r="F64" s="402">
        <v>1065924.8475897738</v>
      </c>
      <c r="G64" s="402">
        <v>0</v>
      </c>
      <c r="H64" s="402">
        <v>17344</v>
      </c>
      <c r="I64" s="402">
        <v>0</v>
      </c>
      <c r="J64" s="402">
        <v>35445</v>
      </c>
      <c r="K64" s="402">
        <v>0</v>
      </c>
      <c r="L64" s="402">
        <v>0</v>
      </c>
      <c r="M64" s="402">
        <v>0</v>
      </c>
      <c r="N64" s="402">
        <v>10700</v>
      </c>
      <c r="O64" s="402">
        <v>14200</v>
      </c>
      <c r="P64" s="402">
        <v>1350</v>
      </c>
      <c r="Q64" s="402">
        <v>0</v>
      </c>
      <c r="R64" s="402">
        <v>0</v>
      </c>
      <c r="S64" s="402">
        <v>0</v>
      </c>
      <c r="T64" s="402">
        <v>0</v>
      </c>
      <c r="U64" s="402">
        <v>0</v>
      </c>
      <c r="V64" s="402">
        <v>0</v>
      </c>
      <c r="W64" s="402">
        <v>0</v>
      </c>
      <c r="X64" s="402">
        <v>57987</v>
      </c>
      <c r="Y64" s="402">
        <v>1202950.8475897738</v>
      </c>
      <c r="Z64" s="402">
        <v>685063.29820031428</v>
      </c>
      <c r="AA64" s="402">
        <v>3000</v>
      </c>
      <c r="AB64" s="402">
        <v>192868.83560685482</v>
      </c>
      <c r="AC64" s="402">
        <v>32810.060625149861</v>
      </c>
      <c r="AD64" s="402">
        <v>72946.518840883451</v>
      </c>
      <c r="AE64" s="402">
        <v>33474.755960786904</v>
      </c>
      <c r="AF64" s="402">
        <v>12639.34018770058</v>
      </c>
      <c r="AG64" s="402">
        <v>4600</v>
      </c>
      <c r="AH64" s="402">
        <v>5000</v>
      </c>
      <c r="AI64" s="402">
        <v>5350</v>
      </c>
      <c r="AJ64" s="402">
        <v>0</v>
      </c>
      <c r="AK64" s="402">
        <v>7000</v>
      </c>
      <c r="AL64" s="402">
        <v>2331</v>
      </c>
      <c r="AM64" s="402">
        <v>2000</v>
      </c>
      <c r="AN64" s="402">
        <v>3000</v>
      </c>
      <c r="AO64" s="402">
        <v>35000</v>
      </c>
      <c r="AP64" s="402">
        <v>0</v>
      </c>
      <c r="AQ64" s="402">
        <v>3664</v>
      </c>
      <c r="AR64" s="402">
        <v>27575</v>
      </c>
      <c r="AS64" s="402">
        <v>22190</v>
      </c>
      <c r="AT64" s="402">
        <v>0</v>
      </c>
      <c r="AU64" s="402">
        <v>8105</v>
      </c>
      <c r="AV64" s="402">
        <v>5434</v>
      </c>
      <c r="AW64" s="402">
        <v>1000</v>
      </c>
      <c r="AX64" s="402">
        <v>22050</v>
      </c>
      <c r="AY64" s="402">
        <v>2000</v>
      </c>
      <c r="AZ64" s="402">
        <v>6000</v>
      </c>
      <c r="BA64" s="402">
        <v>15390</v>
      </c>
      <c r="BB64" s="402">
        <v>0</v>
      </c>
      <c r="BC64" s="402">
        <v>0</v>
      </c>
      <c r="BD64" s="402">
        <v>0</v>
      </c>
      <c r="BE64" s="402">
        <v>1210491.8094216897</v>
      </c>
      <c r="BF64" s="402">
        <v>-7540.9618319158908</v>
      </c>
      <c r="BG64" s="402">
        <v>17069.599999999908</v>
      </c>
      <c r="BH64" s="402">
        <v>9528.6381680840168</v>
      </c>
      <c r="BI64" s="402">
        <v>0</v>
      </c>
      <c r="BJ64" s="402">
        <v>0</v>
      </c>
      <c r="BK64" s="402">
        <v>0</v>
      </c>
      <c r="BL64" s="402">
        <v>0</v>
      </c>
      <c r="BM64" s="402">
        <v>0</v>
      </c>
      <c r="BN64" s="402">
        <v>0</v>
      </c>
      <c r="BO64" s="402">
        <v>0</v>
      </c>
      <c r="BP64" s="402">
        <v>0</v>
      </c>
      <c r="BQ64" s="402">
        <v>0</v>
      </c>
      <c r="BR64" s="402">
        <v>0</v>
      </c>
      <c r="BS64" s="402">
        <v>9528.6381680840168</v>
      </c>
      <c r="BT64" s="402">
        <v>0</v>
      </c>
      <c r="BU64" s="402">
        <v>9528.6381680840168</v>
      </c>
      <c r="BV64" s="402">
        <v>6396</v>
      </c>
      <c r="BW64" s="402">
        <v>0</v>
      </c>
      <c r="BX64" s="402">
        <v>0</v>
      </c>
      <c r="BY64" s="402">
        <v>6396</v>
      </c>
      <c r="BZ64" s="402">
        <v>0</v>
      </c>
      <c r="CA64" s="402">
        <v>15275.7</v>
      </c>
      <c r="CB64" s="402">
        <v>0</v>
      </c>
      <c r="CC64" s="402">
        <v>0</v>
      </c>
      <c r="CD64" s="402">
        <v>15275.7</v>
      </c>
      <c r="CE64" s="402">
        <v>-8879.7000000000007</v>
      </c>
      <c r="CF64" s="402">
        <v>8879.7000000000007</v>
      </c>
      <c r="CG64" s="402">
        <v>0</v>
      </c>
      <c r="CH64" s="402">
        <f>VLOOKUP($B64,'Data - CFR 2024-25'!$B$4:$CJ$127,85,0)</f>
        <v>8879.7000000000007</v>
      </c>
      <c r="CI64" s="402">
        <f>VLOOKUP($B64,'Data - CFR 2024-25'!$B$4:$CJ$127,86,0)</f>
        <v>0</v>
      </c>
      <c r="CJ64" s="402">
        <f>VLOOKUP($B64,'Data - CFR 2024-25'!$B$4:$CJ$127,87,0)</f>
        <v>8879.7000000000007</v>
      </c>
    </row>
    <row r="65" spans="1:88" ht="13.8">
      <c r="A65" s="252" t="s">
        <v>1384</v>
      </c>
      <c r="B65" s="288">
        <v>2442</v>
      </c>
      <c r="C65" s="288" t="s">
        <v>771</v>
      </c>
      <c r="D65" s="248" t="s">
        <v>708</v>
      </c>
      <c r="E65" s="403"/>
      <c r="F65" s="402">
        <v>729513.73591763398</v>
      </c>
      <c r="G65" s="402">
        <v>0</v>
      </c>
      <c r="H65" s="402">
        <v>33107</v>
      </c>
      <c r="I65" s="402">
        <v>0</v>
      </c>
      <c r="J65" s="402">
        <v>22725</v>
      </c>
      <c r="K65" s="402">
        <v>0</v>
      </c>
      <c r="L65" s="402">
        <v>1200</v>
      </c>
      <c r="M65" s="402">
        <v>0</v>
      </c>
      <c r="N65" s="402">
        <v>1600</v>
      </c>
      <c r="O65" s="402">
        <v>15000</v>
      </c>
      <c r="P65" s="402">
        <v>0</v>
      </c>
      <c r="Q65" s="402">
        <v>0</v>
      </c>
      <c r="R65" s="402">
        <v>40300</v>
      </c>
      <c r="S65" s="402">
        <v>0</v>
      </c>
      <c r="T65" s="402">
        <v>0</v>
      </c>
      <c r="U65" s="402">
        <v>0</v>
      </c>
      <c r="V65" s="402">
        <v>0</v>
      </c>
      <c r="W65" s="402">
        <v>0</v>
      </c>
      <c r="X65" s="402">
        <v>40800</v>
      </c>
      <c r="Y65" s="402">
        <v>884245.73591763398</v>
      </c>
      <c r="Z65" s="402">
        <v>455872.61526879983</v>
      </c>
      <c r="AA65" s="402">
        <v>6000</v>
      </c>
      <c r="AB65" s="402">
        <v>149689.76091836879</v>
      </c>
      <c r="AC65" s="402">
        <v>7248.5549937422038</v>
      </c>
      <c r="AD65" s="402">
        <v>46447.922413515655</v>
      </c>
      <c r="AE65" s="402">
        <v>0</v>
      </c>
      <c r="AF65" s="402">
        <v>32145.974554764751</v>
      </c>
      <c r="AG65" s="402">
        <v>6500</v>
      </c>
      <c r="AH65" s="402">
        <v>3300</v>
      </c>
      <c r="AI65" s="402">
        <v>2933</v>
      </c>
      <c r="AJ65" s="402">
        <v>0</v>
      </c>
      <c r="AK65" s="402">
        <v>7000</v>
      </c>
      <c r="AL65" s="402">
        <v>3000</v>
      </c>
      <c r="AM65" s="402">
        <v>16000</v>
      </c>
      <c r="AN65" s="402">
        <v>4000</v>
      </c>
      <c r="AO65" s="402">
        <v>13100</v>
      </c>
      <c r="AP65" s="402">
        <v>0</v>
      </c>
      <c r="AQ65" s="402">
        <v>4450</v>
      </c>
      <c r="AR65" s="402">
        <v>43000</v>
      </c>
      <c r="AS65" s="402">
        <v>29158</v>
      </c>
      <c r="AT65" s="402">
        <v>0</v>
      </c>
      <c r="AU65" s="402">
        <v>10600</v>
      </c>
      <c r="AV65" s="402">
        <v>4078</v>
      </c>
      <c r="AW65" s="402">
        <v>3000</v>
      </c>
      <c r="AX65" s="402">
        <v>58620</v>
      </c>
      <c r="AY65" s="402">
        <v>0</v>
      </c>
      <c r="AZ65" s="402">
        <v>7116</v>
      </c>
      <c r="BA65" s="402">
        <v>12191</v>
      </c>
      <c r="BB65" s="402">
        <v>0</v>
      </c>
      <c r="BC65" s="402">
        <v>0</v>
      </c>
      <c r="BD65" s="402">
        <v>15000</v>
      </c>
      <c r="BE65" s="402">
        <v>940450.82814919134</v>
      </c>
      <c r="BF65" s="402">
        <v>-56205.092231557355</v>
      </c>
      <c r="BG65" s="402">
        <v>132179.75999999989</v>
      </c>
      <c r="BH65" s="402">
        <v>75974.667768442538</v>
      </c>
      <c r="BI65" s="402">
        <v>0</v>
      </c>
      <c r="BJ65" s="402">
        <v>0</v>
      </c>
      <c r="BK65" s="402">
        <v>0</v>
      </c>
      <c r="BL65" s="402">
        <v>0</v>
      </c>
      <c r="BM65" s="402">
        <v>0</v>
      </c>
      <c r="BN65" s="402">
        <v>0</v>
      </c>
      <c r="BO65" s="402">
        <v>0</v>
      </c>
      <c r="BP65" s="402">
        <v>0</v>
      </c>
      <c r="BQ65" s="402">
        <v>0</v>
      </c>
      <c r="BR65" s="402">
        <v>0</v>
      </c>
      <c r="BS65" s="402">
        <v>75974.667768442538</v>
      </c>
      <c r="BT65" s="402">
        <v>0</v>
      </c>
      <c r="BU65" s="402">
        <v>75974.667768442538</v>
      </c>
      <c r="BV65" s="402">
        <v>5418</v>
      </c>
      <c r="BW65" s="402">
        <v>0</v>
      </c>
      <c r="BX65" s="402">
        <v>15000</v>
      </c>
      <c r="BY65" s="402">
        <v>20418</v>
      </c>
      <c r="BZ65" s="402">
        <v>0</v>
      </c>
      <c r="CA65" s="402">
        <v>5418</v>
      </c>
      <c r="CB65" s="402">
        <v>0</v>
      </c>
      <c r="CC65" s="402">
        <v>0</v>
      </c>
      <c r="CD65" s="402">
        <v>5418</v>
      </c>
      <c r="CE65" s="402">
        <v>15000</v>
      </c>
      <c r="CF65" s="402">
        <v>0</v>
      </c>
      <c r="CG65" s="402">
        <v>15000</v>
      </c>
      <c r="CH65" s="402">
        <f>VLOOKUP($B65,'Data - CFR 2024-25'!$B$4:$CJ$127,85,0)</f>
        <v>0</v>
      </c>
      <c r="CI65" s="402">
        <f>VLOOKUP($B65,'Data - CFR 2024-25'!$B$4:$CJ$127,86,0)</f>
        <v>0</v>
      </c>
      <c r="CJ65" s="402">
        <f>VLOOKUP($B65,'Data - CFR 2024-25'!$B$4:$CJ$127,87,0)</f>
        <v>0</v>
      </c>
    </row>
    <row r="66" spans="1:88" ht="13.8">
      <c r="A66" s="252" t="s">
        <v>1384</v>
      </c>
      <c r="B66" s="288">
        <v>2331</v>
      </c>
      <c r="C66" s="288" t="s">
        <v>772</v>
      </c>
      <c r="D66" s="248" t="s">
        <v>708</v>
      </c>
      <c r="E66" s="403"/>
      <c r="F66" s="402">
        <v>633814.85</v>
      </c>
      <c r="G66" s="402">
        <v>0</v>
      </c>
      <c r="H66" s="402">
        <v>60000</v>
      </c>
      <c r="I66" s="402">
        <v>0</v>
      </c>
      <c r="J66" s="402">
        <v>55255</v>
      </c>
      <c r="K66" s="402">
        <v>0</v>
      </c>
      <c r="L66" s="402">
        <v>0</v>
      </c>
      <c r="M66" s="402">
        <v>0</v>
      </c>
      <c r="N66" s="402">
        <v>2775</v>
      </c>
      <c r="O66" s="402">
        <v>3700</v>
      </c>
      <c r="P66" s="402">
        <v>0</v>
      </c>
      <c r="Q66" s="402">
        <v>0</v>
      </c>
      <c r="R66" s="402">
        <v>500</v>
      </c>
      <c r="S66" s="402">
        <v>2000</v>
      </c>
      <c r="T66" s="402">
        <v>0</v>
      </c>
      <c r="U66" s="402">
        <v>0</v>
      </c>
      <c r="V66" s="402">
        <v>0</v>
      </c>
      <c r="W66" s="402">
        <v>0</v>
      </c>
      <c r="X66" s="402">
        <v>16832</v>
      </c>
      <c r="Y66" s="402">
        <v>774876.85</v>
      </c>
      <c r="Z66" s="402">
        <v>304669.90999999997</v>
      </c>
      <c r="AA66" s="402">
        <v>11000</v>
      </c>
      <c r="AB66" s="402">
        <v>215759.58</v>
      </c>
      <c r="AC66" s="402">
        <v>18024.080000000002</v>
      </c>
      <c r="AD66" s="402">
        <v>39621.74</v>
      </c>
      <c r="AE66" s="402">
        <v>18214.09</v>
      </c>
      <c r="AF66" s="402">
        <v>14041.07</v>
      </c>
      <c r="AG66" s="402">
        <v>10550</v>
      </c>
      <c r="AH66" s="402">
        <v>2000</v>
      </c>
      <c r="AI66" s="402">
        <v>1800</v>
      </c>
      <c r="AJ66" s="402">
        <v>780</v>
      </c>
      <c r="AK66" s="402">
        <v>5000</v>
      </c>
      <c r="AL66" s="402">
        <v>2500</v>
      </c>
      <c r="AM66" s="402">
        <v>6328</v>
      </c>
      <c r="AN66" s="402">
        <v>1000</v>
      </c>
      <c r="AO66" s="402">
        <v>15000</v>
      </c>
      <c r="AP66" s="402">
        <v>0</v>
      </c>
      <c r="AQ66" s="402">
        <v>6875</v>
      </c>
      <c r="AR66" s="402">
        <v>48999.839999999997</v>
      </c>
      <c r="AS66" s="402">
        <v>35750</v>
      </c>
      <c r="AT66" s="402">
        <v>0</v>
      </c>
      <c r="AU66" s="402">
        <v>6050</v>
      </c>
      <c r="AV66" s="402">
        <v>2177</v>
      </c>
      <c r="AW66" s="402">
        <v>0</v>
      </c>
      <c r="AX66" s="402">
        <v>13500</v>
      </c>
      <c r="AY66" s="402">
        <v>0</v>
      </c>
      <c r="AZ66" s="402">
        <v>18920</v>
      </c>
      <c r="BA66" s="402">
        <v>15583</v>
      </c>
      <c r="BB66" s="402">
        <v>0</v>
      </c>
      <c r="BC66" s="402">
        <v>0</v>
      </c>
      <c r="BD66" s="402">
        <v>0</v>
      </c>
      <c r="BE66" s="402">
        <v>814143.30999999982</v>
      </c>
      <c r="BF66" s="402">
        <v>-39266.459999999846</v>
      </c>
      <c r="BG66" s="402">
        <v>85230.859999999782</v>
      </c>
      <c r="BH66" s="402">
        <v>45964.399999999936</v>
      </c>
      <c r="BI66" s="402">
        <v>0</v>
      </c>
      <c r="BJ66" s="402">
        <v>0</v>
      </c>
      <c r="BK66" s="402">
        <v>0</v>
      </c>
      <c r="BL66" s="402">
        <v>0</v>
      </c>
      <c r="BM66" s="402">
        <v>0</v>
      </c>
      <c r="BN66" s="402">
        <v>0</v>
      </c>
      <c r="BO66" s="402">
        <v>0</v>
      </c>
      <c r="BP66" s="402">
        <v>0</v>
      </c>
      <c r="BQ66" s="402">
        <v>0</v>
      </c>
      <c r="BR66" s="402">
        <v>0</v>
      </c>
      <c r="BS66" s="402">
        <v>45964.399999999936</v>
      </c>
      <c r="BT66" s="402">
        <v>0</v>
      </c>
      <c r="BU66" s="402">
        <v>45964.399999999936</v>
      </c>
      <c r="BV66" s="402">
        <v>4824</v>
      </c>
      <c r="BW66" s="402">
        <v>0</v>
      </c>
      <c r="BX66" s="402">
        <v>0</v>
      </c>
      <c r="BY66" s="402">
        <v>4824</v>
      </c>
      <c r="BZ66" s="402">
        <v>0</v>
      </c>
      <c r="CA66" s="402">
        <v>5795.05</v>
      </c>
      <c r="CB66" s="402">
        <v>0</v>
      </c>
      <c r="CC66" s="402">
        <v>0</v>
      </c>
      <c r="CD66" s="402">
        <v>5795.05</v>
      </c>
      <c r="CE66" s="402">
        <v>-971.05000000000018</v>
      </c>
      <c r="CF66" s="402">
        <v>971.14999999999964</v>
      </c>
      <c r="CG66" s="402">
        <v>9.9999999999454303E-2</v>
      </c>
      <c r="CH66" s="402">
        <f>VLOOKUP($B66,'Data - CFR 2024-25'!$B$4:$CJ$127,85,0)</f>
        <v>971.14999999999964</v>
      </c>
      <c r="CI66" s="402">
        <f>VLOOKUP($B66,'Data - CFR 2024-25'!$B$4:$CJ$127,86,0)</f>
        <v>0</v>
      </c>
      <c r="CJ66" s="402">
        <f>VLOOKUP($B66,'Data - CFR 2024-25'!$B$4:$CJ$127,87,0)</f>
        <v>971.14999999999964</v>
      </c>
    </row>
    <row r="67" spans="1:88" ht="13.8">
      <c r="A67" s="252" t="s">
        <v>1384</v>
      </c>
      <c r="B67" s="288">
        <v>1000</v>
      </c>
      <c r="C67" s="288" t="s">
        <v>1379</v>
      </c>
      <c r="D67" s="248" t="s">
        <v>724</v>
      </c>
      <c r="E67" s="403"/>
      <c r="F67" s="402">
        <v>0</v>
      </c>
      <c r="G67" s="402">
        <v>0</v>
      </c>
      <c r="H67" s="402">
        <v>0</v>
      </c>
      <c r="I67" s="402">
        <v>0</v>
      </c>
      <c r="J67" s="402">
        <v>0</v>
      </c>
      <c r="K67" s="402">
        <v>0</v>
      </c>
      <c r="L67" s="402">
        <v>0</v>
      </c>
      <c r="M67" s="402">
        <v>0</v>
      </c>
      <c r="N67" s="402">
        <v>0</v>
      </c>
      <c r="O67" s="402">
        <v>0</v>
      </c>
      <c r="P67" s="402">
        <v>0</v>
      </c>
      <c r="Q67" s="402">
        <v>0</v>
      </c>
      <c r="R67" s="402">
        <v>0</v>
      </c>
      <c r="S67" s="402">
        <v>0</v>
      </c>
      <c r="T67" s="402">
        <v>0</v>
      </c>
      <c r="U67" s="402">
        <v>0</v>
      </c>
      <c r="V67" s="402">
        <v>0</v>
      </c>
      <c r="W67" s="402">
        <v>0</v>
      </c>
      <c r="X67" s="402">
        <v>0</v>
      </c>
      <c r="Y67" s="402">
        <v>0</v>
      </c>
      <c r="Z67" s="402">
        <v>0</v>
      </c>
      <c r="AA67" s="402">
        <v>0</v>
      </c>
      <c r="AB67" s="402">
        <v>0</v>
      </c>
      <c r="AC67" s="402">
        <v>0</v>
      </c>
      <c r="AD67" s="402">
        <v>0</v>
      </c>
      <c r="AE67" s="402">
        <v>0</v>
      </c>
      <c r="AF67" s="402">
        <v>0</v>
      </c>
      <c r="AG67" s="402">
        <v>0</v>
      </c>
      <c r="AH67" s="402">
        <v>0</v>
      </c>
      <c r="AI67" s="402">
        <v>0</v>
      </c>
      <c r="AJ67" s="402">
        <v>0</v>
      </c>
      <c r="AK67" s="402">
        <v>0</v>
      </c>
      <c r="AL67" s="402">
        <v>0</v>
      </c>
      <c r="AM67" s="402">
        <v>0</v>
      </c>
      <c r="AN67" s="402">
        <v>0</v>
      </c>
      <c r="AO67" s="402">
        <v>0</v>
      </c>
      <c r="AP67" s="402">
        <v>0</v>
      </c>
      <c r="AQ67" s="402">
        <v>0</v>
      </c>
      <c r="AR67" s="402">
        <v>0</v>
      </c>
      <c r="AS67" s="402">
        <v>0</v>
      </c>
      <c r="AT67" s="402">
        <v>0</v>
      </c>
      <c r="AU67" s="402">
        <v>0</v>
      </c>
      <c r="AV67" s="402">
        <v>0</v>
      </c>
      <c r="AW67" s="402">
        <v>0</v>
      </c>
      <c r="AX67" s="402">
        <v>0</v>
      </c>
      <c r="AY67" s="402">
        <v>0</v>
      </c>
      <c r="AZ67" s="402">
        <v>0</v>
      </c>
      <c r="BA67" s="402">
        <v>0</v>
      </c>
      <c r="BB67" s="402">
        <v>0</v>
      </c>
      <c r="BC67" s="402">
        <v>0</v>
      </c>
      <c r="BD67" s="402">
        <v>0</v>
      </c>
      <c r="BE67" s="402">
        <v>0</v>
      </c>
      <c r="BF67" s="402">
        <v>0</v>
      </c>
      <c r="BG67" s="402">
        <v>0</v>
      </c>
      <c r="BH67" s="402">
        <v>0</v>
      </c>
      <c r="BI67" s="402">
        <v>0</v>
      </c>
      <c r="BJ67" s="402">
        <v>0</v>
      </c>
      <c r="BK67" s="402">
        <v>0</v>
      </c>
      <c r="BL67" s="402">
        <v>0</v>
      </c>
      <c r="BM67" s="402">
        <v>0</v>
      </c>
      <c r="BN67" s="402">
        <v>0</v>
      </c>
      <c r="BO67" s="402">
        <v>0</v>
      </c>
      <c r="BP67" s="402">
        <v>0</v>
      </c>
      <c r="BQ67" s="402">
        <v>0</v>
      </c>
      <c r="BR67" s="402">
        <v>0</v>
      </c>
      <c r="BS67" s="402">
        <v>0</v>
      </c>
      <c r="BT67" s="402">
        <v>0</v>
      </c>
      <c r="BU67" s="402">
        <v>0</v>
      </c>
      <c r="BV67" s="402">
        <v>0</v>
      </c>
      <c r="BW67" s="402">
        <v>0</v>
      </c>
      <c r="BX67" s="402">
        <v>0</v>
      </c>
      <c r="BY67" s="402">
        <v>0</v>
      </c>
      <c r="BZ67" s="402">
        <v>0</v>
      </c>
      <c r="CA67" s="402">
        <v>0</v>
      </c>
      <c r="CB67" s="402">
        <v>0</v>
      </c>
      <c r="CC67" s="402">
        <v>0</v>
      </c>
      <c r="CD67" s="402">
        <v>0</v>
      </c>
      <c r="CE67" s="402">
        <v>0</v>
      </c>
      <c r="CF67" s="402">
        <v>0</v>
      </c>
      <c r="CG67" s="402">
        <v>0</v>
      </c>
      <c r="CH67" s="402">
        <f>VLOOKUP($B67,'Data - CFR 2024-25'!$B$4:$CJ$127,85,0)</f>
        <v>4513.09</v>
      </c>
      <c r="CI67" s="402">
        <f>VLOOKUP($B67,'Data - CFR 2024-25'!$B$4:$CJ$127,86,0)</f>
        <v>0</v>
      </c>
      <c r="CJ67" s="402">
        <f>VLOOKUP($B67,'Data - CFR 2024-25'!$B$4:$CJ$127,87,0)</f>
        <v>4513.09</v>
      </c>
    </row>
    <row r="68" spans="1:88" ht="13.8">
      <c r="A68" s="252" t="s">
        <v>1384</v>
      </c>
      <c r="B68" s="288">
        <v>2446</v>
      </c>
      <c r="C68" s="288" t="s">
        <v>1380</v>
      </c>
      <c r="D68" s="248" t="s">
        <v>708</v>
      </c>
      <c r="E68" s="403"/>
      <c r="F68" s="402">
        <v>2592313.0022609932</v>
      </c>
      <c r="G68" s="402">
        <v>0</v>
      </c>
      <c r="H68" s="402">
        <v>59269</v>
      </c>
      <c r="I68" s="402">
        <v>0</v>
      </c>
      <c r="J68" s="402">
        <v>237720</v>
      </c>
      <c r="K68" s="402">
        <v>0</v>
      </c>
      <c r="L68" s="402">
        <v>0</v>
      </c>
      <c r="M68" s="402">
        <v>0</v>
      </c>
      <c r="N68" s="402">
        <v>65000</v>
      </c>
      <c r="O68" s="402">
        <v>31000</v>
      </c>
      <c r="P68" s="402">
        <v>2250</v>
      </c>
      <c r="Q68" s="402">
        <v>0</v>
      </c>
      <c r="R68" s="402">
        <v>14500</v>
      </c>
      <c r="S68" s="402">
        <v>0</v>
      </c>
      <c r="T68" s="402">
        <v>0</v>
      </c>
      <c r="U68" s="402">
        <v>0</v>
      </c>
      <c r="V68" s="402">
        <v>0</v>
      </c>
      <c r="W68" s="402">
        <v>0</v>
      </c>
      <c r="X68" s="402">
        <v>71525</v>
      </c>
      <c r="Y68" s="402">
        <v>3073577.0022609932</v>
      </c>
      <c r="Z68" s="402">
        <v>1749244.4686335993</v>
      </c>
      <c r="AA68" s="402">
        <v>0</v>
      </c>
      <c r="AB68" s="402">
        <v>646178.75638773001</v>
      </c>
      <c r="AC68" s="402">
        <v>39913.57703</v>
      </c>
      <c r="AD68" s="402">
        <v>196009.83346779071</v>
      </c>
      <c r="AE68" s="402">
        <v>94395.804022661934</v>
      </c>
      <c r="AF68" s="402">
        <v>106698.30336920501</v>
      </c>
      <c r="AG68" s="402">
        <v>13686</v>
      </c>
      <c r="AH68" s="402">
        <v>8000</v>
      </c>
      <c r="AI68" s="402">
        <v>11050</v>
      </c>
      <c r="AJ68" s="402">
        <v>3062.5</v>
      </c>
      <c r="AK68" s="402">
        <v>38322</v>
      </c>
      <c r="AL68" s="402">
        <v>4000</v>
      </c>
      <c r="AM68" s="402">
        <v>80160</v>
      </c>
      <c r="AN68" s="402">
        <v>8000</v>
      </c>
      <c r="AO68" s="402">
        <v>89000</v>
      </c>
      <c r="AP68" s="402">
        <v>0</v>
      </c>
      <c r="AQ68" s="402">
        <v>21940</v>
      </c>
      <c r="AR68" s="402">
        <v>58800</v>
      </c>
      <c r="AS68" s="402">
        <v>57299.39</v>
      </c>
      <c r="AT68" s="402">
        <v>0</v>
      </c>
      <c r="AU68" s="402">
        <v>42640</v>
      </c>
      <c r="AV68" s="402">
        <v>11845</v>
      </c>
      <c r="AW68" s="402">
        <v>4500</v>
      </c>
      <c r="AX68" s="402">
        <v>82000</v>
      </c>
      <c r="AY68" s="402">
        <v>0</v>
      </c>
      <c r="AZ68" s="402">
        <v>3250</v>
      </c>
      <c r="BA68" s="402">
        <v>52711</v>
      </c>
      <c r="BB68" s="402">
        <v>0</v>
      </c>
      <c r="BC68" s="402">
        <v>0</v>
      </c>
      <c r="BD68" s="402">
        <v>212000</v>
      </c>
      <c r="BE68" s="402">
        <v>3634706.6329109869</v>
      </c>
      <c r="BF68" s="402">
        <v>-561129.63064999366</v>
      </c>
      <c r="BG68" s="402">
        <v>773128.27</v>
      </c>
      <c r="BH68" s="402">
        <v>211998.63935000636</v>
      </c>
      <c r="BI68" s="402">
        <v>0</v>
      </c>
      <c r="BJ68" s="402">
        <v>0</v>
      </c>
      <c r="BK68" s="402">
        <v>0</v>
      </c>
      <c r="BL68" s="402">
        <v>0</v>
      </c>
      <c r="BM68" s="402">
        <v>0</v>
      </c>
      <c r="BN68" s="402">
        <v>0</v>
      </c>
      <c r="BO68" s="402">
        <v>0</v>
      </c>
      <c r="BP68" s="402">
        <v>0</v>
      </c>
      <c r="BQ68" s="402">
        <v>0</v>
      </c>
      <c r="BR68" s="402">
        <v>0</v>
      </c>
      <c r="BS68" s="402">
        <v>211998.63935000636</v>
      </c>
      <c r="BT68" s="402">
        <v>0</v>
      </c>
      <c r="BU68" s="402">
        <v>211998.63935000636</v>
      </c>
      <c r="BV68" s="402">
        <v>13097</v>
      </c>
      <c r="BW68" s="402">
        <v>0</v>
      </c>
      <c r="BX68" s="402">
        <v>0</v>
      </c>
      <c r="BY68" s="402">
        <v>13097</v>
      </c>
      <c r="BZ68" s="402">
        <v>0</v>
      </c>
      <c r="CA68" s="402">
        <v>20772.82</v>
      </c>
      <c r="CB68" s="402">
        <v>0</v>
      </c>
      <c r="CC68" s="402">
        <v>0</v>
      </c>
      <c r="CD68" s="402">
        <v>20772.82</v>
      </c>
      <c r="CE68" s="402">
        <v>-7675.82</v>
      </c>
      <c r="CF68" s="402">
        <v>7675.82</v>
      </c>
      <c r="CG68" s="402">
        <v>0</v>
      </c>
      <c r="CH68" s="402">
        <f>VLOOKUP($B68,'Data - CFR 2024-25'!$B$4:$CJ$127,85,0)</f>
        <v>7675.8200000000006</v>
      </c>
      <c r="CI68" s="402">
        <f>VLOOKUP($B68,'Data - CFR 2024-25'!$B$4:$CJ$127,86,0)</f>
        <v>0.03</v>
      </c>
      <c r="CJ68" s="402">
        <f>VLOOKUP($B68,'Data - CFR 2024-25'!$B$4:$CJ$127,87,0)</f>
        <v>7675.85</v>
      </c>
    </row>
    <row r="69" spans="1:88" ht="13.8">
      <c r="A69" s="252" t="s">
        <v>1384</v>
      </c>
      <c r="B69" s="288">
        <v>3317</v>
      </c>
      <c r="C69" s="288" t="s">
        <v>773</v>
      </c>
      <c r="D69" s="248" t="s">
        <v>708</v>
      </c>
      <c r="E69" s="403"/>
      <c r="F69" s="402">
        <v>847879</v>
      </c>
      <c r="G69" s="402">
        <v>0</v>
      </c>
      <c r="H69" s="402">
        <v>18771</v>
      </c>
      <c r="I69" s="402">
        <v>0</v>
      </c>
      <c r="J69" s="402">
        <v>43535</v>
      </c>
      <c r="K69" s="402">
        <v>71077</v>
      </c>
      <c r="L69" s="402">
        <v>0</v>
      </c>
      <c r="M69" s="402">
        <v>3000</v>
      </c>
      <c r="N69" s="402">
        <v>275</v>
      </c>
      <c r="O69" s="402">
        <v>500</v>
      </c>
      <c r="P69" s="402">
        <v>0</v>
      </c>
      <c r="Q69" s="402">
        <v>0</v>
      </c>
      <c r="R69" s="402">
        <v>80000</v>
      </c>
      <c r="S69" s="402">
        <v>0</v>
      </c>
      <c r="T69" s="402">
        <v>0</v>
      </c>
      <c r="U69" s="402">
        <v>0</v>
      </c>
      <c r="V69" s="402">
        <v>0</v>
      </c>
      <c r="W69" s="402">
        <v>0</v>
      </c>
      <c r="X69" s="402">
        <v>0</v>
      </c>
      <c r="Y69" s="402">
        <v>1065037</v>
      </c>
      <c r="Z69" s="402">
        <v>561892</v>
      </c>
      <c r="AA69" s="402">
        <v>0</v>
      </c>
      <c r="AB69" s="402">
        <v>248132</v>
      </c>
      <c r="AC69" s="402">
        <v>12625</v>
      </c>
      <c r="AD69" s="402">
        <v>62493</v>
      </c>
      <c r="AE69" s="402">
        <v>51210</v>
      </c>
      <c r="AF69" s="402">
        <v>8897</v>
      </c>
      <c r="AG69" s="402">
        <v>300</v>
      </c>
      <c r="AH69" s="402">
        <v>3000</v>
      </c>
      <c r="AI69" s="402">
        <v>2715</v>
      </c>
      <c r="AJ69" s="402">
        <v>120</v>
      </c>
      <c r="AK69" s="402">
        <v>10000</v>
      </c>
      <c r="AL69" s="402">
        <v>2000</v>
      </c>
      <c r="AM69" s="402">
        <v>3200</v>
      </c>
      <c r="AN69" s="402">
        <v>2500</v>
      </c>
      <c r="AO69" s="402">
        <v>25000</v>
      </c>
      <c r="AP69" s="402">
        <v>0</v>
      </c>
      <c r="AQ69" s="402">
        <v>4404</v>
      </c>
      <c r="AR69" s="402">
        <v>8500</v>
      </c>
      <c r="AS69" s="402">
        <v>21011</v>
      </c>
      <c r="AT69" s="402">
        <v>0</v>
      </c>
      <c r="AU69" s="402">
        <v>5653</v>
      </c>
      <c r="AV69" s="402">
        <v>3339</v>
      </c>
      <c r="AW69" s="402">
        <v>0</v>
      </c>
      <c r="AX69" s="402">
        <v>32400</v>
      </c>
      <c r="AY69" s="402">
        <v>0</v>
      </c>
      <c r="AZ69" s="402">
        <v>12300</v>
      </c>
      <c r="BA69" s="402">
        <v>10441</v>
      </c>
      <c r="BB69" s="402">
        <v>0</v>
      </c>
      <c r="BC69" s="402">
        <v>0</v>
      </c>
      <c r="BD69" s="402">
        <v>0</v>
      </c>
      <c r="BE69" s="402">
        <v>1092132</v>
      </c>
      <c r="BF69" s="402">
        <v>-27094</v>
      </c>
      <c r="BG69" s="402">
        <v>-214394</v>
      </c>
      <c r="BH69" s="402">
        <v>-241489</v>
      </c>
      <c r="BI69" s="402">
        <v>0</v>
      </c>
      <c r="BJ69" s="402">
        <v>0</v>
      </c>
      <c r="BK69" s="402">
        <v>0</v>
      </c>
      <c r="BL69" s="402">
        <v>31489</v>
      </c>
      <c r="BM69" s="402">
        <v>0</v>
      </c>
      <c r="BN69" s="402">
        <v>31489</v>
      </c>
      <c r="BO69" s="402">
        <v>-31489</v>
      </c>
      <c r="BP69" s="402">
        <v>0</v>
      </c>
      <c r="BQ69" s="402">
        <v>-31489</v>
      </c>
      <c r="BR69" s="402">
        <v>0</v>
      </c>
      <c r="BS69" s="402">
        <v>-241489</v>
      </c>
      <c r="BT69" s="402">
        <v>-31489</v>
      </c>
      <c r="BU69" s="402">
        <v>-272978</v>
      </c>
      <c r="BV69" s="402">
        <v>0</v>
      </c>
      <c r="BW69" s="402">
        <v>0</v>
      </c>
      <c r="BX69" s="402">
        <v>0</v>
      </c>
      <c r="BY69" s="402">
        <v>0</v>
      </c>
      <c r="BZ69" s="402">
        <v>0</v>
      </c>
      <c r="CA69" s="402">
        <v>0</v>
      </c>
      <c r="CB69" s="402">
        <v>0</v>
      </c>
      <c r="CC69" s="402">
        <v>0</v>
      </c>
      <c r="CD69" s="402">
        <v>0</v>
      </c>
      <c r="CE69" s="402">
        <v>0</v>
      </c>
      <c r="CF69" s="402">
        <v>0</v>
      </c>
      <c r="CG69" s="402">
        <v>0</v>
      </c>
      <c r="CH69" s="402">
        <f>VLOOKUP($B69,'Data - CFR 2024-25'!$B$4:$CJ$127,85,0)</f>
        <v>0</v>
      </c>
      <c r="CI69" s="402">
        <f>VLOOKUP($B69,'Data - CFR 2024-25'!$B$4:$CJ$127,86,0)</f>
        <v>0</v>
      </c>
      <c r="CJ69" s="402">
        <f>VLOOKUP($B69,'Data - CFR 2024-25'!$B$4:$CJ$127,87,0)</f>
        <v>0</v>
      </c>
    </row>
    <row r="70" spans="1:88" ht="13.8">
      <c r="A70" s="252" t="s">
        <v>1384</v>
      </c>
      <c r="B70" s="290">
        <v>2066</v>
      </c>
      <c r="C70" s="290" t="s">
        <v>774</v>
      </c>
      <c r="D70" s="248" t="s">
        <v>708</v>
      </c>
      <c r="E70" s="403"/>
      <c r="F70" s="402">
        <v>1060371.23</v>
      </c>
      <c r="G70" s="402">
        <v>0</v>
      </c>
      <c r="H70" s="402">
        <v>46494</v>
      </c>
      <c r="I70" s="402">
        <v>0</v>
      </c>
      <c r="J70" s="402">
        <v>47215</v>
      </c>
      <c r="K70" s="402">
        <v>0</v>
      </c>
      <c r="L70" s="402">
        <v>4000</v>
      </c>
      <c r="M70" s="402">
        <v>9500</v>
      </c>
      <c r="N70" s="402">
        <v>11000</v>
      </c>
      <c r="O70" s="402">
        <v>27000</v>
      </c>
      <c r="P70" s="402">
        <v>0</v>
      </c>
      <c r="Q70" s="402">
        <v>0</v>
      </c>
      <c r="R70" s="402">
        <v>5000</v>
      </c>
      <c r="S70" s="402">
        <v>0</v>
      </c>
      <c r="T70" s="402">
        <v>0</v>
      </c>
      <c r="U70" s="402">
        <v>0</v>
      </c>
      <c r="V70" s="402">
        <v>0</v>
      </c>
      <c r="W70" s="402">
        <v>0</v>
      </c>
      <c r="X70" s="402">
        <v>51800</v>
      </c>
      <c r="Y70" s="402">
        <v>1262380.23</v>
      </c>
      <c r="Z70" s="402">
        <v>705082.92</v>
      </c>
      <c r="AA70" s="402">
        <v>2000</v>
      </c>
      <c r="AB70" s="402">
        <v>257912.41</v>
      </c>
      <c r="AC70" s="402">
        <v>33962.5</v>
      </c>
      <c r="AD70" s="402">
        <v>42826.69</v>
      </c>
      <c r="AE70" s="402">
        <v>41590.57</v>
      </c>
      <c r="AF70" s="402">
        <v>28367.33</v>
      </c>
      <c r="AG70" s="402">
        <v>5200</v>
      </c>
      <c r="AH70" s="402">
        <v>7000</v>
      </c>
      <c r="AI70" s="402">
        <v>5175</v>
      </c>
      <c r="AJ70" s="402">
        <v>1672</v>
      </c>
      <c r="AK70" s="402">
        <v>10000</v>
      </c>
      <c r="AL70" s="402">
        <v>3000</v>
      </c>
      <c r="AM70" s="402">
        <v>3000</v>
      </c>
      <c r="AN70" s="402">
        <v>5000</v>
      </c>
      <c r="AO70" s="402">
        <v>32000</v>
      </c>
      <c r="AP70" s="402">
        <v>0</v>
      </c>
      <c r="AQ70" s="402">
        <v>5200</v>
      </c>
      <c r="AR70" s="402">
        <v>43300</v>
      </c>
      <c r="AS70" s="402">
        <v>23900</v>
      </c>
      <c r="AT70" s="402">
        <v>0</v>
      </c>
      <c r="AU70" s="402">
        <v>6100</v>
      </c>
      <c r="AV70" s="402">
        <v>0</v>
      </c>
      <c r="AW70" s="402">
        <v>0</v>
      </c>
      <c r="AX70" s="402">
        <v>26000</v>
      </c>
      <c r="AY70" s="402">
        <v>0</v>
      </c>
      <c r="AZ70" s="402">
        <v>8500</v>
      </c>
      <c r="BA70" s="402">
        <v>7840</v>
      </c>
      <c r="BB70" s="402">
        <v>0</v>
      </c>
      <c r="BC70" s="402">
        <v>0</v>
      </c>
      <c r="BD70" s="402">
        <v>0</v>
      </c>
      <c r="BE70" s="402">
        <v>1304629.4200000002</v>
      </c>
      <c r="BF70" s="402">
        <v>-42249.190000000177</v>
      </c>
      <c r="BG70" s="402">
        <v>-56494.41</v>
      </c>
      <c r="BH70" s="402">
        <v>-98743.60000000018</v>
      </c>
      <c r="BI70" s="402">
        <v>0</v>
      </c>
      <c r="BJ70" s="402">
        <v>114000</v>
      </c>
      <c r="BK70" s="402">
        <v>114000</v>
      </c>
      <c r="BL70" s="402">
        <v>93020.69</v>
      </c>
      <c r="BM70" s="402">
        <v>9000</v>
      </c>
      <c r="BN70" s="402">
        <v>102020.69</v>
      </c>
      <c r="BO70" s="402">
        <v>11979.309999999998</v>
      </c>
      <c r="BP70" s="402">
        <v>458.01</v>
      </c>
      <c r="BQ70" s="402">
        <v>12437.319999999998</v>
      </c>
      <c r="BR70" s="402">
        <v>0</v>
      </c>
      <c r="BS70" s="402">
        <v>-98743.60000000018</v>
      </c>
      <c r="BT70" s="402">
        <v>12437.319999999998</v>
      </c>
      <c r="BU70" s="402">
        <v>-86306.280000000188</v>
      </c>
      <c r="BV70" s="402">
        <v>6408</v>
      </c>
      <c r="BW70" s="402">
        <v>0</v>
      </c>
      <c r="BX70" s="402">
        <v>0</v>
      </c>
      <c r="BY70" s="402">
        <v>6408</v>
      </c>
      <c r="BZ70" s="402">
        <v>0</v>
      </c>
      <c r="CA70" s="402">
        <v>15000</v>
      </c>
      <c r="CB70" s="402">
        <v>0</v>
      </c>
      <c r="CC70" s="402">
        <v>0</v>
      </c>
      <c r="CD70" s="402">
        <v>15000</v>
      </c>
      <c r="CE70" s="402">
        <v>-8592</v>
      </c>
      <c r="CF70" s="402">
        <v>34654.039999999994</v>
      </c>
      <c r="CG70" s="402">
        <v>26062.039999999994</v>
      </c>
      <c r="CH70" s="402">
        <f>VLOOKUP($B70,'Data - CFR 2024-25'!$B$4:$CJ$127,85,0)</f>
        <v>34654.039999999994</v>
      </c>
      <c r="CI70" s="402">
        <f>VLOOKUP($B70,'Data - CFR 2024-25'!$B$4:$CJ$127,86,0)</f>
        <v>0</v>
      </c>
      <c r="CJ70" s="402">
        <f>VLOOKUP($B70,'Data - CFR 2024-25'!$B$4:$CJ$127,87,0)</f>
        <v>34654.039999999994</v>
      </c>
    </row>
    <row r="71" spans="1:88" ht="13.8">
      <c r="A71" s="252" t="s">
        <v>1384</v>
      </c>
      <c r="B71" s="288">
        <v>2293</v>
      </c>
      <c r="C71" s="288" t="s">
        <v>775</v>
      </c>
      <c r="D71" s="248" t="s">
        <v>708</v>
      </c>
      <c r="E71" s="403"/>
      <c r="F71" s="402">
        <v>1483518</v>
      </c>
      <c r="G71" s="402">
        <v>0</v>
      </c>
      <c r="H71" s="402">
        <v>105619</v>
      </c>
      <c r="I71" s="402">
        <v>0</v>
      </c>
      <c r="J71" s="402">
        <v>71155</v>
      </c>
      <c r="K71" s="402">
        <v>0</v>
      </c>
      <c r="L71" s="402">
        <v>0</v>
      </c>
      <c r="M71" s="402">
        <v>38000</v>
      </c>
      <c r="N71" s="402">
        <v>500</v>
      </c>
      <c r="O71" s="402">
        <v>0</v>
      </c>
      <c r="P71" s="402">
        <v>0</v>
      </c>
      <c r="Q71" s="402">
        <v>0</v>
      </c>
      <c r="R71" s="402">
        <v>0</v>
      </c>
      <c r="S71" s="402">
        <v>0</v>
      </c>
      <c r="T71" s="402">
        <v>0</v>
      </c>
      <c r="U71" s="402">
        <v>0</v>
      </c>
      <c r="V71" s="402">
        <v>0</v>
      </c>
      <c r="W71" s="402">
        <v>0</v>
      </c>
      <c r="X71" s="402">
        <v>63617</v>
      </c>
      <c r="Y71" s="402">
        <v>1762409</v>
      </c>
      <c r="Z71" s="402">
        <v>965729</v>
      </c>
      <c r="AA71" s="402">
        <v>1000</v>
      </c>
      <c r="AB71" s="402">
        <v>441712</v>
      </c>
      <c r="AC71" s="402">
        <v>56615</v>
      </c>
      <c r="AD71" s="402">
        <v>120343</v>
      </c>
      <c r="AE71" s="402">
        <v>0</v>
      </c>
      <c r="AF71" s="402">
        <v>0</v>
      </c>
      <c r="AG71" s="402">
        <v>6730</v>
      </c>
      <c r="AH71" s="402">
        <v>5000</v>
      </c>
      <c r="AI71" s="402">
        <v>0</v>
      </c>
      <c r="AJ71" s="402">
        <v>0</v>
      </c>
      <c r="AK71" s="402">
        <v>10500</v>
      </c>
      <c r="AL71" s="402">
        <v>3888</v>
      </c>
      <c r="AM71" s="402">
        <v>2750</v>
      </c>
      <c r="AN71" s="402">
        <v>5980</v>
      </c>
      <c r="AO71" s="402">
        <v>49700</v>
      </c>
      <c r="AP71" s="402">
        <v>0</v>
      </c>
      <c r="AQ71" s="402">
        <v>7202</v>
      </c>
      <c r="AR71" s="402">
        <v>22111</v>
      </c>
      <c r="AS71" s="402">
        <v>36418</v>
      </c>
      <c r="AT71" s="402">
        <v>0</v>
      </c>
      <c r="AU71" s="402">
        <v>8027</v>
      </c>
      <c r="AV71" s="402">
        <v>8225</v>
      </c>
      <c r="AW71" s="402">
        <v>0</v>
      </c>
      <c r="AX71" s="402">
        <v>76971</v>
      </c>
      <c r="AY71" s="402">
        <v>14000</v>
      </c>
      <c r="AZ71" s="402">
        <v>8000</v>
      </c>
      <c r="BA71" s="402">
        <v>12599</v>
      </c>
      <c r="BB71" s="402">
        <v>0</v>
      </c>
      <c r="BC71" s="402">
        <v>0</v>
      </c>
      <c r="BD71" s="402">
        <v>0</v>
      </c>
      <c r="BE71" s="402">
        <v>1863499</v>
      </c>
      <c r="BF71" s="402">
        <v>-101090</v>
      </c>
      <c r="BG71" s="402">
        <v>102736</v>
      </c>
      <c r="BH71" s="402">
        <v>1646</v>
      </c>
      <c r="BI71" s="402">
        <v>0</v>
      </c>
      <c r="BJ71" s="402">
        <v>0</v>
      </c>
      <c r="BK71" s="402">
        <v>0</v>
      </c>
      <c r="BL71" s="402">
        <v>0</v>
      </c>
      <c r="BM71" s="402">
        <v>0</v>
      </c>
      <c r="BN71" s="402">
        <v>0</v>
      </c>
      <c r="BO71" s="402">
        <v>0</v>
      </c>
      <c r="BP71" s="402">
        <v>0</v>
      </c>
      <c r="BQ71" s="402">
        <v>0</v>
      </c>
      <c r="BR71" s="402">
        <v>0</v>
      </c>
      <c r="BS71" s="402">
        <v>1646</v>
      </c>
      <c r="BT71" s="402">
        <v>0</v>
      </c>
      <c r="BU71" s="402">
        <v>1646</v>
      </c>
      <c r="BV71" s="402">
        <v>7639</v>
      </c>
      <c r="BW71" s="402">
        <v>0</v>
      </c>
      <c r="BX71" s="402">
        <v>0</v>
      </c>
      <c r="BY71" s="402">
        <v>7639</v>
      </c>
      <c r="BZ71" s="402">
        <v>0</v>
      </c>
      <c r="CA71" s="402">
        <v>10000</v>
      </c>
      <c r="CB71" s="402">
        <v>0</v>
      </c>
      <c r="CC71" s="402">
        <v>6000</v>
      </c>
      <c r="CD71" s="402">
        <v>16000</v>
      </c>
      <c r="CE71" s="402">
        <v>-8361</v>
      </c>
      <c r="CF71" s="402">
        <v>27319</v>
      </c>
      <c r="CG71" s="402">
        <v>18958</v>
      </c>
      <c r="CH71" s="402">
        <f>VLOOKUP($B71,'Data - CFR 2024-25'!$B$4:$CJ$127,85,0)</f>
        <v>27319.03</v>
      </c>
      <c r="CI71" s="402">
        <f>VLOOKUP($B71,'Data - CFR 2024-25'!$B$4:$CJ$127,86,0)</f>
        <v>0</v>
      </c>
      <c r="CJ71" s="402">
        <f>VLOOKUP($B71,'Data - CFR 2024-25'!$B$4:$CJ$127,87,0)</f>
        <v>27319.03</v>
      </c>
    </row>
    <row r="72" spans="1:88" ht="13.8">
      <c r="A72" s="252" t="s">
        <v>1384</v>
      </c>
      <c r="B72" s="288">
        <v>2074</v>
      </c>
      <c r="C72" s="288" t="s">
        <v>776</v>
      </c>
      <c r="D72" s="248" t="s">
        <v>708</v>
      </c>
      <c r="E72" s="403"/>
      <c r="F72" s="402">
        <v>1980603.0099962817</v>
      </c>
      <c r="G72" s="402">
        <v>0</v>
      </c>
      <c r="H72" s="402">
        <v>86533</v>
      </c>
      <c r="I72" s="402">
        <v>0</v>
      </c>
      <c r="J72" s="402">
        <v>146855</v>
      </c>
      <c r="K72" s="402">
        <v>0</v>
      </c>
      <c r="L72" s="402">
        <v>0</v>
      </c>
      <c r="M72" s="402">
        <v>18000</v>
      </c>
      <c r="N72" s="402">
        <v>21000</v>
      </c>
      <c r="O72" s="402">
        <v>25000</v>
      </c>
      <c r="P72" s="402">
        <v>0</v>
      </c>
      <c r="Q72" s="402">
        <v>0</v>
      </c>
      <c r="R72" s="402">
        <v>11500</v>
      </c>
      <c r="S72" s="402">
        <v>0</v>
      </c>
      <c r="T72" s="402">
        <v>0</v>
      </c>
      <c r="U72" s="402">
        <v>0</v>
      </c>
      <c r="V72" s="402">
        <v>0</v>
      </c>
      <c r="W72" s="402">
        <v>0</v>
      </c>
      <c r="X72" s="402">
        <v>61754</v>
      </c>
      <c r="Y72" s="402">
        <v>2351245.0099962819</v>
      </c>
      <c r="Z72" s="402">
        <v>1188108.4582328256</v>
      </c>
      <c r="AA72" s="402">
        <v>5000</v>
      </c>
      <c r="AB72" s="402">
        <v>507012.06570660148</v>
      </c>
      <c r="AC72" s="402">
        <v>102629.25987122691</v>
      </c>
      <c r="AD72" s="402">
        <v>148448.1533087162</v>
      </c>
      <c r="AE72" s="402">
        <v>0</v>
      </c>
      <c r="AF72" s="402">
        <v>64248.05157773284</v>
      </c>
      <c r="AG72" s="402">
        <v>9000</v>
      </c>
      <c r="AH72" s="402">
        <v>6000</v>
      </c>
      <c r="AI72" s="402">
        <v>10000</v>
      </c>
      <c r="AJ72" s="402">
        <v>500</v>
      </c>
      <c r="AK72" s="402">
        <v>15000</v>
      </c>
      <c r="AL72" s="402">
        <v>1000</v>
      </c>
      <c r="AM72" s="402">
        <v>7800</v>
      </c>
      <c r="AN72" s="402">
        <v>7500</v>
      </c>
      <c r="AO72" s="402">
        <v>39500</v>
      </c>
      <c r="AP72" s="402">
        <v>0</v>
      </c>
      <c r="AQ72" s="402">
        <v>10470</v>
      </c>
      <c r="AR72" s="402">
        <v>45690</v>
      </c>
      <c r="AS72" s="402">
        <v>25532</v>
      </c>
      <c r="AT72" s="402">
        <v>0</v>
      </c>
      <c r="AU72" s="402">
        <v>21570</v>
      </c>
      <c r="AV72" s="402">
        <v>10500</v>
      </c>
      <c r="AW72" s="402">
        <v>1500</v>
      </c>
      <c r="AX72" s="402">
        <v>122951</v>
      </c>
      <c r="AY72" s="402">
        <v>11500</v>
      </c>
      <c r="AZ72" s="402">
        <v>61733.47</v>
      </c>
      <c r="BA72" s="402">
        <v>25863</v>
      </c>
      <c r="BB72" s="402">
        <v>0</v>
      </c>
      <c r="BC72" s="402">
        <v>0</v>
      </c>
      <c r="BD72" s="402">
        <v>0</v>
      </c>
      <c r="BE72" s="402">
        <v>2449055.4586971034</v>
      </c>
      <c r="BF72" s="402">
        <v>-97810.448700821493</v>
      </c>
      <c r="BG72" s="402">
        <v>134553.13000000091</v>
      </c>
      <c r="BH72" s="402">
        <v>36742.681299179414</v>
      </c>
      <c r="BI72" s="402">
        <v>105000</v>
      </c>
      <c r="BJ72" s="402">
        <v>48000</v>
      </c>
      <c r="BK72" s="402">
        <v>153000</v>
      </c>
      <c r="BL72" s="402">
        <v>120080.83271468489</v>
      </c>
      <c r="BM72" s="402">
        <v>10433</v>
      </c>
      <c r="BN72" s="402">
        <v>130513.83271468489</v>
      </c>
      <c r="BO72" s="402">
        <v>22486.16728531511</v>
      </c>
      <c r="BP72" s="402">
        <v>-17402.28</v>
      </c>
      <c r="BQ72" s="402">
        <v>5083.8872853151115</v>
      </c>
      <c r="BR72" s="402">
        <v>0</v>
      </c>
      <c r="BS72" s="402">
        <v>36742.681299179414</v>
      </c>
      <c r="BT72" s="402">
        <v>5083.8872853151115</v>
      </c>
      <c r="BU72" s="402">
        <v>41826.568584494526</v>
      </c>
      <c r="BV72" s="402">
        <v>8489</v>
      </c>
      <c r="BW72" s="402">
        <v>0</v>
      </c>
      <c r="BX72" s="402">
        <v>0</v>
      </c>
      <c r="BY72" s="402">
        <v>8489</v>
      </c>
      <c r="BZ72" s="402">
        <v>0</v>
      </c>
      <c r="CA72" s="402">
        <v>17600.61</v>
      </c>
      <c r="CB72" s="402">
        <v>0</v>
      </c>
      <c r="CC72" s="402">
        <v>0</v>
      </c>
      <c r="CD72" s="402">
        <v>17600.61</v>
      </c>
      <c r="CE72" s="402">
        <v>-9111.61</v>
      </c>
      <c r="CF72" s="402">
        <v>9111.6099999999988</v>
      </c>
      <c r="CG72" s="402">
        <v>0</v>
      </c>
      <c r="CH72" s="402">
        <f>VLOOKUP($B72,'Data - CFR 2024-25'!$B$4:$CJ$127,85,0)</f>
        <v>9111.6099999999988</v>
      </c>
      <c r="CI72" s="402">
        <f>VLOOKUP($B72,'Data - CFR 2024-25'!$B$4:$CJ$127,86,0)</f>
        <v>0</v>
      </c>
      <c r="CJ72" s="402">
        <f>VLOOKUP($B72,'Data - CFR 2024-25'!$B$4:$CJ$127,87,0)</f>
        <v>9111.6099999999988</v>
      </c>
    </row>
    <row r="73" spans="1:88" ht="13.8">
      <c r="A73" s="252" t="s">
        <v>1384</v>
      </c>
      <c r="B73" s="288">
        <v>2075</v>
      </c>
      <c r="C73" s="288" t="s">
        <v>777</v>
      </c>
      <c r="D73" s="248" t="s">
        <v>708</v>
      </c>
      <c r="E73" s="403"/>
      <c r="F73" s="402">
        <v>1215679.6696410852</v>
      </c>
      <c r="G73" s="402">
        <v>0</v>
      </c>
      <c r="H73" s="402">
        <v>141835</v>
      </c>
      <c r="I73" s="402">
        <v>0</v>
      </c>
      <c r="J73" s="402">
        <v>109795</v>
      </c>
      <c r="K73" s="402">
        <v>0</v>
      </c>
      <c r="L73" s="402">
        <v>0</v>
      </c>
      <c r="M73" s="402">
        <v>14000</v>
      </c>
      <c r="N73" s="402">
        <v>2000</v>
      </c>
      <c r="O73" s="402">
        <v>0</v>
      </c>
      <c r="P73" s="402">
        <v>0</v>
      </c>
      <c r="Q73" s="402">
        <v>0</v>
      </c>
      <c r="R73" s="402">
        <v>2500</v>
      </c>
      <c r="S73" s="402">
        <v>0</v>
      </c>
      <c r="T73" s="402">
        <v>0</v>
      </c>
      <c r="U73" s="402">
        <v>0</v>
      </c>
      <c r="V73" s="402">
        <v>0</v>
      </c>
      <c r="W73" s="402">
        <v>0</v>
      </c>
      <c r="X73" s="402">
        <v>39581</v>
      </c>
      <c r="Y73" s="402">
        <v>1525390.6696410852</v>
      </c>
      <c r="Z73" s="402">
        <v>699707.38218826661</v>
      </c>
      <c r="AA73" s="402">
        <v>0</v>
      </c>
      <c r="AB73" s="402">
        <v>478338.15673347836</v>
      </c>
      <c r="AC73" s="402">
        <v>60162.227902505139</v>
      </c>
      <c r="AD73" s="402">
        <v>91314.829455529209</v>
      </c>
      <c r="AE73" s="402">
        <v>0</v>
      </c>
      <c r="AF73" s="402">
        <v>37963.622896326502</v>
      </c>
      <c r="AG73" s="402">
        <v>5450</v>
      </c>
      <c r="AH73" s="402">
        <v>4000</v>
      </c>
      <c r="AI73" s="402">
        <v>5850</v>
      </c>
      <c r="AJ73" s="402">
        <v>620</v>
      </c>
      <c r="AK73" s="402">
        <v>8000</v>
      </c>
      <c r="AL73" s="402">
        <v>1000</v>
      </c>
      <c r="AM73" s="402">
        <v>4800</v>
      </c>
      <c r="AN73" s="402">
        <v>7000</v>
      </c>
      <c r="AO73" s="402">
        <v>57000</v>
      </c>
      <c r="AP73" s="402">
        <v>0</v>
      </c>
      <c r="AQ73" s="402">
        <v>7800</v>
      </c>
      <c r="AR73" s="402">
        <v>45358.720000000001</v>
      </c>
      <c r="AS73" s="402">
        <v>32150</v>
      </c>
      <c r="AT73" s="402">
        <v>0</v>
      </c>
      <c r="AU73" s="402">
        <v>8790</v>
      </c>
      <c r="AV73" s="402">
        <v>6000</v>
      </c>
      <c r="AW73" s="402">
        <v>250</v>
      </c>
      <c r="AX73" s="402">
        <v>64691</v>
      </c>
      <c r="AY73" s="402">
        <v>3500</v>
      </c>
      <c r="AZ73" s="402">
        <v>4600</v>
      </c>
      <c r="BA73" s="402">
        <v>12531</v>
      </c>
      <c r="BB73" s="402">
        <v>0</v>
      </c>
      <c r="BC73" s="402">
        <v>0</v>
      </c>
      <c r="BD73" s="402">
        <v>0</v>
      </c>
      <c r="BE73" s="402">
        <v>1646876.9391761057</v>
      </c>
      <c r="BF73" s="402">
        <v>-121486.26953502046</v>
      </c>
      <c r="BG73" s="402">
        <v>125509.11999999985</v>
      </c>
      <c r="BH73" s="402">
        <v>4022.8504649793904</v>
      </c>
      <c r="BI73" s="402">
        <v>71000</v>
      </c>
      <c r="BJ73" s="402">
        <v>6000</v>
      </c>
      <c r="BK73" s="402">
        <v>77000</v>
      </c>
      <c r="BL73" s="402">
        <v>70492.788195113084</v>
      </c>
      <c r="BM73" s="402">
        <v>22100</v>
      </c>
      <c r="BN73" s="402">
        <v>92592.788195113084</v>
      </c>
      <c r="BO73" s="402">
        <v>-15592.788195113084</v>
      </c>
      <c r="BP73" s="402">
        <v>15692.36</v>
      </c>
      <c r="BQ73" s="402">
        <v>99.571804886916652</v>
      </c>
      <c r="BR73" s="402">
        <v>0</v>
      </c>
      <c r="BS73" s="402">
        <v>4022.8504649793904</v>
      </c>
      <c r="BT73" s="402">
        <v>99.571804886916652</v>
      </c>
      <c r="BU73" s="402">
        <v>4122.422269866307</v>
      </c>
      <c r="BV73" s="402">
        <v>6633</v>
      </c>
      <c r="BW73" s="402">
        <v>0</v>
      </c>
      <c r="BX73" s="402">
        <v>0</v>
      </c>
      <c r="BY73" s="402">
        <v>6633</v>
      </c>
      <c r="BZ73" s="402">
        <v>0</v>
      </c>
      <c r="CA73" s="402">
        <v>18910.89</v>
      </c>
      <c r="CB73" s="402">
        <v>0</v>
      </c>
      <c r="CC73" s="402">
        <v>0</v>
      </c>
      <c r="CD73" s="402">
        <v>18910.89</v>
      </c>
      <c r="CE73" s="402">
        <v>-12277.89</v>
      </c>
      <c r="CF73" s="402">
        <v>12277.89</v>
      </c>
      <c r="CG73" s="402">
        <v>0</v>
      </c>
      <c r="CH73" s="402">
        <f>VLOOKUP($B73,'Data - CFR 2024-25'!$B$4:$CJ$127,85,0)</f>
        <v>12277.89</v>
      </c>
      <c r="CI73" s="402">
        <f>VLOOKUP($B73,'Data - CFR 2024-25'!$B$4:$CJ$127,86,0)</f>
        <v>0</v>
      </c>
      <c r="CJ73" s="402">
        <f>VLOOKUP($B73,'Data - CFR 2024-25'!$B$4:$CJ$127,87,0)</f>
        <v>12277.89</v>
      </c>
    </row>
    <row r="74" spans="1:88" ht="13.8">
      <c r="A74" s="252" t="s">
        <v>1384</v>
      </c>
      <c r="B74" s="288">
        <v>2121</v>
      </c>
      <c r="C74" s="288" t="s">
        <v>778</v>
      </c>
      <c r="D74" s="248" t="s">
        <v>708</v>
      </c>
      <c r="E74" s="403"/>
      <c r="F74" s="402">
        <v>2034365.1093592786</v>
      </c>
      <c r="G74" s="402">
        <v>0</v>
      </c>
      <c r="H74" s="402">
        <v>254692</v>
      </c>
      <c r="I74" s="402">
        <v>0</v>
      </c>
      <c r="J74" s="402">
        <v>106750</v>
      </c>
      <c r="K74" s="402">
        <v>0</v>
      </c>
      <c r="L74" s="402">
        <v>0</v>
      </c>
      <c r="M74" s="402">
        <v>61000</v>
      </c>
      <c r="N74" s="402">
        <v>1130</v>
      </c>
      <c r="O74" s="402">
        <v>45000</v>
      </c>
      <c r="P74" s="402">
        <v>0</v>
      </c>
      <c r="Q74" s="402">
        <v>9986.1299999999992</v>
      </c>
      <c r="R74" s="402">
        <v>0</v>
      </c>
      <c r="S74" s="402">
        <v>0</v>
      </c>
      <c r="T74" s="402">
        <v>0</v>
      </c>
      <c r="U74" s="402">
        <v>0</v>
      </c>
      <c r="V74" s="402">
        <v>0</v>
      </c>
      <c r="W74" s="402">
        <v>0</v>
      </c>
      <c r="X74" s="402">
        <v>8141</v>
      </c>
      <c r="Y74" s="402">
        <v>2521064.2393592782</v>
      </c>
      <c r="Z74" s="402">
        <v>1256224.6391476367</v>
      </c>
      <c r="AA74" s="402">
        <v>15000</v>
      </c>
      <c r="AB74" s="402">
        <v>608846.26728097186</v>
      </c>
      <c r="AC74" s="402">
        <v>68312.165327726092</v>
      </c>
      <c r="AD74" s="402">
        <v>196881.73009507958</v>
      </c>
      <c r="AE74" s="402">
        <v>0</v>
      </c>
      <c r="AF74" s="402">
        <v>8250</v>
      </c>
      <c r="AG74" s="402">
        <v>10000</v>
      </c>
      <c r="AH74" s="402">
        <v>3000</v>
      </c>
      <c r="AI74" s="402">
        <v>10200</v>
      </c>
      <c r="AJ74" s="402">
        <v>3600</v>
      </c>
      <c r="AK74" s="402">
        <v>20000</v>
      </c>
      <c r="AL74" s="402">
        <v>5000</v>
      </c>
      <c r="AM74" s="402">
        <v>7400</v>
      </c>
      <c r="AN74" s="402">
        <v>8000</v>
      </c>
      <c r="AO74" s="402">
        <v>59000</v>
      </c>
      <c r="AP74" s="402">
        <v>0</v>
      </c>
      <c r="AQ74" s="402">
        <v>34200</v>
      </c>
      <c r="AR74" s="402">
        <v>29118.48</v>
      </c>
      <c r="AS74" s="402">
        <v>49301</v>
      </c>
      <c r="AT74" s="402">
        <v>0</v>
      </c>
      <c r="AU74" s="402">
        <v>10985</v>
      </c>
      <c r="AV74" s="402">
        <v>11342</v>
      </c>
      <c r="AW74" s="402">
        <v>0</v>
      </c>
      <c r="AX74" s="402">
        <v>71418</v>
      </c>
      <c r="AY74" s="402">
        <v>4500</v>
      </c>
      <c r="AZ74" s="402">
        <v>7987</v>
      </c>
      <c r="BA74" s="402">
        <v>19652</v>
      </c>
      <c r="BB74" s="402">
        <v>0</v>
      </c>
      <c r="BC74" s="402">
        <v>0</v>
      </c>
      <c r="BD74" s="402">
        <v>0</v>
      </c>
      <c r="BE74" s="402">
        <v>2518218.2818514141</v>
      </c>
      <c r="BF74" s="402">
        <v>2845.9575078641064</v>
      </c>
      <c r="BG74" s="402">
        <v>-133806.28999999852</v>
      </c>
      <c r="BH74" s="402">
        <v>-130960.33249213442</v>
      </c>
      <c r="BI74" s="402">
        <v>0</v>
      </c>
      <c r="BJ74" s="402">
        <v>0</v>
      </c>
      <c r="BK74" s="402">
        <v>0</v>
      </c>
      <c r="BL74" s="402">
        <v>0</v>
      </c>
      <c r="BM74" s="402">
        <v>0</v>
      </c>
      <c r="BN74" s="402">
        <v>0</v>
      </c>
      <c r="BO74" s="402">
        <v>0</v>
      </c>
      <c r="BP74" s="402">
        <v>0</v>
      </c>
      <c r="BQ74" s="402">
        <v>0</v>
      </c>
      <c r="BR74" s="402">
        <v>0</v>
      </c>
      <c r="BS74" s="402">
        <v>-130960.33249213442</v>
      </c>
      <c r="BT74" s="402">
        <v>0</v>
      </c>
      <c r="BU74" s="402">
        <v>-130960.33249213442</v>
      </c>
      <c r="BV74" s="402">
        <v>8365</v>
      </c>
      <c r="BW74" s="402">
        <v>0</v>
      </c>
      <c r="BX74" s="402">
        <v>0</v>
      </c>
      <c r="BY74" s="402">
        <v>8365</v>
      </c>
      <c r="BZ74" s="402">
        <v>0</v>
      </c>
      <c r="CA74" s="402">
        <v>0</v>
      </c>
      <c r="CB74" s="402">
        <v>0</v>
      </c>
      <c r="CC74" s="402">
        <v>17038</v>
      </c>
      <c r="CD74" s="402">
        <v>17038</v>
      </c>
      <c r="CE74" s="402">
        <v>-8673</v>
      </c>
      <c r="CF74" s="402">
        <v>8673.32</v>
      </c>
      <c r="CG74" s="402">
        <v>0.31999999999970896</v>
      </c>
      <c r="CH74" s="402">
        <f>VLOOKUP($B74,'Data - CFR 2024-25'!$B$4:$CJ$127,85,0)</f>
        <v>8673.32</v>
      </c>
      <c r="CI74" s="402">
        <f>VLOOKUP($B74,'Data - CFR 2024-25'!$B$4:$CJ$127,86,0)</f>
        <v>0</v>
      </c>
      <c r="CJ74" s="402">
        <f>VLOOKUP($B74,'Data - CFR 2024-25'!$B$4:$CJ$127,87,0)</f>
        <v>8673.32</v>
      </c>
    </row>
    <row r="75" spans="1:88" ht="13.8">
      <c r="A75" s="252" t="s">
        <v>1384</v>
      </c>
      <c r="B75" s="288">
        <v>2028</v>
      </c>
      <c r="C75" s="288" t="s">
        <v>779</v>
      </c>
      <c r="D75" s="248" t="s">
        <v>708</v>
      </c>
      <c r="E75" s="403"/>
      <c r="F75" s="402">
        <v>1959786.3561493023</v>
      </c>
      <c r="G75" s="402">
        <v>0</v>
      </c>
      <c r="H75" s="402">
        <v>181044</v>
      </c>
      <c r="I75" s="402">
        <v>0</v>
      </c>
      <c r="J75" s="402">
        <v>133636</v>
      </c>
      <c r="K75" s="402">
        <v>0</v>
      </c>
      <c r="L75" s="402">
        <v>0</v>
      </c>
      <c r="M75" s="402">
        <v>2000</v>
      </c>
      <c r="N75" s="402">
        <v>11200</v>
      </c>
      <c r="O75" s="402">
        <v>25000</v>
      </c>
      <c r="P75" s="402">
        <v>0</v>
      </c>
      <c r="Q75" s="402">
        <v>0</v>
      </c>
      <c r="R75" s="402">
        <v>119498.53</v>
      </c>
      <c r="S75" s="402">
        <v>0</v>
      </c>
      <c r="T75" s="402">
        <v>0</v>
      </c>
      <c r="U75" s="402">
        <v>0</v>
      </c>
      <c r="V75" s="402">
        <v>0</v>
      </c>
      <c r="W75" s="402">
        <v>0</v>
      </c>
      <c r="X75" s="402">
        <v>79370</v>
      </c>
      <c r="Y75" s="402">
        <v>2511534.8861493021</v>
      </c>
      <c r="Z75" s="402">
        <v>1188078.4821040467</v>
      </c>
      <c r="AA75" s="402">
        <v>1300</v>
      </c>
      <c r="AB75" s="402">
        <v>561352.47571722663</v>
      </c>
      <c r="AC75" s="402">
        <v>55530.380638517658</v>
      </c>
      <c r="AD75" s="402">
        <v>129776.86905548602</v>
      </c>
      <c r="AE75" s="402">
        <v>0</v>
      </c>
      <c r="AF75" s="402">
        <v>112624.77426070234</v>
      </c>
      <c r="AG75" s="402">
        <v>38948</v>
      </c>
      <c r="AH75" s="402">
        <v>6960</v>
      </c>
      <c r="AI75" s="402">
        <v>9575</v>
      </c>
      <c r="AJ75" s="402">
        <v>62.5</v>
      </c>
      <c r="AK75" s="402">
        <v>20000</v>
      </c>
      <c r="AL75" s="402">
        <v>1500</v>
      </c>
      <c r="AM75" s="402">
        <v>7860</v>
      </c>
      <c r="AN75" s="402">
        <v>7000</v>
      </c>
      <c r="AO75" s="402">
        <v>61834.19</v>
      </c>
      <c r="AP75" s="402">
        <v>0</v>
      </c>
      <c r="AQ75" s="402">
        <v>7250</v>
      </c>
      <c r="AR75" s="402">
        <v>93995.6</v>
      </c>
      <c r="AS75" s="402">
        <v>24310</v>
      </c>
      <c r="AT75" s="402">
        <v>0</v>
      </c>
      <c r="AU75" s="402">
        <v>19827</v>
      </c>
      <c r="AV75" s="402">
        <v>9728.2000000000007</v>
      </c>
      <c r="AW75" s="402">
        <v>15561.21</v>
      </c>
      <c r="AX75" s="402">
        <v>111860</v>
      </c>
      <c r="AY75" s="402">
        <v>28840</v>
      </c>
      <c r="AZ75" s="402">
        <v>18171.599999999999</v>
      </c>
      <c r="BA75" s="402">
        <v>19349</v>
      </c>
      <c r="BB75" s="402">
        <v>0</v>
      </c>
      <c r="BC75" s="402">
        <v>0</v>
      </c>
      <c r="BD75" s="402">
        <v>0</v>
      </c>
      <c r="BE75" s="402">
        <v>2551295.2817759798</v>
      </c>
      <c r="BF75" s="402">
        <v>-39760.395626677666</v>
      </c>
      <c r="BG75" s="402">
        <v>69122.729999999137</v>
      </c>
      <c r="BH75" s="402">
        <v>29362.334373321472</v>
      </c>
      <c r="BI75" s="402">
        <v>0</v>
      </c>
      <c r="BJ75" s="402">
        <v>0</v>
      </c>
      <c r="BK75" s="402">
        <v>0</v>
      </c>
      <c r="BL75" s="402">
        <v>0</v>
      </c>
      <c r="BM75" s="402">
        <v>0</v>
      </c>
      <c r="BN75" s="402">
        <v>0</v>
      </c>
      <c r="BO75" s="402">
        <v>0</v>
      </c>
      <c r="BP75" s="402">
        <v>0</v>
      </c>
      <c r="BQ75" s="402">
        <v>0</v>
      </c>
      <c r="BR75" s="402">
        <v>0</v>
      </c>
      <c r="BS75" s="402">
        <v>29362.334373321472</v>
      </c>
      <c r="BT75" s="402">
        <v>0</v>
      </c>
      <c r="BU75" s="402">
        <v>29362.334373321472</v>
      </c>
      <c r="BV75" s="402">
        <v>8421.25</v>
      </c>
      <c r="BW75" s="402">
        <v>0</v>
      </c>
      <c r="BX75" s="402">
        <v>0</v>
      </c>
      <c r="BY75" s="402">
        <v>8421.25</v>
      </c>
      <c r="BZ75" s="402">
        <v>0</v>
      </c>
      <c r="CA75" s="402">
        <v>9057.5499999999993</v>
      </c>
      <c r="CB75" s="402">
        <v>0</v>
      </c>
      <c r="CC75" s="402">
        <v>4000</v>
      </c>
      <c r="CD75" s="402">
        <v>13057.55</v>
      </c>
      <c r="CE75" s="402">
        <v>-4636.2999999999993</v>
      </c>
      <c r="CF75" s="402">
        <v>4636.3</v>
      </c>
      <c r="CG75" s="402">
        <v>0</v>
      </c>
      <c r="CH75" s="402">
        <f>VLOOKUP($B75,'Data - CFR 2024-25'!$B$4:$CJ$127,85,0)</f>
        <v>610.29999999999995</v>
      </c>
      <c r="CI75" s="402">
        <f>VLOOKUP($B75,'Data - CFR 2024-25'!$B$4:$CJ$127,86,0)</f>
        <v>4026</v>
      </c>
      <c r="CJ75" s="402">
        <f>VLOOKUP($B75,'Data - CFR 2024-25'!$B$4:$CJ$127,87,0)</f>
        <v>4636.3</v>
      </c>
    </row>
    <row r="76" spans="1:88" ht="13.8">
      <c r="A76" s="252" t="s">
        <v>1384</v>
      </c>
      <c r="B76" s="288">
        <v>2029</v>
      </c>
      <c r="C76" s="288" t="s">
        <v>780</v>
      </c>
      <c r="D76" s="248" t="s">
        <v>708</v>
      </c>
      <c r="E76" s="403"/>
      <c r="F76" s="402">
        <v>1021981.5783938745</v>
      </c>
      <c r="G76" s="402">
        <v>0</v>
      </c>
      <c r="H76" s="402">
        <v>33211</v>
      </c>
      <c r="I76" s="402">
        <v>0</v>
      </c>
      <c r="J76" s="402">
        <v>51110</v>
      </c>
      <c r="K76" s="402">
        <v>5294</v>
      </c>
      <c r="L76" s="402">
        <v>0</v>
      </c>
      <c r="M76" s="402">
        <v>3000</v>
      </c>
      <c r="N76" s="402">
        <v>90724</v>
      </c>
      <c r="O76" s="402">
        <v>0</v>
      </c>
      <c r="P76" s="402">
        <v>0</v>
      </c>
      <c r="Q76" s="402">
        <v>0</v>
      </c>
      <c r="R76" s="402">
        <v>0</v>
      </c>
      <c r="S76" s="402">
        <v>2000</v>
      </c>
      <c r="T76" s="402">
        <v>0</v>
      </c>
      <c r="U76" s="402">
        <v>0</v>
      </c>
      <c r="V76" s="402">
        <v>0</v>
      </c>
      <c r="W76" s="402">
        <v>0</v>
      </c>
      <c r="X76" s="402">
        <v>42172</v>
      </c>
      <c r="Y76" s="402">
        <v>1249492.5783938745</v>
      </c>
      <c r="Z76" s="402">
        <v>676960.6137120151</v>
      </c>
      <c r="AA76" s="402">
        <v>12800</v>
      </c>
      <c r="AB76" s="402">
        <v>263019.81911787146</v>
      </c>
      <c r="AC76" s="402">
        <v>13677.404820438671</v>
      </c>
      <c r="AD76" s="402">
        <v>67009.955227793485</v>
      </c>
      <c r="AE76" s="402">
        <v>0</v>
      </c>
      <c r="AF76" s="402">
        <v>73932.805504694523</v>
      </c>
      <c r="AG76" s="402">
        <v>5270</v>
      </c>
      <c r="AH76" s="402">
        <v>4000</v>
      </c>
      <c r="AI76" s="402">
        <v>4800</v>
      </c>
      <c r="AJ76" s="402">
        <v>222</v>
      </c>
      <c r="AK76" s="402">
        <v>1000</v>
      </c>
      <c r="AL76" s="402">
        <v>3500</v>
      </c>
      <c r="AM76" s="402">
        <v>25350</v>
      </c>
      <c r="AN76" s="402">
        <v>4500</v>
      </c>
      <c r="AO76" s="402">
        <v>29500</v>
      </c>
      <c r="AP76" s="402">
        <v>0</v>
      </c>
      <c r="AQ76" s="402">
        <v>7555</v>
      </c>
      <c r="AR76" s="402">
        <v>24753</v>
      </c>
      <c r="AS76" s="402">
        <v>30312</v>
      </c>
      <c r="AT76" s="402">
        <v>0</v>
      </c>
      <c r="AU76" s="402">
        <v>10505</v>
      </c>
      <c r="AV76" s="402">
        <v>5574</v>
      </c>
      <c r="AW76" s="402">
        <v>4250</v>
      </c>
      <c r="AX76" s="402">
        <v>46641</v>
      </c>
      <c r="AY76" s="402">
        <v>0</v>
      </c>
      <c r="AZ76" s="402">
        <v>14500</v>
      </c>
      <c r="BA76" s="402">
        <v>13365</v>
      </c>
      <c r="BB76" s="402">
        <v>0</v>
      </c>
      <c r="BC76" s="402">
        <v>0</v>
      </c>
      <c r="BD76" s="402">
        <v>0</v>
      </c>
      <c r="BE76" s="402">
        <v>1342997.5983828134</v>
      </c>
      <c r="BF76" s="402">
        <v>-93505.019988938933</v>
      </c>
      <c r="BG76" s="402">
        <v>129736.46999999991</v>
      </c>
      <c r="BH76" s="402">
        <v>36231.450011060981</v>
      </c>
      <c r="BI76" s="402">
        <v>125000</v>
      </c>
      <c r="BJ76" s="402">
        <v>20000</v>
      </c>
      <c r="BK76" s="402">
        <v>145000</v>
      </c>
      <c r="BL76" s="402">
        <v>127335.72777408198</v>
      </c>
      <c r="BM76" s="402">
        <v>30550</v>
      </c>
      <c r="BN76" s="402">
        <v>157885.72777408198</v>
      </c>
      <c r="BO76" s="402">
        <v>-12885.727774081985</v>
      </c>
      <c r="BP76" s="402">
        <v>92812.48000000001</v>
      </c>
      <c r="BQ76" s="402">
        <v>79926.752225918026</v>
      </c>
      <c r="BR76" s="402">
        <v>0</v>
      </c>
      <c r="BS76" s="402">
        <v>36231.450011060981</v>
      </c>
      <c r="BT76" s="402">
        <v>79926.752225918026</v>
      </c>
      <c r="BU76" s="402">
        <v>116158.20223697901</v>
      </c>
      <c r="BV76" s="402">
        <v>6334</v>
      </c>
      <c r="BW76" s="402">
        <v>0</v>
      </c>
      <c r="BX76" s="402">
        <v>0</v>
      </c>
      <c r="BY76" s="402">
        <v>6334</v>
      </c>
      <c r="BZ76" s="402">
        <v>0</v>
      </c>
      <c r="CA76" s="402">
        <v>6334</v>
      </c>
      <c r="CB76" s="402">
        <v>0</v>
      </c>
      <c r="CC76" s="402">
        <v>0</v>
      </c>
      <c r="CD76" s="402">
        <v>6334</v>
      </c>
      <c r="CE76" s="402">
        <v>0</v>
      </c>
      <c r="CF76" s="402">
        <v>0</v>
      </c>
      <c r="CG76" s="402">
        <v>0</v>
      </c>
      <c r="CH76" s="402">
        <f>VLOOKUP($B76,'Data - CFR 2024-25'!$B$4:$CJ$127,85,0)</f>
        <v>0</v>
      </c>
      <c r="CI76" s="402">
        <f>VLOOKUP($B76,'Data - CFR 2024-25'!$B$4:$CJ$127,86,0)</f>
        <v>0</v>
      </c>
      <c r="CJ76" s="402">
        <f>VLOOKUP($B76,'Data - CFR 2024-25'!$B$4:$CJ$127,87,0)</f>
        <v>0</v>
      </c>
    </row>
    <row r="77" spans="1:88" ht="13.8">
      <c r="A77" s="252" t="s">
        <v>1384</v>
      </c>
      <c r="B77" s="288">
        <v>2059</v>
      </c>
      <c r="C77" s="288" t="s">
        <v>781</v>
      </c>
      <c r="D77" s="248" t="s">
        <v>708</v>
      </c>
      <c r="E77" s="403"/>
      <c r="F77" s="402">
        <v>1026631</v>
      </c>
      <c r="G77" s="402">
        <v>0</v>
      </c>
      <c r="H77" s="402">
        <v>22275</v>
      </c>
      <c r="I77" s="402">
        <v>0</v>
      </c>
      <c r="J77" s="402">
        <v>28785</v>
      </c>
      <c r="K77" s="402">
        <v>0</v>
      </c>
      <c r="L77" s="402">
        <v>0</v>
      </c>
      <c r="M77" s="402">
        <v>14670</v>
      </c>
      <c r="N77" s="402">
        <v>3000</v>
      </c>
      <c r="O77" s="402">
        <v>21000</v>
      </c>
      <c r="P77" s="402">
        <v>0</v>
      </c>
      <c r="Q77" s="402">
        <v>0</v>
      </c>
      <c r="R77" s="402">
        <v>0</v>
      </c>
      <c r="S77" s="402">
        <v>17040</v>
      </c>
      <c r="T77" s="402">
        <v>0</v>
      </c>
      <c r="U77" s="402">
        <v>0</v>
      </c>
      <c r="V77" s="402">
        <v>0</v>
      </c>
      <c r="W77" s="402">
        <v>0</v>
      </c>
      <c r="X77" s="402">
        <v>42691</v>
      </c>
      <c r="Y77" s="402">
        <v>1176092</v>
      </c>
      <c r="Z77" s="402">
        <v>651453</v>
      </c>
      <c r="AA77" s="402">
        <v>0</v>
      </c>
      <c r="AB77" s="402">
        <v>182989</v>
      </c>
      <c r="AC77" s="402">
        <v>47019</v>
      </c>
      <c r="AD77" s="402">
        <v>62071</v>
      </c>
      <c r="AE77" s="402">
        <v>0</v>
      </c>
      <c r="AF77" s="402">
        <v>14957</v>
      </c>
      <c r="AG77" s="402">
        <v>11300</v>
      </c>
      <c r="AH77" s="402">
        <v>5100</v>
      </c>
      <c r="AI77" s="402">
        <v>2800</v>
      </c>
      <c r="AJ77" s="402">
        <v>0</v>
      </c>
      <c r="AK77" s="402">
        <v>8200</v>
      </c>
      <c r="AL77" s="402">
        <v>2760</v>
      </c>
      <c r="AM77" s="402">
        <v>2200</v>
      </c>
      <c r="AN77" s="402">
        <v>3000</v>
      </c>
      <c r="AO77" s="402">
        <v>25500</v>
      </c>
      <c r="AP77" s="402">
        <v>0</v>
      </c>
      <c r="AQ77" s="402">
        <v>2220</v>
      </c>
      <c r="AR77" s="402">
        <v>24833</v>
      </c>
      <c r="AS77" s="402">
        <v>24452</v>
      </c>
      <c r="AT77" s="402">
        <v>0</v>
      </c>
      <c r="AU77" s="402">
        <v>19380</v>
      </c>
      <c r="AV77" s="402">
        <v>5303</v>
      </c>
      <c r="AW77" s="402">
        <v>0</v>
      </c>
      <c r="AX77" s="402">
        <v>65480</v>
      </c>
      <c r="AY77" s="402">
        <v>2000</v>
      </c>
      <c r="AZ77" s="402">
        <v>0</v>
      </c>
      <c r="BA77" s="402">
        <v>21800</v>
      </c>
      <c r="BB77" s="402">
        <v>0</v>
      </c>
      <c r="BC77" s="402">
        <v>0</v>
      </c>
      <c r="BD77" s="402">
        <v>0</v>
      </c>
      <c r="BE77" s="402">
        <v>1184816</v>
      </c>
      <c r="BF77" s="402">
        <v>-8725</v>
      </c>
      <c r="BG77" s="402">
        <v>-150744</v>
      </c>
      <c r="BH77" s="402">
        <v>-159469</v>
      </c>
      <c r="BI77" s="402">
        <v>0</v>
      </c>
      <c r="BJ77" s="402">
        <v>0</v>
      </c>
      <c r="BK77" s="402">
        <v>0</v>
      </c>
      <c r="BL77" s="402">
        <v>0</v>
      </c>
      <c r="BM77" s="402">
        <v>0</v>
      </c>
      <c r="BN77" s="402">
        <v>0</v>
      </c>
      <c r="BO77" s="402">
        <v>0</v>
      </c>
      <c r="BP77" s="402">
        <v>0</v>
      </c>
      <c r="BQ77" s="402">
        <v>0</v>
      </c>
      <c r="BR77" s="402">
        <v>0</v>
      </c>
      <c r="BS77" s="402">
        <v>-159469</v>
      </c>
      <c r="BT77" s="402">
        <v>0</v>
      </c>
      <c r="BU77" s="402">
        <v>-159469</v>
      </c>
      <c r="BV77" s="402">
        <v>6318</v>
      </c>
      <c r="BW77" s="402">
        <v>0</v>
      </c>
      <c r="BX77" s="402">
        <v>0</v>
      </c>
      <c r="BY77" s="402">
        <v>6318</v>
      </c>
      <c r="BZ77" s="402">
        <v>0</v>
      </c>
      <c r="CA77" s="402">
        <v>12743</v>
      </c>
      <c r="CB77" s="402">
        <v>0</v>
      </c>
      <c r="CC77" s="402">
        <v>7000</v>
      </c>
      <c r="CD77" s="402">
        <v>19743</v>
      </c>
      <c r="CE77" s="402">
        <v>-13425</v>
      </c>
      <c r="CF77" s="402">
        <v>13995</v>
      </c>
      <c r="CG77" s="402">
        <v>570</v>
      </c>
      <c r="CH77" s="402">
        <f>VLOOKUP($B77,'Data - CFR 2024-25'!$B$4:$CJ$127,85,0)</f>
        <v>13765.59</v>
      </c>
      <c r="CI77" s="402">
        <f>VLOOKUP($B77,'Data - CFR 2024-25'!$B$4:$CJ$127,86,0)</f>
        <v>229.61</v>
      </c>
      <c r="CJ77" s="402">
        <f>VLOOKUP($B77,'Data - CFR 2024-25'!$B$4:$CJ$127,87,0)</f>
        <v>13995.2</v>
      </c>
    </row>
    <row r="78" spans="1:88" ht="13.8">
      <c r="A78" s="252" t="s">
        <v>1384</v>
      </c>
      <c r="B78" s="288">
        <v>3386</v>
      </c>
      <c r="C78" s="288" t="s">
        <v>782</v>
      </c>
      <c r="D78" s="248" t="s">
        <v>708</v>
      </c>
      <c r="E78" s="403"/>
      <c r="F78" s="402">
        <v>2057657.5000047542</v>
      </c>
      <c r="G78" s="402">
        <v>0</v>
      </c>
      <c r="H78" s="402">
        <v>126429</v>
      </c>
      <c r="I78" s="402">
        <v>0</v>
      </c>
      <c r="J78" s="402">
        <v>104170</v>
      </c>
      <c r="K78" s="402">
        <v>0</v>
      </c>
      <c r="L78" s="402">
        <v>0</v>
      </c>
      <c r="M78" s="402">
        <v>24000</v>
      </c>
      <c r="N78" s="402">
        <v>8500</v>
      </c>
      <c r="O78" s="402">
        <v>53552</v>
      </c>
      <c r="P78" s="402">
        <v>0</v>
      </c>
      <c r="Q78" s="402">
        <v>0</v>
      </c>
      <c r="R78" s="402">
        <v>6300</v>
      </c>
      <c r="S78" s="402">
        <v>0</v>
      </c>
      <c r="T78" s="402">
        <v>0</v>
      </c>
      <c r="U78" s="402">
        <v>0</v>
      </c>
      <c r="V78" s="402">
        <v>0</v>
      </c>
      <c r="W78" s="402">
        <v>0</v>
      </c>
      <c r="X78" s="402">
        <v>95769</v>
      </c>
      <c r="Y78" s="402">
        <v>2476377.5000047544</v>
      </c>
      <c r="Z78" s="402">
        <v>1225868.0900295747</v>
      </c>
      <c r="AA78" s="402">
        <v>5000</v>
      </c>
      <c r="AB78" s="402">
        <v>522080.80365642952</v>
      </c>
      <c r="AC78" s="402">
        <v>34448.530930000001</v>
      </c>
      <c r="AD78" s="402">
        <v>139163.98692113705</v>
      </c>
      <c r="AE78" s="402">
        <v>0</v>
      </c>
      <c r="AF78" s="402">
        <v>45144.91350241605</v>
      </c>
      <c r="AG78" s="402">
        <v>9642</v>
      </c>
      <c r="AH78" s="402">
        <v>10200</v>
      </c>
      <c r="AI78" s="402">
        <v>4052</v>
      </c>
      <c r="AJ78" s="402">
        <v>0</v>
      </c>
      <c r="AK78" s="402">
        <v>14200</v>
      </c>
      <c r="AL78" s="402">
        <v>4600</v>
      </c>
      <c r="AM78" s="402">
        <v>40900</v>
      </c>
      <c r="AN78" s="402">
        <v>2350</v>
      </c>
      <c r="AO78" s="402">
        <v>38000</v>
      </c>
      <c r="AP78" s="402">
        <v>0</v>
      </c>
      <c r="AQ78" s="402">
        <v>14641</v>
      </c>
      <c r="AR78" s="402">
        <v>90700.510000000009</v>
      </c>
      <c r="AS78" s="402">
        <v>45524</v>
      </c>
      <c r="AT78" s="402">
        <v>0</v>
      </c>
      <c r="AU78" s="402">
        <v>10639</v>
      </c>
      <c r="AV78" s="402">
        <v>11135</v>
      </c>
      <c r="AW78" s="402">
        <v>500</v>
      </c>
      <c r="AX78" s="402">
        <v>158277</v>
      </c>
      <c r="AY78" s="402">
        <v>10000</v>
      </c>
      <c r="AZ78" s="402">
        <v>61997</v>
      </c>
      <c r="BA78" s="402">
        <v>12245</v>
      </c>
      <c r="BB78" s="402">
        <v>0</v>
      </c>
      <c r="BC78" s="402">
        <v>0</v>
      </c>
      <c r="BD78" s="402">
        <v>10000</v>
      </c>
      <c r="BE78" s="402">
        <v>2521308.835039557</v>
      </c>
      <c r="BF78" s="402">
        <v>-44931.335034802556</v>
      </c>
      <c r="BG78" s="402">
        <v>358495.43999999959</v>
      </c>
      <c r="BH78" s="402">
        <v>313564.10496519704</v>
      </c>
      <c r="BI78" s="402">
        <v>0</v>
      </c>
      <c r="BJ78" s="402">
        <v>0</v>
      </c>
      <c r="BK78" s="402">
        <v>0</v>
      </c>
      <c r="BL78" s="402">
        <v>0</v>
      </c>
      <c r="BM78" s="402">
        <v>0</v>
      </c>
      <c r="BN78" s="402">
        <v>0</v>
      </c>
      <c r="BO78" s="402">
        <v>0</v>
      </c>
      <c r="BP78" s="402">
        <v>0</v>
      </c>
      <c r="BQ78" s="402">
        <v>0</v>
      </c>
      <c r="BR78" s="402">
        <v>0</v>
      </c>
      <c r="BS78" s="402">
        <v>313564.10496519704</v>
      </c>
      <c r="BT78" s="402">
        <v>0</v>
      </c>
      <c r="BU78" s="402">
        <v>313564.10496519704</v>
      </c>
      <c r="BV78" s="402">
        <v>8736</v>
      </c>
      <c r="BW78" s="402">
        <v>0</v>
      </c>
      <c r="BX78" s="402">
        <v>0</v>
      </c>
      <c r="BY78" s="402">
        <v>8736</v>
      </c>
      <c r="BZ78" s="402">
        <v>0</v>
      </c>
      <c r="CA78" s="402">
        <v>5048.5200000000004</v>
      </c>
      <c r="CB78" s="402">
        <v>0</v>
      </c>
      <c r="CC78" s="402">
        <v>8736</v>
      </c>
      <c r="CD78" s="402">
        <v>13784.52</v>
      </c>
      <c r="CE78" s="402">
        <v>-5048.5200000000004</v>
      </c>
      <c r="CF78" s="402">
        <v>5048.5200000000004</v>
      </c>
      <c r="CG78" s="402">
        <v>0</v>
      </c>
      <c r="CH78" s="402">
        <f>VLOOKUP($B78,'Data - CFR 2024-25'!$B$4:$CJ$127,85,0)</f>
        <v>5048.5200000000004</v>
      </c>
      <c r="CI78" s="402">
        <f>VLOOKUP($B78,'Data - CFR 2024-25'!$B$4:$CJ$127,86,0)</f>
        <v>0</v>
      </c>
      <c r="CJ78" s="402">
        <f>VLOOKUP($B78,'Data - CFR 2024-25'!$B$4:$CJ$127,87,0)</f>
        <v>5048.5200000000004</v>
      </c>
    </row>
    <row r="79" spans="1:88" ht="13.8">
      <c r="A79" s="252" t="s">
        <v>1384</v>
      </c>
      <c r="B79" s="288">
        <v>2449</v>
      </c>
      <c r="C79" s="288" t="s">
        <v>783</v>
      </c>
      <c r="D79" s="248" t="s">
        <v>708</v>
      </c>
      <c r="E79" s="403"/>
      <c r="F79" s="402">
        <v>2028914.3000023142</v>
      </c>
      <c r="G79" s="402">
        <v>0</v>
      </c>
      <c r="H79" s="402">
        <v>68612</v>
      </c>
      <c r="I79" s="402">
        <v>0</v>
      </c>
      <c r="J79" s="402">
        <v>109760</v>
      </c>
      <c r="K79" s="402">
        <v>0</v>
      </c>
      <c r="L79" s="402">
        <v>0</v>
      </c>
      <c r="M79" s="402">
        <v>0</v>
      </c>
      <c r="N79" s="402">
        <v>4000</v>
      </c>
      <c r="O79" s="402">
        <v>0</v>
      </c>
      <c r="P79" s="402">
        <v>3220</v>
      </c>
      <c r="Q79" s="402">
        <v>0</v>
      </c>
      <c r="R79" s="402">
        <v>0</v>
      </c>
      <c r="S79" s="402">
        <v>0</v>
      </c>
      <c r="T79" s="402">
        <v>0</v>
      </c>
      <c r="U79" s="402">
        <v>0</v>
      </c>
      <c r="V79" s="402">
        <v>0</v>
      </c>
      <c r="W79" s="402">
        <v>0</v>
      </c>
      <c r="X79" s="402">
        <v>75969</v>
      </c>
      <c r="Y79" s="402">
        <v>2290475.3000023142</v>
      </c>
      <c r="Z79" s="402">
        <v>1290274.5081332275</v>
      </c>
      <c r="AA79" s="402">
        <v>52440</v>
      </c>
      <c r="AB79" s="402">
        <v>478826.35706434201</v>
      </c>
      <c r="AC79" s="402">
        <v>50222.397729809738</v>
      </c>
      <c r="AD79" s="402">
        <v>124467.42075679437</v>
      </c>
      <c r="AE79" s="402">
        <v>0</v>
      </c>
      <c r="AF79" s="402">
        <v>58528.646644548673</v>
      </c>
      <c r="AG79" s="402">
        <v>9287</v>
      </c>
      <c r="AH79" s="402">
        <v>9456</v>
      </c>
      <c r="AI79" s="402">
        <v>10075</v>
      </c>
      <c r="AJ79" s="402">
        <v>0</v>
      </c>
      <c r="AK79" s="402">
        <v>60000</v>
      </c>
      <c r="AL79" s="402">
        <v>4980</v>
      </c>
      <c r="AM79" s="402">
        <v>5500</v>
      </c>
      <c r="AN79" s="402">
        <v>7000</v>
      </c>
      <c r="AO79" s="402">
        <v>63800</v>
      </c>
      <c r="AP79" s="402">
        <v>0</v>
      </c>
      <c r="AQ79" s="402">
        <v>9000</v>
      </c>
      <c r="AR79" s="402">
        <v>113686</v>
      </c>
      <c r="AS79" s="402">
        <v>90267</v>
      </c>
      <c r="AT79" s="402">
        <v>0</v>
      </c>
      <c r="AU79" s="402">
        <v>14100</v>
      </c>
      <c r="AV79" s="402">
        <v>10586</v>
      </c>
      <c r="AW79" s="402">
        <v>0</v>
      </c>
      <c r="AX79" s="402">
        <v>95250</v>
      </c>
      <c r="AY79" s="402">
        <v>0</v>
      </c>
      <c r="AZ79" s="402">
        <v>12688</v>
      </c>
      <c r="BA79" s="402">
        <v>24334</v>
      </c>
      <c r="BB79" s="402">
        <v>0</v>
      </c>
      <c r="BC79" s="402">
        <v>0</v>
      </c>
      <c r="BD79" s="402">
        <v>0</v>
      </c>
      <c r="BE79" s="402">
        <v>2594768.3303287225</v>
      </c>
      <c r="BF79" s="402">
        <v>-304293.03032640833</v>
      </c>
      <c r="BG79" s="402">
        <v>550661.12999999977</v>
      </c>
      <c r="BH79" s="402">
        <v>246368.09967359144</v>
      </c>
      <c r="BI79" s="402">
        <v>0</v>
      </c>
      <c r="BJ79" s="402">
        <v>416737</v>
      </c>
      <c r="BK79" s="402">
        <v>416737</v>
      </c>
      <c r="BL79" s="402">
        <v>382275.03305668168</v>
      </c>
      <c r="BM79" s="402">
        <v>50457</v>
      </c>
      <c r="BN79" s="402">
        <v>432732.03305668168</v>
      </c>
      <c r="BO79" s="402">
        <v>-15995.033056681685</v>
      </c>
      <c r="BP79" s="402">
        <v>135164.60000000003</v>
      </c>
      <c r="BQ79" s="402">
        <v>119169.56694331835</v>
      </c>
      <c r="BR79" s="402">
        <v>0</v>
      </c>
      <c r="BS79" s="402">
        <v>246368.09967359144</v>
      </c>
      <c r="BT79" s="402">
        <v>119169.56694331835</v>
      </c>
      <c r="BU79" s="402">
        <v>365537.66661690979</v>
      </c>
      <c r="BV79" s="402">
        <v>8534</v>
      </c>
      <c r="BW79" s="402">
        <v>0</v>
      </c>
      <c r="BX79" s="402">
        <v>0</v>
      </c>
      <c r="BY79" s="402">
        <v>8534</v>
      </c>
      <c r="BZ79" s="402">
        <v>0</v>
      </c>
      <c r="CA79" s="402">
        <v>18024</v>
      </c>
      <c r="CB79" s="402">
        <v>0</v>
      </c>
      <c r="CC79" s="402">
        <v>8534</v>
      </c>
      <c r="CD79" s="402">
        <v>26558</v>
      </c>
      <c r="CE79" s="402">
        <v>-18024</v>
      </c>
      <c r="CF79" s="402">
        <v>18024</v>
      </c>
      <c r="CG79" s="402">
        <v>0</v>
      </c>
      <c r="CH79" s="402">
        <f>VLOOKUP($B79,'Data - CFR 2024-25'!$B$4:$CJ$127,85,0)</f>
        <v>18024</v>
      </c>
      <c r="CI79" s="402">
        <f>VLOOKUP($B79,'Data - CFR 2024-25'!$B$4:$CJ$127,86,0)</f>
        <v>0</v>
      </c>
      <c r="CJ79" s="402">
        <f>VLOOKUP($B79,'Data - CFR 2024-25'!$B$4:$CJ$127,87,0)</f>
        <v>18024</v>
      </c>
    </row>
    <row r="80" spans="1:88" ht="13.8">
      <c r="A80" s="252" t="s">
        <v>1384</v>
      </c>
      <c r="B80" s="288">
        <v>2107</v>
      </c>
      <c r="C80" s="288" t="s">
        <v>784</v>
      </c>
      <c r="D80" s="248" t="s">
        <v>708</v>
      </c>
      <c r="E80" s="403"/>
      <c r="F80" s="402">
        <v>1999660.1737312393</v>
      </c>
      <c r="G80" s="402">
        <v>0</v>
      </c>
      <c r="H80" s="402">
        <v>96665</v>
      </c>
      <c r="I80" s="402">
        <v>0</v>
      </c>
      <c r="J80" s="402">
        <v>116870</v>
      </c>
      <c r="K80" s="402">
        <v>0</v>
      </c>
      <c r="L80" s="402">
        <v>0</v>
      </c>
      <c r="M80" s="402">
        <v>18800</v>
      </c>
      <c r="N80" s="402">
        <v>252000</v>
      </c>
      <c r="O80" s="402">
        <v>0</v>
      </c>
      <c r="P80" s="402">
        <v>0</v>
      </c>
      <c r="Q80" s="402">
        <v>0</v>
      </c>
      <c r="R80" s="402">
        <v>0</v>
      </c>
      <c r="S80" s="402">
        <v>2500</v>
      </c>
      <c r="T80" s="402">
        <v>0</v>
      </c>
      <c r="U80" s="402">
        <v>0</v>
      </c>
      <c r="V80" s="402">
        <v>0</v>
      </c>
      <c r="W80" s="402">
        <v>0</v>
      </c>
      <c r="X80" s="402">
        <v>81173</v>
      </c>
      <c r="Y80" s="402">
        <v>2567668.1737312395</v>
      </c>
      <c r="Z80" s="402">
        <v>1329280.9581750452</v>
      </c>
      <c r="AA80" s="402">
        <v>0</v>
      </c>
      <c r="AB80" s="402">
        <v>492769.52530268003</v>
      </c>
      <c r="AC80" s="402">
        <v>12619.779326678292</v>
      </c>
      <c r="AD80" s="402">
        <v>119039.78322043293</v>
      </c>
      <c r="AE80" s="402">
        <v>0</v>
      </c>
      <c r="AF80" s="402">
        <v>136335.83914815827</v>
      </c>
      <c r="AG80" s="402">
        <v>10530</v>
      </c>
      <c r="AH80" s="402">
        <v>5300</v>
      </c>
      <c r="AI80" s="402">
        <v>8115</v>
      </c>
      <c r="AJ80" s="402">
        <v>0</v>
      </c>
      <c r="AK80" s="402">
        <v>22966</v>
      </c>
      <c r="AL80" s="402">
        <v>1000</v>
      </c>
      <c r="AM80" s="402">
        <v>60000</v>
      </c>
      <c r="AN80" s="402">
        <v>3000</v>
      </c>
      <c r="AO80" s="402">
        <v>52500</v>
      </c>
      <c r="AP80" s="402">
        <v>0</v>
      </c>
      <c r="AQ80" s="402">
        <v>20315</v>
      </c>
      <c r="AR80" s="402">
        <v>39948</v>
      </c>
      <c r="AS80" s="402">
        <v>32347</v>
      </c>
      <c r="AT80" s="402">
        <v>0</v>
      </c>
      <c r="AU80" s="402">
        <v>15380</v>
      </c>
      <c r="AV80" s="402">
        <v>10600</v>
      </c>
      <c r="AW80" s="402">
        <v>3500</v>
      </c>
      <c r="AX80" s="402">
        <v>102028</v>
      </c>
      <c r="AY80" s="402">
        <v>15000</v>
      </c>
      <c r="AZ80" s="402">
        <v>22400</v>
      </c>
      <c r="BA80" s="402">
        <v>51904</v>
      </c>
      <c r="BB80" s="402">
        <v>0</v>
      </c>
      <c r="BC80" s="402">
        <v>0</v>
      </c>
      <c r="BD80" s="402">
        <v>0</v>
      </c>
      <c r="BE80" s="402">
        <v>2566878.8851729948</v>
      </c>
      <c r="BF80" s="402">
        <v>789.2885582447052</v>
      </c>
      <c r="BG80" s="402">
        <v>159145.73999999938</v>
      </c>
      <c r="BH80" s="402">
        <v>159935.02855824408</v>
      </c>
      <c r="BI80" s="402">
        <v>0</v>
      </c>
      <c r="BJ80" s="402">
        <v>0</v>
      </c>
      <c r="BK80" s="402">
        <v>0</v>
      </c>
      <c r="BL80" s="402">
        <v>0</v>
      </c>
      <c r="BM80" s="402">
        <v>0</v>
      </c>
      <c r="BN80" s="402">
        <v>0</v>
      </c>
      <c r="BO80" s="402">
        <v>0</v>
      </c>
      <c r="BP80" s="402">
        <v>0</v>
      </c>
      <c r="BQ80" s="402">
        <v>0</v>
      </c>
      <c r="BR80" s="402">
        <v>0</v>
      </c>
      <c r="BS80" s="402">
        <v>159935.02855824408</v>
      </c>
      <c r="BT80" s="402">
        <v>0</v>
      </c>
      <c r="BU80" s="402">
        <v>159935.02855824408</v>
      </c>
      <c r="BV80" s="402">
        <v>8388</v>
      </c>
      <c r="BW80" s="402">
        <v>0</v>
      </c>
      <c r="BX80" s="402">
        <v>0</v>
      </c>
      <c r="BY80" s="402">
        <v>8388</v>
      </c>
      <c r="BZ80" s="402">
        <v>0</v>
      </c>
      <c r="CA80" s="402">
        <v>25976.11</v>
      </c>
      <c r="CB80" s="402">
        <v>0</v>
      </c>
      <c r="CC80" s="402">
        <v>10000</v>
      </c>
      <c r="CD80" s="402">
        <v>35976.11</v>
      </c>
      <c r="CE80" s="402">
        <v>-27588.11</v>
      </c>
      <c r="CF80" s="402">
        <v>27588.109999999993</v>
      </c>
      <c r="CG80" s="402">
        <v>0</v>
      </c>
      <c r="CH80" s="402">
        <f>VLOOKUP($B80,'Data - CFR 2024-25'!$B$4:$CJ$127,85,0)</f>
        <v>26342.159999999996</v>
      </c>
      <c r="CI80" s="402">
        <f>VLOOKUP($B80,'Data - CFR 2024-25'!$B$4:$CJ$127,86,0)</f>
        <v>1245.9499999999971</v>
      </c>
      <c r="CJ80" s="402">
        <f>VLOOKUP($B80,'Data - CFR 2024-25'!$B$4:$CJ$127,87,0)</f>
        <v>27588.109999999993</v>
      </c>
    </row>
    <row r="81" spans="1:88" ht="13.8">
      <c r="A81" s="252" t="s">
        <v>1384</v>
      </c>
      <c r="B81" s="288">
        <v>2109</v>
      </c>
      <c r="C81" s="288" t="s">
        <v>785</v>
      </c>
      <c r="D81" s="248" t="s">
        <v>708</v>
      </c>
      <c r="E81" s="403"/>
      <c r="F81" s="402">
        <v>1141386.6577076248</v>
      </c>
      <c r="G81" s="402">
        <v>0</v>
      </c>
      <c r="H81" s="402">
        <v>22684.799999999999</v>
      </c>
      <c r="I81" s="402">
        <v>0</v>
      </c>
      <c r="J81" s="402">
        <v>23680</v>
      </c>
      <c r="K81" s="402">
        <v>58892</v>
      </c>
      <c r="L81" s="402">
        <v>0</v>
      </c>
      <c r="M81" s="402">
        <v>36000</v>
      </c>
      <c r="N81" s="402">
        <v>2600</v>
      </c>
      <c r="O81" s="402">
        <v>32000</v>
      </c>
      <c r="P81" s="402">
        <v>0</v>
      </c>
      <c r="Q81" s="402">
        <v>0</v>
      </c>
      <c r="R81" s="402">
        <v>0</v>
      </c>
      <c r="S81" s="402">
        <v>0</v>
      </c>
      <c r="T81" s="402">
        <v>0</v>
      </c>
      <c r="U81" s="402">
        <v>0</v>
      </c>
      <c r="V81" s="402">
        <v>0</v>
      </c>
      <c r="W81" s="402">
        <v>0</v>
      </c>
      <c r="X81" s="402">
        <v>0</v>
      </c>
      <c r="Y81" s="402">
        <v>1317243.4577076249</v>
      </c>
      <c r="Z81" s="402">
        <v>672222.71698752732</v>
      </c>
      <c r="AA81" s="402">
        <v>4000</v>
      </c>
      <c r="AB81" s="402">
        <v>231886.70734039467</v>
      </c>
      <c r="AC81" s="402">
        <v>60087.870680825363</v>
      </c>
      <c r="AD81" s="402">
        <v>72801.329553413467</v>
      </c>
      <c r="AE81" s="402">
        <v>52697.540402076716</v>
      </c>
      <c r="AF81" s="402">
        <v>20137.819080902806</v>
      </c>
      <c r="AG81" s="402">
        <v>3606</v>
      </c>
      <c r="AH81" s="402">
        <v>3500</v>
      </c>
      <c r="AI81" s="402">
        <v>5700</v>
      </c>
      <c r="AJ81" s="402">
        <v>375</v>
      </c>
      <c r="AK81" s="402">
        <v>11000</v>
      </c>
      <c r="AL81" s="402">
        <v>3500</v>
      </c>
      <c r="AM81" s="402">
        <v>3500</v>
      </c>
      <c r="AN81" s="402">
        <v>5500</v>
      </c>
      <c r="AO81" s="402">
        <v>32404</v>
      </c>
      <c r="AP81" s="402">
        <v>0</v>
      </c>
      <c r="AQ81" s="402">
        <v>5550</v>
      </c>
      <c r="AR81" s="402">
        <v>28710</v>
      </c>
      <c r="AS81" s="402">
        <v>30750</v>
      </c>
      <c r="AT81" s="402">
        <v>0</v>
      </c>
      <c r="AU81" s="402">
        <v>8770</v>
      </c>
      <c r="AV81" s="402">
        <v>6500</v>
      </c>
      <c r="AW81" s="402">
        <v>36</v>
      </c>
      <c r="AX81" s="402">
        <v>36000</v>
      </c>
      <c r="AY81" s="402">
        <v>0</v>
      </c>
      <c r="AZ81" s="402">
        <v>14500</v>
      </c>
      <c r="BA81" s="402">
        <v>15750</v>
      </c>
      <c r="BB81" s="402">
        <v>0</v>
      </c>
      <c r="BC81" s="402">
        <v>0</v>
      </c>
      <c r="BD81" s="402">
        <v>0</v>
      </c>
      <c r="BE81" s="402">
        <v>1329484.9840451402</v>
      </c>
      <c r="BF81" s="402">
        <v>-12241.52633751533</v>
      </c>
      <c r="BG81" s="402">
        <v>59794.429999999469</v>
      </c>
      <c r="BH81" s="402">
        <v>47552.903662484139</v>
      </c>
      <c r="BI81" s="402">
        <v>0</v>
      </c>
      <c r="BJ81" s="402">
        <v>0</v>
      </c>
      <c r="BK81" s="402">
        <v>0</v>
      </c>
      <c r="BL81" s="402">
        <v>0</v>
      </c>
      <c r="BM81" s="402">
        <v>0</v>
      </c>
      <c r="BN81" s="402">
        <v>0</v>
      </c>
      <c r="BO81" s="402">
        <v>0</v>
      </c>
      <c r="BP81" s="402">
        <v>0</v>
      </c>
      <c r="BQ81" s="402">
        <v>0</v>
      </c>
      <c r="BR81" s="402">
        <v>0</v>
      </c>
      <c r="BS81" s="402">
        <v>47552.903662484139</v>
      </c>
      <c r="BT81" s="402">
        <v>0</v>
      </c>
      <c r="BU81" s="402">
        <v>47552.903662484139</v>
      </c>
      <c r="BV81" s="402">
        <v>6464</v>
      </c>
      <c r="BW81" s="402">
        <v>0</v>
      </c>
      <c r="BX81" s="402">
        <v>0</v>
      </c>
      <c r="BY81" s="402">
        <v>6464</v>
      </c>
      <c r="BZ81" s="402">
        <v>0</v>
      </c>
      <c r="CA81" s="402">
        <v>6464</v>
      </c>
      <c r="CB81" s="402">
        <v>0</v>
      </c>
      <c r="CC81" s="402">
        <v>0</v>
      </c>
      <c r="CD81" s="402">
        <v>6464</v>
      </c>
      <c r="CE81" s="402">
        <v>0</v>
      </c>
      <c r="CF81" s="402">
        <v>1575.4700000000003</v>
      </c>
      <c r="CG81" s="402">
        <v>1575.4700000000003</v>
      </c>
      <c r="CH81" s="402">
        <f>VLOOKUP($B81,'Data - CFR 2024-25'!$B$4:$CJ$127,85,0)</f>
        <v>1575.4700000000003</v>
      </c>
      <c r="CI81" s="402">
        <f>VLOOKUP($B81,'Data - CFR 2024-25'!$B$4:$CJ$127,86,0)</f>
        <v>0</v>
      </c>
      <c r="CJ81" s="402">
        <f>VLOOKUP($B81,'Data - CFR 2024-25'!$B$4:$CJ$127,87,0)</f>
        <v>1575.4700000000003</v>
      </c>
    </row>
    <row r="82" spans="1:88" ht="13.8">
      <c r="A82" s="252" t="s">
        <v>1384</v>
      </c>
      <c r="B82" s="288">
        <v>3390</v>
      </c>
      <c r="C82" s="288" t="s">
        <v>786</v>
      </c>
      <c r="D82" s="248" t="s">
        <v>708</v>
      </c>
      <c r="E82" s="403"/>
      <c r="F82" s="402">
        <v>1180926.7347738617</v>
      </c>
      <c r="G82" s="402">
        <v>0</v>
      </c>
      <c r="H82" s="402">
        <v>100000</v>
      </c>
      <c r="I82" s="402">
        <v>0</v>
      </c>
      <c r="J82" s="402">
        <v>105202</v>
      </c>
      <c r="K82" s="402">
        <v>0</v>
      </c>
      <c r="L82" s="402">
        <v>0</v>
      </c>
      <c r="M82" s="402">
        <v>3710</v>
      </c>
      <c r="N82" s="402">
        <v>8657</v>
      </c>
      <c r="O82" s="402">
        <v>10660</v>
      </c>
      <c r="P82" s="402">
        <v>0</v>
      </c>
      <c r="Q82" s="402">
        <v>0</v>
      </c>
      <c r="R82" s="402">
        <v>1000</v>
      </c>
      <c r="S82" s="402">
        <v>0</v>
      </c>
      <c r="T82" s="402">
        <v>0</v>
      </c>
      <c r="U82" s="402">
        <v>0</v>
      </c>
      <c r="V82" s="402">
        <v>0</v>
      </c>
      <c r="W82" s="402">
        <v>0</v>
      </c>
      <c r="X82" s="402">
        <v>38175</v>
      </c>
      <c r="Y82" s="402">
        <v>1448330.7347738617</v>
      </c>
      <c r="Z82" s="402">
        <v>697416.14997365163</v>
      </c>
      <c r="AA82" s="402">
        <v>0</v>
      </c>
      <c r="AB82" s="402">
        <v>261346.24903591114</v>
      </c>
      <c r="AC82" s="402">
        <v>39563.930900221152</v>
      </c>
      <c r="AD82" s="402">
        <v>58419.108316926926</v>
      </c>
      <c r="AE82" s="402">
        <v>0</v>
      </c>
      <c r="AF82" s="402">
        <v>0</v>
      </c>
      <c r="AG82" s="402">
        <v>14655</v>
      </c>
      <c r="AH82" s="402">
        <v>4000</v>
      </c>
      <c r="AI82" s="402">
        <v>4325</v>
      </c>
      <c r="AJ82" s="402">
        <v>1290</v>
      </c>
      <c r="AK82" s="402">
        <v>20008</v>
      </c>
      <c r="AL82" s="402">
        <v>4500</v>
      </c>
      <c r="AM82" s="402">
        <v>12300</v>
      </c>
      <c r="AN82" s="402">
        <v>3500</v>
      </c>
      <c r="AO82" s="402">
        <v>40000</v>
      </c>
      <c r="AP82" s="402">
        <v>0</v>
      </c>
      <c r="AQ82" s="402">
        <v>7050</v>
      </c>
      <c r="AR82" s="402">
        <v>51988</v>
      </c>
      <c r="AS82" s="402">
        <v>34200</v>
      </c>
      <c r="AT82" s="402">
        <v>0</v>
      </c>
      <c r="AU82" s="402">
        <v>6660</v>
      </c>
      <c r="AV82" s="402">
        <v>5608.99</v>
      </c>
      <c r="AW82" s="402">
        <v>2000</v>
      </c>
      <c r="AX82" s="402">
        <v>75950</v>
      </c>
      <c r="AY82" s="402">
        <v>30000</v>
      </c>
      <c r="AZ82" s="402">
        <v>19800</v>
      </c>
      <c r="BA82" s="402">
        <v>21526</v>
      </c>
      <c r="BB82" s="402">
        <v>0</v>
      </c>
      <c r="BC82" s="402">
        <v>0</v>
      </c>
      <c r="BD82" s="402">
        <v>0</v>
      </c>
      <c r="BE82" s="402">
        <v>1416106.4282267108</v>
      </c>
      <c r="BF82" s="402">
        <v>32224.306547150947</v>
      </c>
      <c r="BG82" s="402">
        <v>-198.47000000061598</v>
      </c>
      <c r="BH82" s="402">
        <v>32025.836547150331</v>
      </c>
      <c r="BI82" s="402">
        <v>0</v>
      </c>
      <c r="BJ82" s="402">
        <v>0</v>
      </c>
      <c r="BK82" s="402">
        <v>0</v>
      </c>
      <c r="BL82" s="402">
        <v>0</v>
      </c>
      <c r="BM82" s="402">
        <v>0</v>
      </c>
      <c r="BN82" s="402">
        <v>0</v>
      </c>
      <c r="BO82" s="402">
        <v>0</v>
      </c>
      <c r="BP82" s="402">
        <v>0</v>
      </c>
      <c r="BQ82" s="402">
        <v>0</v>
      </c>
      <c r="BR82" s="402">
        <v>0</v>
      </c>
      <c r="BS82" s="402">
        <v>32025.836547150331</v>
      </c>
      <c r="BT82" s="402">
        <v>0</v>
      </c>
      <c r="BU82" s="402">
        <v>32025.836547150331</v>
      </c>
      <c r="BV82" s="402">
        <v>5800</v>
      </c>
      <c r="BW82" s="402">
        <v>0</v>
      </c>
      <c r="BX82" s="402">
        <v>0</v>
      </c>
      <c r="BY82" s="402">
        <v>5800</v>
      </c>
      <c r="BZ82" s="402">
        <v>0</v>
      </c>
      <c r="CA82" s="402">
        <v>0</v>
      </c>
      <c r="CB82" s="402">
        <v>0</v>
      </c>
      <c r="CC82" s="402">
        <v>5800</v>
      </c>
      <c r="CD82" s="402">
        <v>5800</v>
      </c>
      <c r="CE82" s="402">
        <v>0</v>
      </c>
      <c r="CF82" s="402">
        <v>10368.08</v>
      </c>
      <c r="CG82" s="402">
        <v>10368.08</v>
      </c>
      <c r="CH82" s="402">
        <f>VLOOKUP($B82,'Data - CFR 2024-25'!$B$4:$CJ$127,85,0)</f>
        <v>10368.08</v>
      </c>
      <c r="CI82" s="402">
        <f>VLOOKUP($B82,'Data - CFR 2024-25'!$B$4:$CJ$127,86,0)</f>
        <v>0</v>
      </c>
      <c r="CJ82" s="402">
        <f>VLOOKUP($B82,'Data - CFR 2024-25'!$B$4:$CJ$127,87,0)</f>
        <v>10368.08</v>
      </c>
    </row>
    <row r="83" spans="1:88" ht="13.8">
      <c r="A83" s="252" t="s">
        <v>1384</v>
      </c>
      <c r="B83" s="290">
        <v>2031</v>
      </c>
      <c r="C83" s="290" t="s">
        <v>787</v>
      </c>
      <c r="D83" s="248" t="s">
        <v>708</v>
      </c>
      <c r="E83" s="403"/>
      <c r="F83" s="402">
        <v>1077440.3899999999</v>
      </c>
      <c r="G83" s="402">
        <v>0</v>
      </c>
      <c r="H83" s="402">
        <v>48253</v>
      </c>
      <c r="I83" s="402">
        <v>0</v>
      </c>
      <c r="J83" s="402">
        <v>54040</v>
      </c>
      <c r="K83" s="402">
        <v>0</v>
      </c>
      <c r="L83" s="402">
        <v>0</v>
      </c>
      <c r="M83" s="402">
        <v>10120</v>
      </c>
      <c r="N83" s="402">
        <v>2650</v>
      </c>
      <c r="O83" s="402">
        <v>0</v>
      </c>
      <c r="P83" s="402">
        <v>0</v>
      </c>
      <c r="Q83" s="402">
        <v>0</v>
      </c>
      <c r="R83" s="402">
        <v>0</v>
      </c>
      <c r="S83" s="402">
        <v>0</v>
      </c>
      <c r="T83" s="402">
        <v>0</v>
      </c>
      <c r="U83" s="402">
        <v>0</v>
      </c>
      <c r="V83" s="402">
        <v>0</v>
      </c>
      <c r="W83" s="402">
        <v>0</v>
      </c>
      <c r="X83" s="402">
        <v>50671</v>
      </c>
      <c r="Y83" s="402">
        <v>1243174.3899999999</v>
      </c>
      <c r="Z83" s="402">
        <v>683638.45</v>
      </c>
      <c r="AA83" s="402">
        <v>38003</v>
      </c>
      <c r="AB83" s="402">
        <v>189675.28</v>
      </c>
      <c r="AC83" s="402">
        <v>11462.14</v>
      </c>
      <c r="AD83" s="402">
        <v>67839.58</v>
      </c>
      <c r="AE83" s="402">
        <v>0</v>
      </c>
      <c r="AF83" s="402">
        <v>24634.05</v>
      </c>
      <c r="AG83" s="402">
        <v>27030</v>
      </c>
      <c r="AH83" s="402">
        <v>3000</v>
      </c>
      <c r="AI83" s="402">
        <v>5125</v>
      </c>
      <c r="AJ83" s="402">
        <v>370</v>
      </c>
      <c r="AK83" s="402">
        <v>8500</v>
      </c>
      <c r="AL83" s="402">
        <v>3000</v>
      </c>
      <c r="AM83" s="402">
        <v>50060</v>
      </c>
      <c r="AN83" s="402">
        <v>20962.080000000002</v>
      </c>
      <c r="AO83" s="402">
        <v>29337</v>
      </c>
      <c r="AP83" s="402">
        <v>0</v>
      </c>
      <c r="AQ83" s="402">
        <v>18963</v>
      </c>
      <c r="AR83" s="402">
        <v>23545</v>
      </c>
      <c r="AS83" s="402">
        <v>30219</v>
      </c>
      <c r="AT83" s="402">
        <v>0</v>
      </c>
      <c r="AU83" s="402">
        <v>8141</v>
      </c>
      <c r="AV83" s="402">
        <v>5778</v>
      </c>
      <c r="AW83" s="402">
        <v>0</v>
      </c>
      <c r="AX83" s="402">
        <v>50100</v>
      </c>
      <c r="AY83" s="402">
        <v>0</v>
      </c>
      <c r="AZ83" s="402">
        <v>14236</v>
      </c>
      <c r="BA83" s="402">
        <v>20716</v>
      </c>
      <c r="BB83" s="402">
        <v>0</v>
      </c>
      <c r="BC83" s="402">
        <v>2052</v>
      </c>
      <c r="BD83" s="402">
        <v>5584</v>
      </c>
      <c r="BE83" s="402">
        <v>1341970.58</v>
      </c>
      <c r="BF83" s="402">
        <v>-98796.190000000177</v>
      </c>
      <c r="BG83" s="402">
        <v>-36563.860000000277</v>
      </c>
      <c r="BH83" s="402">
        <v>-135360.05000000045</v>
      </c>
      <c r="BI83" s="402">
        <v>0</v>
      </c>
      <c r="BJ83" s="402">
        <v>0</v>
      </c>
      <c r="BK83" s="402">
        <v>0</v>
      </c>
      <c r="BL83" s="402">
        <v>0</v>
      </c>
      <c r="BM83" s="402">
        <v>0</v>
      </c>
      <c r="BN83" s="402">
        <v>0</v>
      </c>
      <c r="BO83" s="402">
        <v>0</v>
      </c>
      <c r="BP83" s="402">
        <v>0</v>
      </c>
      <c r="BQ83" s="402">
        <v>0</v>
      </c>
      <c r="BR83" s="402">
        <v>0</v>
      </c>
      <c r="BS83" s="402">
        <v>-135360.05000000045</v>
      </c>
      <c r="BT83" s="402">
        <v>0</v>
      </c>
      <c r="BU83" s="402">
        <v>-135360.05000000045</v>
      </c>
      <c r="BV83" s="402">
        <v>6261</v>
      </c>
      <c r="BW83" s="402">
        <v>0</v>
      </c>
      <c r="BX83" s="402">
        <v>0</v>
      </c>
      <c r="BY83" s="402">
        <v>6261</v>
      </c>
      <c r="BZ83" s="402">
        <v>0</v>
      </c>
      <c r="CA83" s="402">
        <v>7996.18</v>
      </c>
      <c r="CB83" s="402">
        <v>0</v>
      </c>
      <c r="CC83" s="402">
        <v>11700</v>
      </c>
      <c r="CD83" s="402">
        <v>19696.18</v>
      </c>
      <c r="CE83" s="402">
        <v>-13435.18</v>
      </c>
      <c r="CF83" s="402">
        <v>13435.18</v>
      </c>
      <c r="CG83" s="402">
        <v>0</v>
      </c>
      <c r="CH83" s="402">
        <f>VLOOKUP($B83,'Data - CFR 2024-25'!$B$4:$CJ$127,85,0)</f>
        <v>13435.18</v>
      </c>
      <c r="CI83" s="402">
        <f>VLOOKUP($B83,'Data - CFR 2024-25'!$B$4:$CJ$127,86,0)</f>
        <v>0</v>
      </c>
      <c r="CJ83" s="402">
        <f>VLOOKUP($B83,'Data - CFR 2024-25'!$B$4:$CJ$127,87,0)</f>
        <v>13435.18</v>
      </c>
    </row>
    <row r="84" spans="1:88" ht="13.8">
      <c r="A84" s="252" t="s">
        <v>1384</v>
      </c>
      <c r="B84" s="288">
        <v>3350</v>
      </c>
      <c r="C84" s="288" t="s">
        <v>788</v>
      </c>
      <c r="D84" s="248" t="s">
        <v>708</v>
      </c>
      <c r="E84" s="403"/>
      <c r="F84" s="402">
        <v>699530</v>
      </c>
      <c r="G84" s="402">
        <v>0</v>
      </c>
      <c r="H84" s="402">
        <v>51368</v>
      </c>
      <c r="I84" s="402">
        <v>0</v>
      </c>
      <c r="J84" s="402">
        <v>21210</v>
      </c>
      <c r="K84" s="402">
        <v>0</v>
      </c>
      <c r="L84" s="402">
        <v>0</v>
      </c>
      <c r="M84" s="402">
        <v>0</v>
      </c>
      <c r="N84" s="402">
        <v>74500</v>
      </c>
      <c r="O84" s="402">
        <v>0</v>
      </c>
      <c r="P84" s="402">
        <v>2250</v>
      </c>
      <c r="Q84" s="402">
        <v>0</v>
      </c>
      <c r="R84" s="402">
        <v>0</v>
      </c>
      <c r="S84" s="402">
        <v>6016</v>
      </c>
      <c r="T84" s="402">
        <v>0</v>
      </c>
      <c r="U84" s="402">
        <v>0</v>
      </c>
      <c r="V84" s="402">
        <v>0</v>
      </c>
      <c r="W84" s="402">
        <v>0</v>
      </c>
      <c r="X84" s="402">
        <v>39149</v>
      </c>
      <c r="Y84" s="402">
        <v>894023</v>
      </c>
      <c r="Z84" s="402">
        <v>444774</v>
      </c>
      <c r="AA84" s="402">
        <v>0</v>
      </c>
      <c r="AB84" s="402">
        <v>194023</v>
      </c>
      <c r="AC84" s="402">
        <v>0</v>
      </c>
      <c r="AD84" s="402">
        <v>62462</v>
      </c>
      <c r="AE84" s="402">
        <v>0</v>
      </c>
      <c r="AF84" s="402">
        <v>15263</v>
      </c>
      <c r="AG84" s="402">
        <v>400</v>
      </c>
      <c r="AH84" s="402">
        <v>4300</v>
      </c>
      <c r="AI84" s="402">
        <v>7475</v>
      </c>
      <c r="AJ84" s="402">
        <v>737</v>
      </c>
      <c r="AK84" s="402">
        <v>6500</v>
      </c>
      <c r="AL84" s="402">
        <v>100</v>
      </c>
      <c r="AM84" s="402">
        <v>19556</v>
      </c>
      <c r="AN84" s="402">
        <v>1500</v>
      </c>
      <c r="AO84" s="402">
        <v>14000</v>
      </c>
      <c r="AP84" s="402">
        <v>0</v>
      </c>
      <c r="AQ84" s="402">
        <v>6485</v>
      </c>
      <c r="AR84" s="402">
        <v>41984</v>
      </c>
      <c r="AS84" s="402">
        <v>21900</v>
      </c>
      <c r="AT84" s="402">
        <v>0</v>
      </c>
      <c r="AU84" s="402">
        <v>7080</v>
      </c>
      <c r="AV84" s="402">
        <v>2444</v>
      </c>
      <c r="AW84" s="402">
        <v>0</v>
      </c>
      <c r="AX84" s="402">
        <v>30479</v>
      </c>
      <c r="AY84" s="402">
        <v>3000</v>
      </c>
      <c r="AZ84" s="402">
        <v>7497</v>
      </c>
      <c r="BA84" s="402">
        <v>16977</v>
      </c>
      <c r="BB84" s="402">
        <v>0</v>
      </c>
      <c r="BC84" s="402">
        <v>0</v>
      </c>
      <c r="BD84" s="402">
        <v>0</v>
      </c>
      <c r="BE84" s="402">
        <v>908936</v>
      </c>
      <c r="BF84" s="402">
        <v>-14913</v>
      </c>
      <c r="BG84" s="402">
        <v>67397</v>
      </c>
      <c r="BH84" s="402">
        <v>52484</v>
      </c>
      <c r="BI84" s="402">
        <v>0</v>
      </c>
      <c r="BJ84" s="402">
        <v>0</v>
      </c>
      <c r="BK84" s="402">
        <v>0</v>
      </c>
      <c r="BL84" s="402">
        <v>0</v>
      </c>
      <c r="BM84" s="402">
        <v>0</v>
      </c>
      <c r="BN84" s="402">
        <v>0</v>
      </c>
      <c r="BO84" s="402">
        <v>0</v>
      </c>
      <c r="BP84" s="402">
        <v>0</v>
      </c>
      <c r="BQ84" s="402">
        <v>0</v>
      </c>
      <c r="BR84" s="402">
        <v>0</v>
      </c>
      <c r="BS84" s="402">
        <v>52484</v>
      </c>
      <c r="BT84" s="402">
        <v>0</v>
      </c>
      <c r="BU84" s="402">
        <v>52484</v>
      </c>
      <c r="BV84" s="402">
        <v>0</v>
      </c>
      <c r="BW84" s="402">
        <v>0</v>
      </c>
      <c r="BX84" s="402">
        <v>0</v>
      </c>
      <c r="BY84" s="402">
        <v>0</v>
      </c>
      <c r="BZ84" s="402">
        <v>0</v>
      </c>
      <c r="CA84" s="402">
        <v>0</v>
      </c>
      <c r="CB84" s="402">
        <v>0</v>
      </c>
      <c r="CC84" s="402">
        <v>0</v>
      </c>
      <c r="CD84" s="402">
        <v>0</v>
      </c>
      <c r="CE84" s="402">
        <v>0</v>
      </c>
      <c r="CF84" s="402">
        <v>0</v>
      </c>
      <c r="CG84" s="402">
        <v>0</v>
      </c>
      <c r="CH84" s="402">
        <f>VLOOKUP($B84,'Data - CFR 2024-25'!$B$4:$CJ$127,85,0)</f>
        <v>0</v>
      </c>
      <c r="CI84" s="402">
        <f>VLOOKUP($B84,'Data - CFR 2024-25'!$B$4:$CJ$127,86,0)</f>
        <v>0</v>
      </c>
      <c r="CJ84" s="402">
        <f>VLOOKUP($B84,'Data - CFR 2024-25'!$B$4:$CJ$127,87,0)</f>
        <v>0</v>
      </c>
    </row>
    <row r="85" spans="1:88" ht="13.8">
      <c r="A85" s="252" t="s">
        <v>1384</v>
      </c>
      <c r="B85" s="288">
        <v>2033</v>
      </c>
      <c r="C85" s="288" t="s">
        <v>789</v>
      </c>
      <c r="D85" s="248" t="s">
        <v>708</v>
      </c>
      <c r="E85" s="403"/>
      <c r="F85" s="402">
        <v>1597366</v>
      </c>
      <c r="G85" s="402">
        <v>0</v>
      </c>
      <c r="H85" s="402">
        <v>77331</v>
      </c>
      <c r="I85" s="402">
        <v>0</v>
      </c>
      <c r="J85" s="402">
        <v>66145</v>
      </c>
      <c r="K85" s="402">
        <v>0</v>
      </c>
      <c r="L85" s="402">
        <v>0</v>
      </c>
      <c r="M85" s="402">
        <v>11200</v>
      </c>
      <c r="N85" s="402">
        <v>1800</v>
      </c>
      <c r="O85" s="402">
        <v>0</v>
      </c>
      <c r="P85" s="402">
        <v>0</v>
      </c>
      <c r="Q85" s="402">
        <v>0</v>
      </c>
      <c r="R85" s="402">
        <v>0</v>
      </c>
      <c r="S85" s="402">
        <v>0</v>
      </c>
      <c r="T85" s="402">
        <v>0</v>
      </c>
      <c r="U85" s="402">
        <v>0</v>
      </c>
      <c r="V85" s="402">
        <v>0</v>
      </c>
      <c r="W85" s="402">
        <v>0</v>
      </c>
      <c r="X85" s="402">
        <v>19169</v>
      </c>
      <c r="Y85" s="402">
        <v>1773011</v>
      </c>
      <c r="Z85" s="402">
        <v>1023374</v>
      </c>
      <c r="AA85" s="402">
        <v>4000</v>
      </c>
      <c r="AB85" s="402">
        <v>381001</v>
      </c>
      <c r="AC85" s="402">
        <v>59325</v>
      </c>
      <c r="AD85" s="402">
        <v>59576</v>
      </c>
      <c r="AE85" s="402">
        <v>0</v>
      </c>
      <c r="AF85" s="402">
        <v>21230</v>
      </c>
      <c r="AG85" s="402">
        <v>7390</v>
      </c>
      <c r="AH85" s="402">
        <v>10000</v>
      </c>
      <c r="AI85" s="402">
        <v>9000</v>
      </c>
      <c r="AJ85" s="402">
        <v>400</v>
      </c>
      <c r="AK85" s="402">
        <v>50000</v>
      </c>
      <c r="AL85" s="402">
        <v>4990</v>
      </c>
      <c r="AM85" s="402">
        <v>6000</v>
      </c>
      <c r="AN85" s="402">
        <v>6300</v>
      </c>
      <c r="AO85" s="402">
        <v>49500</v>
      </c>
      <c r="AP85" s="402">
        <v>0</v>
      </c>
      <c r="AQ85" s="402">
        <v>9900</v>
      </c>
      <c r="AR85" s="402">
        <v>30040</v>
      </c>
      <c r="AS85" s="402">
        <v>24370</v>
      </c>
      <c r="AT85" s="402">
        <v>0</v>
      </c>
      <c r="AU85" s="402">
        <v>20300</v>
      </c>
      <c r="AV85" s="402">
        <v>8500</v>
      </c>
      <c r="AW85" s="402">
        <v>0</v>
      </c>
      <c r="AX85" s="402">
        <v>49500</v>
      </c>
      <c r="AY85" s="402">
        <v>12100</v>
      </c>
      <c r="AZ85" s="402">
        <v>13070</v>
      </c>
      <c r="BA85" s="402">
        <v>33321</v>
      </c>
      <c r="BB85" s="402">
        <v>0</v>
      </c>
      <c r="BC85" s="402">
        <v>0</v>
      </c>
      <c r="BD85" s="402">
        <v>0</v>
      </c>
      <c r="BE85" s="402">
        <v>1893187</v>
      </c>
      <c r="BF85" s="402">
        <v>-120176</v>
      </c>
      <c r="BG85" s="402">
        <v>138959</v>
      </c>
      <c r="BH85" s="402">
        <v>18783</v>
      </c>
      <c r="BI85" s="402">
        <v>0</v>
      </c>
      <c r="BJ85" s="402">
        <v>100150</v>
      </c>
      <c r="BK85" s="402">
        <v>100150</v>
      </c>
      <c r="BL85" s="402">
        <v>101449</v>
      </c>
      <c r="BM85" s="402">
        <v>8626</v>
      </c>
      <c r="BN85" s="402">
        <v>110075</v>
      </c>
      <c r="BO85" s="402">
        <v>-9925</v>
      </c>
      <c r="BP85" s="402">
        <v>26167</v>
      </c>
      <c r="BQ85" s="402">
        <v>16242</v>
      </c>
      <c r="BR85" s="402">
        <v>0</v>
      </c>
      <c r="BS85" s="402">
        <v>18783</v>
      </c>
      <c r="BT85" s="402">
        <v>16242</v>
      </c>
      <c r="BU85" s="402">
        <v>35025</v>
      </c>
      <c r="BV85" s="402">
        <v>7836</v>
      </c>
      <c r="BW85" s="402">
        <v>0</v>
      </c>
      <c r="BX85" s="402">
        <v>0</v>
      </c>
      <c r="BY85" s="402">
        <v>7836</v>
      </c>
      <c r="BZ85" s="402">
        <v>0</v>
      </c>
      <c r="CA85" s="402">
        <v>0</v>
      </c>
      <c r="CB85" s="402">
        <v>0</v>
      </c>
      <c r="CC85" s="402">
        <v>7836</v>
      </c>
      <c r="CD85" s="402">
        <v>7836</v>
      </c>
      <c r="CE85" s="402">
        <v>0</v>
      </c>
      <c r="CF85" s="402">
        <v>19784</v>
      </c>
      <c r="CG85" s="402">
        <v>19784</v>
      </c>
      <c r="CH85" s="402">
        <f>VLOOKUP($B85,'Data - CFR 2024-25'!$B$4:$CJ$127,85,0)</f>
        <v>19784.160000000003</v>
      </c>
      <c r="CI85" s="402">
        <f>VLOOKUP($B85,'Data - CFR 2024-25'!$B$4:$CJ$127,86,0)</f>
        <v>0</v>
      </c>
      <c r="CJ85" s="402">
        <f>VLOOKUP($B85,'Data - CFR 2024-25'!$B$4:$CJ$127,87,0)</f>
        <v>19784.160000000003</v>
      </c>
    </row>
    <row r="86" spans="1:88" ht="13.8">
      <c r="A86" s="252" t="s">
        <v>1384</v>
      </c>
      <c r="B86" s="288">
        <v>3331</v>
      </c>
      <c r="C86" s="288" t="s">
        <v>790</v>
      </c>
      <c r="D86" s="248" t="s">
        <v>708</v>
      </c>
      <c r="E86" s="403"/>
      <c r="F86" s="402">
        <v>756916.45486116468</v>
      </c>
      <c r="G86" s="402">
        <v>0</v>
      </c>
      <c r="H86" s="402">
        <v>29356</v>
      </c>
      <c r="I86" s="402">
        <v>0</v>
      </c>
      <c r="J86" s="402">
        <v>36360</v>
      </c>
      <c r="K86" s="402">
        <v>0</v>
      </c>
      <c r="L86" s="402">
        <v>0</v>
      </c>
      <c r="M86" s="402">
        <v>4140</v>
      </c>
      <c r="N86" s="402">
        <v>7000</v>
      </c>
      <c r="O86" s="402">
        <v>0</v>
      </c>
      <c r="P86" s="402">
        <v>0</v>
      </c>
      <c r="Q86" s="402">
        <v>0</v>
      </c>
      <c r="R86" s="402">
        <v>30000</v>
      </c>
      <c r="S86" s="402">
        <v>0</v>
      </c>
      <c r="T86" s="402">
        <v>0</v>
      </c>
      <c r="U86" s="402">
        <v>0</v>
      </c>
      <c r="V86" s="402">
        <v>0</v>
      </c>
      <c r="W86" s="402">
        <v>0</v>
      </c>
      <c r="X86" s="402">
        <v>38508</v>
      </c>
      <c r="Y86" s="402">
        <v>902280.45486116468</v>
      </c>
      <c r="Z86" s="402">
        <v>509139.71750221332</v>
      </c>
      <c r="AA86" s="402">
        <v>1000</v>
      </c>
      <c r="AB86" s="402">
        <v>160513.06500386249</v>
      </c>
      <c r="AC86" s="402">
        <v>13932.264307941789</v>
      </c>
      <c r="AD86" s="402">
        <v>35976.535288085121</v>
      </c>
      <c r="AE86" s="402">
        <v>0</v>
      </c>
      <c r="AF86" s="402">
        <v>47024.200909302817</v>
      </c>
      <c r="AG86" s="402">
        <v>600</v>
      </c>
      <c r="AH86" s="402">
        <v>2500</v>
      </c>
      <c r="AI86" s="402">
        <v>4675</v>
      </c>
      <c r="AJ86" s="402">
        <v>800</v>
      </c>
      <c r="AK86" s="402">
        <v>2000</v>
      </c>
      <c r="AL86" s="402">
        <v>3350</v>
      </c>
      <c r="AM86" s="402">
        <v>2000</v>
      </c>
      <c r="AN86" s="402">
        <v>3500</v>
      </c>
      <c r="AO86" s="402">
        <v>16000</v>
      </c>
      <c r="AP86" s="402">
        <v>0</v>
      </c>
      <c r="AQ86" s="402">
        <v>5958</v>
      </c>
      <c r="AR86" s="402">
        <v>46937.93</v>
      </c>
      <c r="AS86" s="402">
        <v>20201.75</v>
      </c>
      <c r="AT86" s="402">
        <v>0</v>
      </c>
      <c r="AU86" s="402">
        <v>4330</v>
      </c>
      <c r="AV86" s="402">
        <v>5141</v>
      </c>
      <c r="AW86" s="402">
        <v>6640</v>
      </c>
      <c r="AX86" s="402">
        <v>34575</v>
      </c>
      <c r="AY86" s="402">
        <v>0</v>
      </c>
      <c r="AZ86" s="402">
        <v>13000</v>
      </c>
      <c r="BA86" s="402">
        <v>16448.02</v>
      </c>
      <c r="BB86" s="402">
        <v>0</v>
      </c>
      <c r="BC86" s="402">
        <v>0</v>
      </c>
      <c r="BD86" s="402">
        <v>1400</v>
      </c>
      <c r="BE86" s="402">
        <v>957642.48301140557</v>
      </c>
      <c r="BF86" s="402">
        <v>-55362.028150240891</v>
      </c>
      <c r="BG86" s="402">
        <v>57759.350000000151</v>
      </c>
      <c r="BH86" s="402">
        <v>2397.3218497592607</v>
      </c>
      <c r="BI86" s="402">
        <v>0</v>
      </c>
      <c r="BJ86" s="402">
        <v>0</v>
      </c>
      <c r="BK86" s="402">
        <v>0</v>
      </c>
      <c r="BL86" s="402">
        <v>0</v>
      </c>
      <c r="BM86" s="402">
        <v>0</v>
      </c>
      <c r="BN86" s="402">
        <v>0</v>
      </c>
      <c r="BO86" s="402">
        <v>0</v>
      </c>
      <c r="BP86" s="402">
        <v>0</v>
      </c>
      <c r="BQ86" s="402">
        <v>0</v>
      </c>
      <c r="BR86" s="402">
        <v>0</v>
      </c>
      <c r="BS86" s="402">
        <v>2397.3218497592607</v>
      </c>
      <c r="BT86" s="402">
        <v>0</v>
      </c>
      <c r="BU86" s="402">
        <v>2397.3218497592607</v>
      </c>
      <c r="BV86" s="402">
        <v>0</v>
      </c>
      <c r="BW86" s="402">
        <v>0</v>
      </c>
      <c r="BX86" s="402">
        <v>0</v>
      </c>
      <c r="BY86" s="402">
        <v>0</v>
      </c>
      <c r="BZ86" s="402">
        <v>0</v>
      </c>
      <c r="CA86" s="402">
        <v>0</v>
      </c>
      <c r="CB86" s="402">
        <v>0</v>
      </c>
      <c r="CC86" s="402">
        <v>0</v>
      </c>
      <c r="CD86" s="402">
        <v>0</v>
      </c>
      <c r="CE86" s="402">
        <v>0</v>
      </c>
      <c r="CF86" s="402">
        <v>0</v>
      </c>
      <c r="CG86" s="402">
        <v>0</v>
      </c>
      <c r="CH86" s="402">
        <f>VLOOKUP($B86,'Data - CFR 2024-25'!$B$4:$CJ$127,85,0)</f>
        <v>0</v>
      </c>
      <c r="CI86" s="402">
        <f>VLOOKUP($B86,'Data - CFR 2024-25'!$B$4:$CJ$127,86,0)</f>
        <v>0</v>
      </c>
      <c r="CJ86" s="402">
        <f>VLOOKUP($B86,'Data - CFR 2024-25'!$B$4:$CJ$127,87,0)</f>
        <v>0</v>
      </c>
    </row>
    <row r="87" spans="1:88" ht="13.8">
      <c r="A87" s="252" t="s">
        <v>1384</v>
      </c>
      <c r="B87" s="288">
        <v>2239</v>
      </c>
      <c r="C87" s="288" t="s">
        <v>791</v>
      </c>
      <c r="D87" s="248" t="s">
        <v>708</v>
      </c>
      <c r="E87" s="403"/>
      <c r="F87" s="402">
        <v>1561881</v>
      </c>
      <c r="G87" s="402">
        <v>0</v>
      </c>
      <c r="H87" s="402">
        <v>106427</v>
      </c>
      <c r="I87" s="402">
        <v>0</v>
      </c>
      <c r="J87" s="402">
        <v>142575</v>
      </c>
      <c r="K87" s="402">
        <v>0</v>
      </c>
      <c r="L87" s="402">
        <v>0</v>
      </c>
      <c r="M87" s="402">
        <v>3000</v>
      </c>
      <c r="N87" s="402">
        <v>69000</v>
      </c>
      <c r="O87" s="402">
        <v>0</v>
      </c>
      <c r="P87" s="402">
        <v>0</v>
      </c>
      <c r="Q87" s="402">
        <v>600</v>
      </c>
      <c r="R87" s="402">
        <v>4200</v>
      </c>
      <c r="S87" s="402">
        <v>0</v>
      </c>
      <c r="T87" s="402">
        <v>0</v>
      </c>
      <c r="U87" s="402">
        <v>0</v>
      </c>
      <c r="V87" s="402">
        <v>0</v>
      </c>
      <c r="W87" s="402">
        <v>0</v>
      </c>
      <c r="X87" s="402">
        <v>19168</v>
      </c>
      <c r="Y87" s="402">
        <v>1906851</v>
      </c>
      <c r="Z87" s="402">
        <v>989778</v>
      </c>
      <c r="AA87" s="402">
        <v>27000</v>
      </c>
      <c r="AB87" s="402">
        <v>337500</v>
      </c>
      <c r="AC87" s="402">
        <v>66189</v>
      </c>
      <c r="AD87" s="402">
        <v>76250</v>
      </c>
      <c r="AE87" s="402">
        <v>0</v>
      </c>
      <c r="AF87" s="402">
        <v>81556</v>
      </c>
      <c r="AG87" s="402">
        <v>7500</v>
      </c>
      <c r="AH87" s="402">
        <v>10000</v>
      </c>
      <c r="AI87" s="402">
        <v>7500</v>
      </c>
      <c r="AJ87" s="402">
        <v>2319</v>
      </c>
      <c r="AK87" s="402">
        <v>30000</v>
      </c>
      <c r="AL87" s="402">
        <v>2400</v>
      </c>
      <c r="AM87" s="402">
        <v>6000</v>
      </c>
      <c r="AN87" s="402">
        <v>7000</v>
      </c>
      <c r="AO87" s="402">
        <v>38000</v>
      </c>
      <c r="AP87" s="402">
        <v>0</v>
      </c>
      <c r="AQ87" s="402">
        <v>10200</v>
      </c>
      <c r="AR87" s="402">
        <v>112299</v>
      </c>
      <c r="AS87" s="402">
        <v>54891</v>
      </c>
      <c r="AT87" s="402">
        <v>0</v>
      </c>
      <c r="AU87" s="402">
        <v>13014</v>
      </c>
      <c r="AV87" s="402">
        <v>8198</v>
      </c>
      <c r="AW87" s="402">
        <v>4500</v>
      </c>
      <c r="AX87" s="402">
        <v>70380</v>
      </c>
      <c r="AY87" s="402">
        <v>0</v>
      </c>
      <c r="AZ87" s="402">
        <v>13396</v>
      </c>
      <c r="BA87" s="402">
        <v>22322</v>
      </c>
      <c r="BB87" s="402">
        <v>0</v>
      </c>
      <c r="BC87" s="402">
        <v>0</v>
      </c>
      <c r="BD87" s="402">
        <v>20000</v>
      </c>
      <c r="BE87" s="402">
        <v>2018193</v>
      </c>
      <c r="BF87" s="402">
        <v>-111341</v>
      </c>
      <c r="BG87" s="402">
        <v>342375</v>
      </c>
      <c r="BH87" s="402">
        <v>231034</v>
      </c>
      <c r="BI87" s="402">
        <v>0</v>
      </c>
      <c r="BJ87" s="402">
        <v>0</v>
      </c>
      <c r="BK87" s="402">
        <v>0</v>
      </c>
      <c r="BL87" s="402">
        <v>0</v>
      </c>
      <c r="BM87" s="402">
        <v>0</v>
      </c>
      <c r="BN87" s="402">
        <v>0</v>
      </c>
      <c r="BO87" s="402">
        <v>0</v>
      </c>
      <c r="BP87" s="402">
        <v>0</v>
      </c>
      <c r="BQ87" s="402">
        <v>0</v>
      </c>
      <c r="BR87" s="402">
        <v>0</v>
      </c>
      <c r="BS87" s="402">
        <v>231034</v>
      </c>
      <c r="BT87" s="402">
        <v>0</v>
      </c>
      <c r="BU87" s="402">
        <v>231034</v>
      </c>
      <c r="BV87" s="402">
        <v>7701</v>
      </c>
      <c r="BW87" s="402">
        <v>0</v>
      </c>
      <c r="BX87" s="402">
        <v>0</v>
      </c>
      <c r="BY87" s="402">
        <v>7701</v>
      </c>
      <c r="BZ87" s="402">
        <v>0</v>
      </c>
      <c r="CA87" s="402">
        <v>7701</v>
      </c>
      <c r="CB87" s="402">
        <v>0</v>
      </c>
      <c r="CC87" s="402">
        <v>0</v>
      </c>
      <c r="CD87" s="402">
        <v>7701</v>
      </c>
      <c r="CE87" s="402">
        <v>0</v>
      </c>
      <c r="CF87" s="402">
        <v>18516</v>
      </c>
      <c r="CG87" s="402">
        <v>18516</v>
      </c>
      <c r="CH87" s="402">
        <f>VLOOKUP($B87,'Data - CFR 2024-25'!$B$4:$CJ$127,85,0)</f>
        <v>18516.259999999998</v>
      </c>
      <c r="CI87" s="402">
        <f>VLOOKUP($B87,'Data - CFR 2024-25'!$B$4:$CJ$127,86,0)</f>
        <v>0</v>
      </c>
      <c r="CJ87" s="402">
        <f>VLOOKUP($B87,'Data - CFR 2024-25'!$B$4:$CJ$127,87,0)</f>
        <v>18516.259999999998</v>
      </c>
    </row>
    <row r="88" spans="1:88" ht="13.8">
      <c r="A88" s="252" t="s">
        <v>1384</v>
      </c>
      <c r="B88" s="288">
        <v>2219</v>
      </c>
      <c r="C88" s="288" t="s">
        <v>792</v>
      </c>
      <c r="D88" s="248" t="s">
        <v>708</v>
      </c>
      <c r="E88" s="403"/>
      <c r="F88" s="402">
        <v>1051443</v>
      </c>
      <c r="G88" s="402">
        <v>0</v>
      </c>
      <c r="H88" s="402">
        <v>39384</v>
      </c>
      <c r="I88" s="402">
        <v>0</v>
      </c>
      <c r="J88" s="402">
        <v>52225</v>
      </c>
      <c r="K88" s="402">
        <v>0</v>
      </c>
      <c r="L88" s="402">
        <v>0</v>
      </c>
      <c r="M88" s="402">
        <v>3000</v>
      </c>
      <c r="N88" s="402">
        <v>9000</v>
      </c>
      <c r="O88" s="402">
        <v>600</v>
      </c>
      <c r="P88" s="402">
        <v>0</v>
      </c>
      <c r="Q88" s="402">
        <v>0</v>
      </c>
      <c r="R88" s="402">
        <v>0</v>
      </c>
      <c r="S88" s="402">
        <v>1000</v>
      </c>
      <c r="T88" s="402">
        <v>0</v>
      </c>
      <c r="U88" s="402">
        <v>0</v>
      </c>
      <c r="V88" s="402">
        <v>0</v>
      </c>
      <c r="W88" s="402">
        <v>0</v>
      </c>
      <c r="X88" s="402">
        <v>90859</v>
      </c>
      <c r="Y88" s="402">
        <v>1247511</v>
      </c>
      <c r="Z88" s="402">
        <v>686620</v>
      </c>
      <c r="AA88" s="402">
        <v>13000</v>
      </c>
      <c r="AB88" s="402">
        <v>355948</v>
      </c>
      <c r="AC88" s="402">
        <v>45238</v>
      </c>
      <c r="AD88" s="402">
        <v>66645</v>
      </c>
      <c r="AE88" s="402">
        <v>0</v>
      </c>
      <c r="AF88" s="402">
        <v>14057</v>
      </c>
      <c r="AG88" s="402">
        <v>15850</v>
      </c>
      <c r="AH88" s="402">
        <v>5000</v>
      </c>
      <c r="AI88" s="402">
        <v>5275</v>
      </c>
      <c r="AJ88" s="402">
        <v>100</v>
      </c>
      <c r="AK88" s="402">
        <v>10000</v>
      </c>
      <c r="AL88" s="402">
        <v>3750</v>
      </c>
      <c r="AM88" s="402">
        <v>4500</v>
      </c>
      <c r="AN88" s="402">
        <v>19000</v>
      </c>
      <c r="AO88" s="402">
        <v>37000</v>
      </c>
      <c r="AP88" s="402">
        <v>0</v>
      </c>
      <c r="AQ88" s="402">
        <v>7100</v>
      </c>
      <c r="AR88" s="402">
        <v>22050</v>
      </c>
      <c r="AS88" s="402">
        <v>48874</v>
      </c>
      <c r="AT88" s="402">
        <v>0</v>
      </c>
      <c r="AU88" s="402">
        <v>6310</v>
      </c>
      <c r="AV88" s="402">
        <v>5783</v>
      </c>
      <c r="AW88" s="402">
        <v>0</v>
      </c>
      <c r="AX88" s="402">
        <v>90726</v>
      </c>
      <c r="AY88" s="402">
        <v>0</v>
      </c>
      <c r="AZ88" s="402">
        <v>0</v>
      </c>
      <c r="BA88" s="402">
        <v>19150</v>
      </c>
      <c r="BB88" s="402">
        <v>0</v>
      </c>
      <c r="BC88" s="402">
        <v>0</v>
      </c>
      <c r="BD88" s="402">
        <v>60000</v>
      </c>
      <c r="BE88" s="402">
        <v>1541976</v>
      </c>
      <c r="BF88" s="402">
        <v>-294465</v>
      </c>
      <c r="BG88" s="402">
        <v>332952</v>
      </c>
      <c r="BH88" s="402">
        <v>38487</v>
      </c>
      <c r="BI88" s="402">
        <v>230000</v>
      </c>
      <c r="BJ88" s="402">
        <v>32000</v>
      </c>
      <c r="BK88" s="402">
        <v>262000</v>
      </c>
      <c r="BL88" s="402">
        <v>278124</v>
      </c>
      <c r="BM88" s="402">
        <v>48650</v>
      </c>
      <c r="BN88" s="402">
        <v>326774</v>
      </c>
      <c r="BO88" s="402">
        <v>-64774</v>
      </c>
      <c r="BP88" s="402">
        <v>178331</v>
      </c>
      <c r="BQ88" s="402">
        <v>113557</v>
      </c>
      <c r="BR88" s="402">
        <v>0</v>
      </c>
      <c r="BS88" s="402">
        <v>38487</v>
      </c>
      <c r="BT88" s="402">
        <v>113557</v>
      </c>
      <c r="BU88" s="402">
        <v>152044</v>
      </c>
      <c r="BV88" s="402">
        <v>6306</v>
      </c>
      <c r="BW88" s="402">
        <v>0</v>
      </c>
      <c r="BX88" s="402">
        <v>0</v>
      </c>
      <c r="BY88" s="402">
        <v>6306</v>
      </c>
      <c r="BZ88" s="402">
        <v>0</v>
      </c>
      <c r="CA88" s="402">
        <v>6306</v>
      </c>
      <c r="CB88" s="402">
        <v>0</v>
      </c>
      <c r="CC88" s="402">
        <v>0</v>
      </c>
      <c r="CD88" s="402">
        <v>6306</v>
      </c>
      <c r="CE88" s="402">
        <v>0</v>
      </c>
      <c r="CF88" s="402">
        <v>0</v>
      </c>
      <c r="CG88" s="402">
        <v>0</v>
      </c>
      <c r="CH88" s="402">
        <f>VLOOKUP($B88,'Data - CFR 2024-25'!$B$4:$CJ$127,85,0)</f>
        <v>0</v>
      </c>
      <c r="CI88" s="402">
        <f>VLOOKUP($B88,'Data - CFR 2024-25'!$B$4:$CJ$127,86,0)</f>
        <v>0</v>
      </c>
      <c r="CJ88" s="402">
        <f>VLOOKUP($B88,'Data - CFR 2024-25'!$B$4:$CJ$127,87,0)</f>
        <v>0</v>
      </c>
    </row>
    <row r="89" spans="1:88" ht="13.8">
      <c r="A89" s="252" t="s">
        <v>1384</v>
      </c>
      <c r="B89" s="288">
        <v>2333</v>
      </c>
      <c r="C89" s="288" t="s">
        <v>793</v>
      </c>
      <c r="D89" s="248" t="s">
        <v>708</v>
      </c>
      <c r="E89" s="403"/>
      <c r="F89" s="402">
        <v>1849941.1333850326</v>
      </c>
      <c r="G89" s="402">
        <v>0</v>
      </c>
      <c r="H89" s="402">
        <v>139711</v>
      </c>
      <c r="I89" s="402">
        <v>0</v>
      </c>
      <c r="J89" s="402">
        <v>113625</v>
      </c>
      <c r="K89" s="402">
        <v>0</v>
      </c>
      <c r="L89" s="402">
        <v>0</v>
      </c>
      <c r="M89" s="402">
        <v>44241</v>
      </c>
      <c r="N89" s="402">
        <v>91620</v>
      </c>
      <c r="O89" s="402">
        <v>0</v>
      </c>
      <c r="P89" s="402">
        <v>0</v>
      </c>
      <c r="Q89" s="402">
        <v>0</v>
      </c>
      <c r="R89" s="402">
        <v>0</v>
      </c>
      <c r="S89" s="402">
        <v>0</v>
      </c>
      <c r="T89" s="402">
        <v>0</v>
      </c>
      <c r="U89" s="402">
        <v>0</v>
      </c>
      <c r="V89" s="402">
        <v>0</v>
      </c>
      <c r="W89" s="402">
        <v>0</v>
      </c>
      <c r="X89" s="402">
        <v>82865</v>
      </c>
      <c r="Y89" s="402">
        <v>2322003.1333850324</v>
      </c>
      <c r="Z89" s="402">
        <v>1296664.0995818865</v>
      </c>
      <c r="AA89" s="402">
        <v>18160</v>
      </c>
      <c r="AB89" s="402">
        <v>424261.2610868552</v>
      </c>
      <c r="AC89" s="402">
        <v>87998.198710337776</v>
      </c>
      <c r="AD89" s="402">
        <v>131305.38359646653</v>
      </c>
      <c r="AE89" s="402">
        <v>0</v>
      </c>
      <c r="AF89" s="402">
        <v>120129.88263411776</v>
      </c>
      <c r="AG89" s="402">
        <v>990</v>
      </c>
      <c r="AH89" s="402">
        <v>2750</v>
      </c>
      <c r="AI89" s="402">
        <v>11108</v>
      </c>
      <c r="AJ89" s="402">
        <v>2675</v>
      </c>
      <c r="AK89" s="402">
        <v>20000</v>
      </c>
      <c r="AL89" s="402">
        <v>7500</v>
      </c>
      <c r="AM89" s="402">
        <v>5000</v>
      </c>
      <c r="AN89" s="402">
        <v>3000</v>
      </c>
      <c r="AO89" s="402">
        <v>68970</v>
      </c>
      <c r="AP89" s="402">
        <v>0</v>
      </c>
      <c r="AQ89" s="402">
        <v>9700</v>
      </c>
      <c r="AR89" s="402">
        <v>19580</v>
      </c>
      <c r="AS89" s="402">
        <v>37533</v>
      </c>
      <c r="AT89" s="402">
        <v>0</v>
      </c>
      <c r="AU89" s="402">
        <v>10332</v>
      </c>
      <c r="AV89" s="402">
        <v>10090</v>
      </c>
      <c r="AW89" s="402">
        <v>0</v>
      </c>
      <c r="AX89" s="402">
        <v>86800</v>
      </c>
      <c r="AY89" s="402">
        <v>10000</v>
      </c>
      <c r="AZ89" s="402">
        <v>32850</v>
      </c>
      <c r="BA89" s="402">
        <v>15874.5</v>
      </c>
      <c r="BB89" s="402">
        <v>0</v>
      </c>
      <c r="BC89" s="402">
        <v>1896.07</v>
      </c>
      <c r="BD89" s="402">
        <v>4445</v>
      </c>
      <c r="BE89" s="402">
        <v>2439612.3956096633</v>
      </c>
      <c r="BF89" s="402">
        <v>-117609.26222463092</v>
      </c>
      <c r="BG89" s="402">
        <v>176505.36000000054</v>
      </c>
      <c r="BH89" s="402">
        <v>58896.097775369621</v>
      </c>
      <c r="BI89" s="402">
        <v>0</v>
      </c>
      <c r="BJ89" s="402">
        <v>18927</v>
      </c>
      <c r="BK89" s="402">
        <v>18927</v>
      </c>
      <c r="BL89" s="402">
        <v>118554.39339201042</v>
      </c>
      <c r="BM89" s="402">
        <v>6470.5</v>
      </c>
      <c r="BN89" s="402">
        <v>125024.89339201042</v>
      </c>
      <c r="BO89" s="402">
        <v>-106097.89339201042</v>
      </c>
      <c r="BP89" s="402">
        <v>0</v>
      </c>
      <c r="BQ89" s="402">
        <v>-106097.89339201042</v>
      </c>
      <c r="BR89" s="402">
        <v>0</v>
      </c>
      <c r="BS89" s="402">
        <v>58896.097775369621</v>
      </c>
      <c r="BT89" s="402">
        <v>-106097.89339201042</v>
      </c>
      <c r="BU89" s="402">
        <v>-47201.795616640797</v>
      </c>
      <c r="BV89" s="402">
        <v>8488</v>
      </c>
      <c r="BW89" s="402">
        <v>0</v>
      </c>
      <c r="BX89" s="402">
        <v>0</v>
      </c>
      <c r="BY89" s="402">
        <v>8488</v>
      </c>
      <c r="BZ89" s="402">
        <v>0</v>
      </c>
      <c r="CA89" s="402">
        <v>9490</v>
      </c>
      <c r="CB89" s="402">
        <v>0</v>
      </c>
      <c r="CC89" s="402">
        <v>9930</v>
      </c>
      <c r="CD89" s="402">
        <v>19420</v>
      </c>
      <c r="CE89" s="402">
        <v>-10932</v>
      </c>
      <c r="CF89" s="402">
        <v>32962.28</v>
      </c>
      <c r="CG89" s="402">
        <v>22030.28</v>
      </c>
      <c r="CH89" s="402">
        <f>VLOOKUP($B89,'Data - CFR 2024-25'!$B$4:$CJ$127,85,0)</f>
        <v>32962.479999999996</v>
      </c>
      <c r="CI89" s="402">
        <f>VLOOKUP($B89,'Data - CFR 2024-25'!$B$4:$CJ$127,86,0)</f>
        <v>0</v>
      </c>
      <c r="CJ89" s="402">
        <f>VLOOKUP($B89,'Data - CFR 2024-25'!$B$4:$CJ$127,87,0)</f>
        <v>32962.479999999996</v>
      </c>
    </row>
    <row r="90" spans="1:88" ht="13.8">
      <c r="A90" s="252" t="s">
        <v>1384</v>
      </c>
      <c r="B90" s="288">
        <v>3946</v>
      </c>
      <c r="C90" s="288" t="s">
        <v>794</v>
      </c>
      <c r="D90" s="248" t="s">
        <v>708</v>
      </c>
      <c r="E90" s="403"/>
      <c r="F90" s="402">
        <v>1987626.7041128001</v>
      </c>
      <c r="G90" s="402">
        <v>0</v>
      </c>
      <c r="H90" s="402">
        <v>156666</v>
      </c>
      <c r="I90" s="402">
        <v>0</v>
      </c>
      <c r="J90" s="402">
        <v>128775</v>
      </c>
      <c r="K90" s="402">
        <v>0</v>
      </c>
      <c r="L90" s="402">
        <v>0</v>
      </c>
      <c r="M90" s="402">
        <v>37058</v>
      </c>
      <c r="N90" s="402">
        <v>221947</v>
      </c>
      <c r="O90" s="402">
        <v>0</v>
      </c>
      <c r="P90" s="402">
        <v>0</v>
      </c>
      <c r="Q90" s="402">
        <v>0</v>
      </c>
      <c r="R90" s="402">
        <v>0</v>
      </c>
      <c r="S90" s="402">
        <v>0</v>
      </c>
      <c r="T90" s="402">
        <v>0</v>
      </c>
      <c r="U90" s="402">
        <v>0</v>
      </c>
      <c r="V90" s="402">
        <v>0</v>
      </c>
      <c r="W90" s="402">
        <v>0</v>
      </c>
      <c r="X90" s="402">
        <v>62637</v>
      </c>
      <c r="Y90" s="402">
        <v>2594709.7041127998</v>
      </c>
      <c r="Z90" s="402">
        <v>1189462.4169936702</v>
      </c>
      <c r="AA90" s="402">
        <v>20100</v>
      </c>
      <c r="AB90" s="402">
        <v>497615.29134920071</v>
      </c>
      <c r="AC90" s="402">
        <v>104923.15506064463</v>
      </c>
      <c r="AD90" s="402">
        <v>157301.32953064053</v>
      </c>
      <c r="AE90" s="402">
        <v>0</v>
      </c>
      <c r="AF90" s="402">
        <v>301138.9317373326</v>
      </c>
      <c r="AG90" s="402">
        <v>1055</v>
      </c>
      <c r="AH90" s="402">
        <v>2750</v>
      </c>
      <c r="AI90" s="402">
        <v>10800</v>
      </c>
      <c r="AJ90" s="402">
        <v>3545</v>
      </c>
      <c r="AK90" s="402">
        <v>20000</v>
      </c>
      <c r="AL90" s="402">
        <v>7500</v>
      </c>
      <c r="AM90" s="402">
        <v>5000</v>
      </c>
      <c r="AN90" s="402">
        <v>7500</v>
      </c>
      <c r="AO90" s="402">
        <v>88386</v>
      </c>
      <c r="AP90" s="402">
        <v>0</v>
      </c>
      <c r="AQ90" s="402">
        <v>7775</v>
      </c>
      <c r="AR90" s="402">
        <v>18260</v>
      </c>
      <c r="AS90" s="402">
        <v>36683</v>
      </c>
      <c r="AT90" s="402">
        <v>0</v>
      </c>
      <c r="AU90" s="402">
        <v>10284</v>
      </c>
      <c r="AV90" s="402">
        <v>10285</v>
      </c>
      <c r="AW90" s="402">
        <v>0</v>
      </c>
      <c r="AX90" s="402">
        <v>84885</v>
      </c>
      <c r="AY90" s="402">
        <v>26325</v>
      </c>
      <c r="AZ90" s="402">
        <v>35800</v>
      </c>
      <c r="BA90" s="402">
        <v>17316</v>
      </c>
      <c r="BB90" s="402">
        <v>0</v>
      </c>
      <c r="BC90" s="402">
        <v>2637</v>
      </c>
      <c r="BD90" s="402">
        <v>8657</v>
      </c>
      <c r="BE90" s="402">
        <v>2675984.124671489</v>
      </c>
      <c r="BF90" s="402">
        <v>-81274.420558689162</v>
      </c>
      <c r="BG90" s="402">
        <v>-468387.19000000029</v>
      </c>
      <c r="BH90" s="402">
        <v>-549661.61055868946</v>
      </c>
      <c r="BI90" s="402">
        <v>0</v>
      </c>
      <c r="BJ90" s="402">
        <v>0</v>
      </c>
      <c r="BK90" s="402">
        <v>0</v>
      </c>
      <c r="BL90" s="402">
        <v>6900</v>
      </c>
      <c r="BM90" s="402">
        <v>3831</v>
      </c>
      <c r="BN90" s="402">
        <v>10731</v>
      </c>
      <c r="BO90" s="402">
        <v>-10731</v>
      </c>
      <c r="BP90" s="402">
        <v>0</v>
      </c>
      <c r="BQ90" s="402">
        <v>-10731</v>
      </c>
      <c r="BR90" s="402">
        <v>0</v>
      </c>
      <c r="BS90" s="402">
        <v>-549661.61055868946</v>
      </c>
      <c r="BT90" s="402">
        <v>-10731</v>
      </c>
      <c r="BU90" s="402">
        <v>-560392.61055868946</v>
      </c>
      <c r="BV90" s="402">
        <v>8567</v>
      </c>
      <c r="BW90" s="402">
        <v>0</v>
      </c>
      <c r="BX90" s="402">
        <v>0</v>
      </c>
      <c r="BY90" s="402">
        <v>8567</v>
      </c>
      <c r="BZ90" s="402">
        <v>0</v>
      </c>
      <c r="CA90" s="402">
        <v>8567</v>
      </c>
      <c r="CB90" s="402">
        <v>0</v>
      </c>
      <c r="CC90" s="402">
        <v>6500</v>
      </c>
      <c r="CD90" s="402">
        <v>15067</v>
      </c>
      <c r="CE90" s="402">
        <v>-6500</v>
      </c>
      <c r="CF90" s="402">
        <v>47145.63</v>
      </c>
      <c r="CG90" s="402">
        <v>40645.629999999997</v>
      </c>
      <c r="CH90" s="402">
        <f>VLOOKUP($B90,'Data - CFR 2024-25'!$B$4:$CJ$127,85,0)</f>
        <v>47145.75</v>
      </c>
      <c r="CI90" s="402">
        <f>VLOOKUP($B90,'Data - CFR 2024-25'!$B$4:$CJ$127,86,0)</f>
        <v>0</v>
      </c>
      <c r="CJ90" s="402">
        <f>VLOOKUP($B90,'Data - CFR 2024-25'!$B$4:$CJ$127,87,0)</f>
        <v>47145.75</v>
      </c>
    </row>
    <row r="91" spans="1:88" ht="13.8">
      <c r="A91" s="252" t="s">
        <v>1384</v>
      </c>
      <c r="B91" s="288">
        <v>2453</v>
      </c>
      <c r="C91" s="288" t="s">
        <v>795</v>
      </c>
      <c r="D91" s="248" t="s">
        <v>708</v>
      </c>
      <c r="E91" s="403"/>
      <c r="F91" s="402">
        <v>1156530</v>
      </c>
      <c r="G91" s="402">
        <v>0</v>
      </c>
      <c r="H91" s="402">
        <v>117091</v>
      </c>
      <c r="I91" s="402">
        <v>0</v>
      </c>
      <c r="J91" s="402">
        <v>77980</v>
      </c>
      <c r="K91" s="402">
        <v>0</v>
      </c>
      <c r="L91" s="402">
        <v>0</v>
      </c>
      <c r="M91" s="402">
        <v>15000</v>
      </c>
      <c r="N91" s="402">
        <v>13000</v>
      </c>
      <c r="O91" s="402">
        <v>0</v>
      </c>
      <c r="P91" s="402">
        <v>0</v>
      </c>
      <c r="Q91" s="402">
        <v>0</v>
      </c>
      <c r="R91" s="402">
        <v>0</v>
      </c>
      <c r="S91" s="402">
        <v>2000</v>
      </c>
      <c r="T91" s="402">
        <v>0</v>
      </c>
      <c r="U91" s="402">
        <v>0</v>
      </c>
      <c r="V91" s="402">
        <v>0</v>
      </c>
      <c r="W91" s="402">
        <v>0</v>
      </c>
      <c r="X91" s="402">
        <v>48485</v>
      </c>
      <c r="Y91" s="402">
        <v>1430086</v>
      </c>
      <c r="Z91" s="402">
        <v>707092</v>
      </c>
      <c r="AA91" s="402">
        <v>2000</v>
      </c>
      <c r="AB91" s="402">
        <v>351477</v>
      </c>
      <c r="AC91" s="402">
        <v>5156</v>
      </c>
      <c r="AD91" s="402">
        <v>49279</v>
      </c>
      <c r="AE91" s="402">
        <v>0</v>
      </c>
      <c r="AF91" s="402">
        <v>33466</v>
      </c>
      <c r="AG91" s="402">
        <v>500</v>
      </c>
      <c r="AH91" s="402">
        <v>5000</v>
      </c>
      <c r="AI91" s="402">
        <v>5500</v>
      </c>
      <c r="AJ91" s="402">
        <v>2500</v>
      </c>
      <c r="AK91" s="402">
        <v>15000</v>
      </c>
      <c r="AL91" s="402">
        <v>1000</v>
      </c>
      <c r="AM91" s="402">
        <v>28432</v>
      </c>
      <c r="AN91" s="402">
        <v>4000</v>
      </c>
      <c r="AO91" s="402">
        <v>40000</v>
      </c>
      <c r="AP91" s="402">
        <v>0</v>
      </c>
      <c r="AQ91" s="402">
        <v>7200</v>
      </c>
      <c r="AR91" s="402">
        <v>38959</v>
      </c>
      <c r="AS91" s="402">
        <v>51055</v>
      </c>
      <c r="AT91" s="402">
        <v>0</v>
      </c>
      <c r="AU91" s="402">
        <v>13750</v>
      </c>
      <c r="AV91" s="402">
        <v>5800</v>
      </c>
      <c r="AW91" s="402">
        <v>500</v>
      </c>
      <c r="AX91" s="402">
        <v>56725</v>
      </c>
      <c r="AY91" s="402">
        <v>0</v>
      </c>
      <c r="AZ91" s="402">
        <v>48620</v>
      </c>
      <c r="BA91" s="402">
        <v>47100</v>
      </c>
      <c r="BB91" s="402">
        <v>0</v>
      </c>
      <c r="BC91" s="402">
        <v>0</v>
      </c>
      <c r="BD91" s="402">
        <v>3663</v>
      </c>
      <c r="BE91" s="402">
        <v>1523774</v>
      </c>
      <c r="BF91" s="402">
        <v>-93688</v>
      </c>
      <c r="BG91" s="402">
        <v>178084</v>
      </c>
      <c r="BH91" s="402">
        <v>84396</v>
      </c>
      <c r="BI91" s="402">
        <v>0</v>
      </c>
      <c r="BJ91" s="402">
        <v>103377</v>
      </c>
      <c r="BK91" s="402">
        <v>103377</v>
      </c>
      <c r="BL91" s="402">
        <v>88746</v>
      </c>
      <c r="BM91" s="402">
        <v>500</v>
      </c>
      <c r="BN91" s="402">
        <v>89246</v>
      </c>
      <c r="BO91" s="402">
        <v>14131</v>
      </c>
      <c r="BP91" s="402">
        <v>19822</v>
      </c>
      <c r="BQ91" s="402">
        <v>33953</v>
      </c>
      <c r="BR91" s="402">
        <v>0</v>
      </c>
      <c r="BS91" s="402">
        <v>84396</v>
      </c>
      <c r="BT91" s="402">
        <v>33953</v>
      </c>
      <c r="BU91" s="402">
        <v>118349</v>
      </c>
      <c r="BV91" s="402">
        <v>6611</v>
      </c>
      <c r="BW91" s="402">
        <v>0</v>
      </c>
      <c r="BX91" s="402">
        <v>0</v>
      </c>
      <c r="BY91" s="402">
        <v>6611</v>
      </c>
      <c r="BZ91" s="402">
        <v>0</v>
      </c>
      <c r="CA91" s="402">
        <v>16110</v>
      </c>
      <c r="CB91" s="402">
        <v>0</v>
      </c>
      <c r="CC91" s="402">
        <v>0</v>
      </c>
      <c r="CD91" s="402">
        <v>16110</v>
      </c>
      <c r="CE91" s="402">
        <v>-9499</v>
      </c>
      <c r="CF91" s="402">
        <v>9499</v>
      </c>
      <c r="CG91" s="402">
        <v>0</v>
      </c>
      <c r="CH91" s="402">
        <f>VLOOKUP($B91,'Data - CFR 2024-25'!$B$4:$CJ$127,85,0)</f>
        <v>9498.82</v>
      </c>
      <c r="CI91" s="402">
        <f>VLOOKUP($B91,'Data - CFR 2024-25'!$B$4:$CJ$127,86,0)</f>
        <v>0</v>
      </c>
      <c r="CJ91" s="402">
        <f>VLOOKUP($B91,'Data - CFR 2024-25'!$B$4:$CJ$127,87,0)</f>
        <v>9498.82</v>
      </c>
    </row>
    <row r="92" spans="1:88" ht="13.8">
      <c r="A92" s="252" t="s">
        <v>1384</v>
      </c>
      <c r="B92" s="288">
        <v>2070</v>
      </c>
      <c r="C92" s="288" t="s">
        <v>796</v>
      </c>
      <c r="D92" s="248" t="s">
        <v>708</v>
      </c>
      <c r="E92" s="403"/>
      <c r="F92" s="402">
        <v>1469679.2693023374</v>
      </c>
      <c r="G92" s="402">
        <v>0</v>
      </c>
      <c r="H92" s="402">
        <v>31584</v>
      </c>
      <c r="I92" s="402">
        <v>0</v>
      </c>
      <c r="J92" s="402">
        <v>83525</v>
      </c>
      <c r="K92" s="402">
        <v>0</v>
      </c>
      <c r="L92" s="402">
        <v>0</v>
      </c>
      <c r="M92" s="402">
        <v>12000</v>
      </c>
      <c r="N92" s="402">
        <v>2400</v>
      </c>
      <c r="O92" s="402">
        <v>25800</v>
      </c>
      <c r="P92" s="402">
        <v>2250</v>
      </c>
      <c r="Q92" s="402">
        <v>0</v>
      </c>
      <c r="R92" s="402">
        <v>1000</v>
      </c>
      <c r="S92" s="402">
        <v>0</v>
      </c>
      <c r="T92" s="402">
        <v>0</v>
      </c>
      <c r="U92" s="402">
        <v>0</v>
      </c>
      <c r="V92" s="402">
        <v>0</v>
      </c>
      <c r="W92" s="402">
        <v>0</v>
      </c>
      <c r="X92" s="402">
        <v>71945</v>
      </c>
      <c r="Y92" s="402">
        <v>1700183.2693023374</v>
      </c>
      <c r="Z92" s="402">
        <v>966234.55369578686</v>
      </c>
      <c r="AA92" s="402">
        <v>6000</v>
      </c>
      <c r="AB92" s="402">
        <v>348888.14930332714</v>
      </c>
      <c r="AC92" s="402">
        <v>69848.148056237245</v>
      </c>
      <c r="AD92" s="402">
        <v>69503.877483808435</v>
      </c>
      <c r="AE92" s="402">
        <v>54681.065066346251</v>
      </c>
      <c r="AF92" s="402">
        <v>34144.794510433581</v>
      </c>
      <c r="AG92" s="402">
        <v>7260</v>
      </c>
      <c r="AH92" s="402">
        <v>6100</v>
      </c>
      <c r="AI92" s="402">
        <v>7200</v>
      </c>
      <c r="AJ92" s="402">
        <v>2188</v>
      </c>
      <c r="AK92" s="402">
        <v>10000</v>
      </c>
      <c r="AL92" s="402">
        <v>6296</v>
      </c>
      <c r="AM92" s="402">
        <v>4500</v>
      </c>
      <c r="AN92" s="402">
        <v>6000</v>
      </c>
      <c r="AO92" s="402">
        <v>26900</v>
      </c>
      <c r="AP92" s="402">
        <v>0</v>
      </c>
      <c r="AQ92" s="402">
        <v>14450</v>
      </c>
      <c r="AR92" s="402">
        <v>30758.41</v>
      </c>
      <c r="AS92" s="402">
        <v>38254</v>
      </c>
      <c r="AT92" s="402">
        <v>0</v>
      </c>
      <c r="AU92" s="402">
        <v>10550</v>
      </c>
      <c r="AV92" s="402">
        <v>7765</v>
      </c>
      <c r="AW92" s="402">
        <v>0</v>
      </c>
      <c r="AX92" s="402">
        <v>37400</v>
      </c>
      <c r="AY92" s="402">
        <v>10000</v>
      </c>
      <c r="AZ92" s="402">
        <v>8930</v>
      </c>
      <c r="BA92" s="402">
        <v>41917.800000000003</v>
      </c>
      <c r="BB92" s="402">
        <v>0</v>
      </c>
      <c r="BC92" s="402">
        <v>440</v>
      </c>
      <c r="BD92" s="402">
        <v>1257</v>
      </c>
      <c r="BE92" s="402">
        <v>1827466.7981159396</v>
      </c>
      <c r="BF92" s="402">
        <v>-127283.52881360217</v>
      </c>
      <c r="BG92" s="402">
        <v>155477.48999999912</v>
      </c>
      <c r="BH92" s="402">
        <v>28193.961186396948</v>
      </c>
      <c r="BI92" s="402">
        <v>0</v>
      </c>
      <c r="BJ92" s="402">
        <v>0</v>
      </c>
      <c r="BK92" s="402">
        <v>0</v>
      </c>
      <c r="BL92" s="402">
        <v>0</v>
      </c>
      <c r="BM92" s="402">
        <v>0</v>
      </c>
      <c r="BN92" s="402">
        <v>0</v>
      </c>
      <c r="BO92" s="402">
        <v>0</v>
      </c>
      <c r="BP92" s="402">
        <v>0</v>
      </c>
      <c r="BQ92" s="402">
        <v>0</v>
      </c>
      <c r="BR92" s="402">
        <v>0</v>
      </c>
      <c r="BS92" s="402">
        <v>28193.961186396948</v>
      </c>
      <c r="BT92" s="402">
        <v>0</v>
      </c>
      <c r="BU92" s="402">
        <v>28193.961186396948</v>
      </c>
      <c r="BV92" s="402">
        <v>7161</v>
      </c>
      <c r="BW92" s="402">
        <v>0</v>
      </c>
      <c r="BX92" s="402">
        <v>1257</v>
      </c>
      <c r="BY92" s="402">
        <v>8418</v>
      </c>
      <c r="BZ92" s="402">
        <v>0</v>
      </c>
      <c r="CA92" s="402">
        <v>16196.65</v>
      </c>
      <c r="CB92" s="402">
        <v>0</v>
      </c>
      <c r="CC92" s="402">
        <v>12500</v>
      </c>
      <c r="CD92" s="402">
        <v>28696.65</v>
      </c>
      <c r="CE92" s="402">
        <v>-20278.650000000001</v>
      </c>
      <c r="CF92" s="402">
        <v>21535.649999999998</v>
      </c>
      <c r="CG92" s="402">
        <v>1256.9999999999964</v>
      </c>
      <c r="CH92" s="402">
        <f>VLOOKUP($B92,'Data - CFR 2024-25'!$B$4:$CJ$127,85,0)</f>
        <v>21535.649999999998</v>
      </c>
      <c r="CI92" s="402">
        <f>VLOOKUP($B92,'Data - CFR 2024-25'!$B$4:$CJ$127,86,0)</f>
        <v>0</v>
      </c>
      <c r="CJ92" s="402">
        <f>VLOOKUP($B92,'Data - CFR 2024-25'!$B$4:$CJ$127,87,0)</f>
        <v>21535.649999999998</v>
      </c>
    </row>
    <row r="93" spans="1:88" ht="13.8">
      <c r="A93" s="252" t="s">
        <v>1384</v>
      </c>
      <c r="B93" s="288">
        <v>7023</v>
      </c>
      <c r="C93" s="288" t="s">
        <v>797</v>
      </c>
      <c r="D93" s="248" t="s">
        <v>730</v>
      </c>
      <c r="E93" s="403"/>
      <c r="F93" s="402">
        <v>2035711</v>
      </c>
      <c r="G93" s="402">
        <v>120000</v>
      </c>
      <c r="H93" s="402">
        <v>1519055</v>
      </c>
      <c r="I93" s="402">
        <v>0</v>
      </c>
      <c r="J93" s="402">
        <v>69880</v>
      </c>
      <c r="K93" s="402">
        <v>0</v>
      </c>
      <c r="L93" s="402">
        <v>0</v>
      </c>
      <c r="M93" s="402">
        <v>0</v>
      </c>
      <c r="N93" s="402">
        <v>33267.83</v>
      </c>
      <c r="O93" s="402">
        <v>0</v>
      </c>
      <c r="P93" s="402">
        <v>0</v>
      </c>
      <c r="Q93" s="402">
        <v>0</v>
      </c>
      <c r="R93" s="402">
        <v>0</v>
      </c>
      <c r="S93" s="402">
        <v>0</v>
      </c>
      <c r="T93" s="402">
        <v>0</v>
      </c>
      <c r="U93" s="402">
        <v>0</v>
      </c>
      <c r="V93" s="402">
        <v>0</v>
      </c>
      <c r="W93" s="402">
        <v>0</v>
      </c>
      <c r="X93" s="402">
        <v>22208</v>
      </c>
      <c r="Y93" s="402">
        <v>3800121.83</v>
      </c>
      <c r="Z93" s="402">
        <v>1562187.126335365</v>
      </c>
      <c r="AA93" s="402">
        <v>11500</v>
      </c>
      <c r="AB93" s="402">
        <v>1520879.1235071169</v>
      </c>
      <c r="AC93" s="402">
        <v>129895.35942113283</v>
      </c>
      <c r="AD93" s="402">
        <v>154075.65566189334</v>
      </c>
      <c r="AE93" s="402">
        <v>0</v>
      </c>
      <c r="AF93" s="402">
        <v>124805.47055619846</v>
      </c>
      <c r="AG93" s="402">
        <v>14782.7</v>
      </c>
      <c r="AH93" s="402">
        <v>7500</v>
      </c>
      <c r="AI93" s="402">
        <v>4608</v>
      </c>
      <c r="AJ93" s="402">
        <v>0</v>
      </c>
      <c r="AK93" s="402">
        <v>33000</v>
      </c>
      <c r="AL93" s="402">
        <v>1000</v>
      </c>
      <c r="AM93" s="402">
        <v>10000</v>
      </c>
      <c r="AN93" s="402">
        <v>13500</v>
      </c>
      <c r="AO93" s="402">
        <v>71600</v>
      </c>
      <c r="AP93" s="402">
        <v>0</v>
      </c>
      <c r="AQ93" s="402">
        <v>21350</v>
      </c>
      <c r="AR93" s="402">
        <v>155018.87</v>
      </c>
      <c r="AS93" s="402">
        <v>50234.619999999995</v>
      </c>
      <c r="AT93" s="402">
        <v>2125</v>
      </c>
      <c r="AU93" s="402">
        <v>12160.04</v>
      </c>
      <c r="AV93" s="402">
        <v>13759.98</v>
      </c>
      <c r="AW93" s="402">
        <v>400</v>
      </c>
      <c r="AX93" s="402">
        <v>47137</v>
      </c>
      <c r="AY93" s="402">
        <v>0</v>
      </c>
      <c r="AZ93" s="402">
        <v>34425</v>
      </c>
      <c r="BA93" s="402">
        <v>65914.39</v>
      </c>
      <c r="BB93" s="402">
        <v>0</v>
      </c>
      <c r="BC93" s="402">
        <v>3400</v>
      </c>
      <c r="BD93" s="402">
        <v>11500</v>
      </c>
      <c r="BE93" s="402">
        <v>4076758.3354817075</v>
      </c>
      <c r="BF93" s="402">
        <v>-276636.5054817074</v>
      </c>
      <c r="BG93" s="402">
        <v>284394.92</v>
      </c>
      <c r="BH93" s="402">
        <v>7758.4145182925859</v>
      </c>
      <c r="BI93" s="402">
        <v>0</v>
      </c>
      <c r="BJ93" s="402">
        <v>0</v>
      </c>
      <c r="BK93" s="402">
        <v>0</v>
      </c>
      <c r="BL93" s="402">
        <v>0</v>
      </c>
      <c r="BM93" s="402">
        <v>0</v>
      </c>
      <c r="BN93" s="402">
        <v>0</v>
      </c>
      <c r="BO93" s="402">
        <v>0</v>
      </c>
      <c r="BP93" s="402">
        <v>0</v>
      </c>
      <c r="BQ93" s="402">
        <v>0</v>
      </c>
      <c r="BR93" s="402">
        <v>0</v>
      </c>
      <c r="BS93" s="402">
        <v>7758.4145182925859</v>
      </c>
      <c r="BT93" s="402">
        <v>0</v>
      </c>
      <c r="BU93" s="402">
        <v>7758.4145182925859</v>
      </c>
      <c r="BV93" s="402">
        <v>10024</v>
      </c>
      <c r="BW93" s="402">
        <v>0</v>
      </c>
      <c r="BX93" s="402">
        <v>0</v>
      </c>
      <c r="BY93" s="402">
        <v>10024</v>
      </c>
      <c r="BZ93" s="402">
        <v>0</v>
      </c>
      <c r="CA93" s="402">
        <v>0</v>
      </c>
      <c r="CB93" s="402">
        <v>0</v>
      </c>
      <c r="CC93" s="402">
        <v>10024.379999999999</v>
      </c>
      <c r="CD93" s="402">
        <v>10024.379999999999</v>
      </c>
      <c r="CE93" s="402">
        <v>-0.37999999999919964</v>
      </c>
      <c r="CF93" s="402">
        <v>0</v>
      </c>
      <c r="CG93" s="402">
        <v>-0.37999999999919964</v>
      </c>
      <c r="CH93" s="402">
        <f>VLOOKUP($B93,'Data - CFR 2024-25'!$B$4:$CJ$127,85,0)</f>
        <v>0</v>
      </c>
      <c r="CI93" s="402">
        <f>VLOOKUP($B93,'Data - CFR 2024-25'!$B$4:$CJ$127,86,0)</f>
        <v>0</v>
      </c>
      <c r="CJ93" s="402">
        <f>VLOOKUP($B93,'Data - CFR 2024-25'!$B$4:$CJ$127,87,0)</f>
        <v>0</v>
      </c>
    </row>
    <row r="94" spans="1:88" ht="13.8">
      <c r="A94" s="252" t="s">
        <v>1384</v>
      </c>
      <c r="B94" s="288">
        <v>2255</v>
      </c>
      <c r="C94" s="288" t="s">
        <v>798</v>
      </c>
      <c r="D94" s="248" t="s">
        <v>708</v>
      </c>
      <c r="E94" s="403"/>
      <c r="F94" s="402">
        <v>1158192</v>
      </c>
      <c r="G94" s="402">
        <v>0</v>
      </c>
      <c r="H94" s="402">
        <v>54269</v>
      </c>
      <c r="I94" s="402">
        <v>0</v>
      </c>
      <c r="J94" s="402">
        <v>56370</v>
      </c>
      <c r="K94" s="402">
        <v>76418</v>
      </c>
      <c r="L94" s="402">
        <v>0</v>
      </c>
      <c r="M94" s="402">
        <v>11000</v>
      </c>
      <c r="N94" s="402">
        <v>1000</v>
      </c>
      <c r="O94" s="402">
        <v>90</v>
      </c>
      <c r="P94" s="402">
        <v>0</v>
      </c>
      <c r="Q94" s="402">
        <v>0</v>
      </c>
      <c r="R94" s="402">
        <v>0</v>
      </c>
      <c r="S94" s="402">
        <v>0</v>
      </c>
      <c r="T94" s="402">
        <v>0</v>
      </c>
      <c r="U94" s="402">
        <v>0</v>
      </c>
      <c r="V94" s="402">
        <v>0</v>
      </c>
      <c r="W94" s="402">
        <v>0</v>
      </c>
      <c r="X94" s="402">
        <v>0</v>
      </c>
      <c r="Y94" s="402">
        <v>1357339</v>
      </c>
      <c r="Z94" s="402">
        <v>629267</v>
      </c>
      <c r="AA94" s="402">
        <v>0</v>
      </c>
      <c r="AB94" s="402">
        <v>411004</v>
      </c>
      <c r="AC94" s="402">
        <v>46720</v>
      </c>
      <c r="AD94" s="402">
        <v>54730</v>
      </c>
      <c r="AE94" s="402">
        <v>0</v>
      </c>
      <c r="AF94" s="402">
        <v>18971</v>
      </c>
      <c r="AG94" s="402">
        <v>5050</v>
      </c>
      <c r="AH94" s="402">
        <v>8000</v>
      </c>
      <c r="AI94" s="402">
        <v>1822</v>
      </c>
      <c r="AJ94" s="402">
        <v>0</v>
      </c>
      <c r="AK94" s="402">
        <v>12000</v>
      </c>
      <c r="AL94" s="402">
        <v>1600</v>
      </c>
      <c r="AM94" s="402">
        <v>4000</v>
      </c>
      <c r="AN94" s="402">
        <v>2570</v>
      </c>
      <c r="AO94" s="402">
        <v>17300</v>
      </c>
      <c r="AP94" s="402">
        <v>0</v>
      </c>
      <c r="AQ94" s="402">
        <v>2475</v>
      </c>
      <c r="AR94" s="402">
        <v>33110</v>
      </c>
      <c r="AS94" s="402">
        <v>17505</v>
      </c>
      <c r="AT94" s="402">
        <v>0</v>
      </c>
      <c r="AU94" s="402">
        <v>5335</v>
      </c>
      <c r="AV94" s="402">
        <v>5354</v>
      </c>
      <c r="AW94" s="402">
        <v>0</v>
      </c>
      <c r="AX94" s="402">
        <v>76076</v>
      </c>
      <c r="AY94" s="402">
        <v>0</v>
      </c>
      <c r="AZ94" s="402">
        <v>8997</v>
      </c>
      <c r="BA94" s="402">
        <v>17301</v>
      </c>
      <c r="BB94" s="402">
        <v>0</v>
      </c>
      <c r="BC94" s="402">
        <v>0</v>
      </c>
      <c r="BD94" s="402">
        <v>0</v>
      </c>
      <c r="BE94" s="402">
        <v>1379187</v>
      </c>
      <c r="BF94" s="402">
        <v>-21848</v>
      </c>
      <c r="BG94" s="402">
        <v>201224</v>
      </c>
      <c r="BH94" s="402">
        <v>179376</v>
      </c>
      <c r="BI94" s="402">
        <v>0</v>
      </c>
      <c r="BJ94" s="402">
        <v>0</v>
      </c>
      <c r="BK94" s="402">
        <v>0</v>
      </c>
      <c r="BL94" s="402">
        <v>0</v>
      </c>
      <c r="BM94" s="402">
        <v>0</v>
      </c>
      <c r="BN94" s="402">
        <v>0</v>
      </c>
      <c r="BO94" s="402">
        <v>0</v>
      </c>
      <c r="BP94" s="402">
        <v>0</v>
      </c>
      <c r="BQ94" s="402">
        <v>0</v>
      </c>
      <c r="BR94" s="402">
        <v>0</v>
      </c>
      <c r="BS94" s="402">
        <v>179376</v>
      </c>
      <c r="BT94" s="402">
        <v>0</v>
      </c>
      <c r="BU94" s="402">
        <v>179376</v>
      </c>
      <c r="BV94" s="402">
        <v>6205</v>
      </c>
      <c r="BW94" s="402">
        <v>0</v>
      </c>
      <c r="BX94" s="402">
        <v>0</v>
      </c>
      <c r="BY94" s="402">
        <v>6205</v>
      </c>
      <c r="BZ94" s="402">
        <v>0</v>
      </c>
      <c r="CA94" s="402">
        <v>5977</v>
      </c>
      <c r="CB94" s="402">
        <v>0</v>
      </c>
      <c r="CC94" s="402">
        <v>10688</v>
      </c>
      <c r="CD94" s="402">
        <v>16665</v>
      </c>
      <c r="CE94" s="402">
        <v>-10460</v>
      </c>
      <c r="CF94" s="402">
        <v>10460</v>
      </c>
      <c r="CG94" s="402">
        <v>0</v>
      </c>
      <c r="CH94" s="402">
        <f>VLOOKUP($B94,'Data - CFR 2024-25'!$B$4:$CJ$127,85,0)</f>
        <v>4482.83</v>
      </c>
      <c r="CI94" s="402">
        <f>VLOOKUP($B94,'Data - CFR 2024-25'!$B$4:$CJ$127,86,0)</f>
        <v>5977.09</v>
      </c>
      <c r="CJ94" s="402">
        <f>VLOOKUP($B94,'Data - CFR 2024-25'!$B$4:$CJ$127,87,0)</f>
        <v>10459.92</v>
      </c>
    </row>
    <row r="95" spans="1:88" ht="13.8">
      <c r="A95" s="252" t="s">
        <v>1384</v>
      </c>
      <c r="B95" s="288">
        <v>2115</v>
      </c>
      <c r="C95" s="288" t="s">
        <v>799</v>
      </c>
      <c r="D95" s="248" t="s">
        <v>708</v>
      </c>
      <c r="E95" s="403"/>
      <c r="F95" s="402">
        <v>2148218.0447188355</v>
      </c>
      <c r="G95" s="402">
        <v>0</v>
      </c>
      <c r="H95" s="402">
        <v>227850</v>
      </c>
      <c r="I95" s="402">
        <v>0</v>
      </c>
      <c r="J95" s="402">
        <v>238420</v>
      </c>
      <c r="K95" s="402">
        <v>0</v>
      </c>
      <c r="L95" s="402">
        <v>133000</v>
      </c>
      <c r="M95" s="402">
        <v>28000</v>
      </c>
      <c r="N95" s="402">
        <v>12224</v>
      </c>
      <c r="O95" s="402">
        <v>15300</v>
      </c>
      <c r="P95" s="402">
        <v>0</v>
      </c>
      <c r="Q95" s="402">
        <v>0</v>
      </c>
      <c r="R95" s="402">
        <v>9500</v>
      </c>
      <c r="S95" s="402">
        <v>0</v>
      </c>
      <c r="T95" s="402">
        <v>0</v>
      </c>
      <c r="U95" s="402">
        <v>0</v>
      </c>
      <c r="V95" s="402">
        <v>0</v>
      </c>
      <c r="W95" s="402">
        <v>0</v>
      </c>
      <c r="X95" s="402">
        <v>51785</v>
      </c>
      <c r="Y95" s="402">
        <v>2864297.0447188355</v>
      </c>
      <c r="Z95" s="402">
        <v>1204066.4249810667</v>
      </c>
      <c r="AA95" s="402">
        <v>10000</v>
      </c>
      <c r="AB95" s="402">
        <v>762910.80040635774</v>
      </c>
      <c r="AC95" s="402">
        <v>80314.584003400611</v>
      </c>
      <c r="AD95" s="402">
        <v>333267.90383325965</v>
      </c>
      <c r="AE95" s="402">
        <v>0</v>
      </c>
      <c r="AF95" s="402">
        <v>26192.368364582224</v>
      </c>
      <c r="AG95" s="402">
        <v>9500</v>
      </c>
      <c r="AH95" s="402">
        <v>4000</v>
      </c>
      <c r="AI95" s="402">
        <v>0</v>
      </c>
      <c r="AJ95" s="402">
        <v>0</v>
      </c>
      <c r="AK95" s="402">
        <v>25000</v>
      </c>
      <c r="AL95" s="402">
        <v>3300</v>
      </c>
      <c r="AM95" s="402">
        <v>6000</v>
      </c>
      <c r="AN95" s="402">
        <v>10000</v>
      </c>
      <c r="AO95" s="402">
        <v>45000</v>
      </c>
      <c r="AP95" s="402">
        <v>0</v>
      </c>
      <c r="AQ95" s="402">
        <v>71732</v>
      </c>
      <c r="AR95" s="402">
        <v>52479</v>
      </c>
      <c r="AS95" s="402">
        <v>40600</v>
      </c>
      <c r="AT95" s="402">
        <v>0</v>
      </c>
      <c r="AU95" s="402">
        <v>35000</v>
      </c>
      <c r="AV95" s="402">
        <v>6400</v>
      </c>
      <c r="AW95" s="402">
        <v>0</v>
      </c>
      <c r="AX95" s="402">
        <v>81035</v>
      </c>
      <c r="AY95" s="402">
        <v>0</v>
      </c>
      <c r="AZ95" s="402">
        <v>11100</v>
      </c>
      <c r="BA95" s="402">
        <v>26750</v>
      </c>
      <c r="BB95" s="402">
        <v>0</v>
      </c>
      <c r="BC95" s="402">
        <v>0</v>
      </c>
      <c r="BD95" s="402">
        <v>19347</v>
      </c>
      <c r="BE95" s="402">
        <v>2863995.0815886669</v>
      </c>
      <c r="BF95" s="402">
        <v>301.96313016861677</v>
      </c>
      <c r="BG95" s="402">
        <v>-180869.2999999999</v>
      </c>
      <c r="BH95" s="402">
        <v>-180567.33686983128</v>
      </c>
      <c r="BI95" s="402">
        <v>0</v>
      </c>
      <c r="BJ95" s="402">
        <v>0</v>
      </c>
      <c r="BK95" s="402">
        <v>0</v>
      </c>
      <c r="BL95" s="402">
        <v>0</v>
      </c>
      <c r="BM95" s="402">
        <v>0</v>
      </c>
      <c r="BN95" s="402">
        <v>0</v>
      </c>
      <c r="BO95" s="402">
        <v>0</v>
      </c>
      <c r="BP95" s="402">
        <v>0</v>
      </c>
      <c r="BQ95" s="402">
        <v>0</v>
      </c>
      <c r="BR95" s="402">
        <v>0</v>
      </c>
      <c r="BS95" s="402">
        <v>-180567.33686983128</v>
      </c>
      <c r="BT95" s="402">
        <v>0</v>
      </c>
      <c r="BU95" s="402">
        <v>-180567.33686983128</v>
      </c>
      <c r="BV95" s="402">
        <v>8185</v>
      </c>
      <c r="BW95" s="402">
        <v>0</v>
      </c>
      <c r="BX95" s="402">
        <v>0</v>
      </c>
      <c r="BY95" s="402">
        <v>8185</v>
      </c>
      <c r="BZ95" s="402">
        <v>0</v>
      </c>
      <c r="CA95" s="402">
        <v>0</v>
      </c>
      <c r="CB95" s="402">
        <v>4185</v>
      </c>
      <c r="CC95" s="402">
        <v>4000</v>
      </c>
      <c r="CD95" s="402">
        <v>8185</v>
      </c>
      <c r="CE95" s="402">
        <v>0</v>
      </c>
      <c r="CF95" s="402">
        <v>249.06</v>
      </c>
      <c r="CG95" s="402">
        <v>249.06</v>
      </c>
      <c r="CH95" s="402">
        <f>VLOOKUP($B95,'Data - CFR 2024-25'!$B$4:$CJ$127,85,0)</f>
        <v>249.06</v>
      </c>
      <c r="CI95" s="402">
        <f>VLOOKUP($B95,'Data - CFR 2024-25'!$B$4:$CJ$127,86,0)</f>
        <v>0</v>
      </c>
      <c r="CJ95" s="402">
        <f>VLOOKUP($B95,'Data - CFR 2024-25'!$B$4:$CJ$127,87,0)</f>
        <v>249.06</v>
      </c>
    </row>
    <row r="96" spans="1:88" ht="13.8">
      <c r="A96" s="252" t="s">
        <v>1384</v>
      </c>
      <c r="B96" s="288">
        <v>2329</v>
      </c>
      <c r="C96" s="288" t="s">
        <v>800</v>
      </c>
      <c r="D96" s="248" t="s">
        <v>708</v>
      </c>
      <c r="E96" s="403"/>
      <c r="F96" s="402">
        <v>1302617</v>
      </c>
      <c r="G96" s="402">
        <v>0</v>
      </c>
      <c r="H96" s="402">
        <v>120059</v>
      </c>
      <c r="I96" s="402">
        <v>0</v>
      </c>
      <c r="J96" s="402">
        <v>66660</v>
      </c>
      <c r="K96" s="402">
        <v>0</v>
      </c>
      <c r="L96" s="402">
        <v>0</v>
      </c>
      <c r="M96" s="402">
        <v>49531</v>
      </c>
      <c r="N96" s="402">
        <v>7600</v>
      </c>
      <c r="O96" s="402">
        <v>4300</v>
      </c>
      <c r="P96" s="402">
        <v>0</v>
      </c>
      <c r="Q96" s="402">
        <v>0</v>
      </c>
      <c r="R96" s="402">
        <v>0</v>
      </c>
      <c r="S96" s="402">
        <v>0</v>
      </c>
      <c r="T96" s="402">
        <v>0</v>
      </c>
      <c r="U96" s="402">
        <v>0</v>
      </c>
      <c r="V96" s="402">
        <v>0</v>
      </c>
      <c r="W96" s="402">
        <v>0</v>
      </c>
      <c r="X96" s="402">
        <v>45349</v>
      </c>
      <c r="Y96" s="402">
        <v>1596116</v>
      </c>
      <c r="Z96" s="402">
        <v>618366</v>
      </c>
      <c r="AA96" s="402">
        <v>0</v>
      </c>
      <c r="AB96" s="402">
        <v>492552</v>
      </c>
      <c r="AC96" s="402">
        <v>68742</v>
      </c>
      <c r="AD96" s="402">
        <v>84047</v>
      </c>
      <c r="AE96" s="402">
        <v>42650</v>
      </c>
      <c r="AF96" s="402">
        <v>30047</v>
      </c>
      <c r="AG96" s="402">
        <v>6391</v>
      </c>
      <c r="AH96" s="402">
        <v>4000</v>
      </c>
      <c r="AI96" s="402">
        <v>3550</v>
      </c>
      <c r="AJ96" s="402">
        <v>405</v>
      </c>
      <c r="AK96" s="402">
        <v>7000</v>
      </c>
      <c r="AL96" s="402">
        <v>300</v>
      </c>
      <c r="AM96" s="402">
        <v>4300</v>
      </c>
      <c r="AN96" s="402">
        <v>5500</v>
      </c>
      <c r="AO96" s="402">
        <v>37000</v>
      </c>
      <c r="AP96" s="402">
        <v>0</v>
      </c>
      <c r="AQ96" s="402">
        <v>7800</v>
      </c>
      <c r="AR96" s="402">
        <v>15000</v>
      </c>
      <c r="AS96" s="402">
        <v>26327</v>
      </c>
      <c r="AT96" s="402">
        <v>0</v>
      </c>
      <c r="AU96" s="402">
        <v>4995</v>
      </c>
      <c r="AV96" s="402">
        <v>3860</v>
      </c>
      <c r="AW96" s="402">
        <v>0</v>
      </c>
      <c r="AX96" s="402">
        <v>22500</v>
      </c>
      <c r="AY96" s="402">
        <v>4500</v>
      </c>
      <c r="AZ96" s="402">
        <v>20466</v>
      </c>
      <c r="BA96" s="402">
        <v>13615</v>
      </c>
      <c r="BB96" s="402">
        <v>0</v>
      </c>
      <c r="BC96" s="402">
        <v>0</v>
      </c>
      <c r="BD96" s="402">
        <v>9900</v>
      </c>
      <c r="BE96" s="402">
        <v>1533813</v>
      </c>
      <c r="BF96" s="402">
        <v>62304</v>
      </c>
      <c r="BG96" s="402">
        <v>-61809</v>
      </c>
      <c r="BH96" s="402">
        <v>495</v>
      </c>
      <c r="BI96" s="402">
        <v>168178</v>
      </c>
      <c r="BJ96" s="402">
        <v>12500</v>
      </c>
      <c r="BK96" s="402">
        <v>180678</v>
      </c>
      <c r="BL96" s="402">
        <v>166602</v>
      </c>
      <c r="BM96" s="402">
        <v>14000</v>
      </c>
      <c r="BN96" s="402">
        <v>180602</v>
      </c>
      <c r="BO96" s="402">
        <v>76</v>
      </c>
      <c r="BP96" s="402">
        <v>3491</v>
      </c>
      <c r="BQ96" s="402">
        <v>3567</v>
      </c>
      <c r="BR96" s="402">
        <v>0</v>
      </c>
      <c r="BS96" s="402">
        <v>495</v>
      </c>
      <c r="BT96" s="402">
        <v>3567</v>
      </c>
      <c r="BU96" s="402">
        <v>4063</v>
      </c>
      <c r="BV96" s="402">
        <v>5541</v>
      </c>
      <c r="BW96" s="402">
        <v>0</v>
      </c>
      <c r="BX96" s="402">
        <v>0</v>
      </c>
      <c r="BY96" s="402">
        <v>5541</v>
      </c>
      <c r="BZ96" s="402">
        <v>0</v>
      </c>
      <c r="CA96" s="402">
        <v>0</v>
      </c>
      <c r="CB96" s="402">
        <v>0</v>
      </c>
      <c r="CC96" s="402">
        <v>5541</v>
      </c>
      <c r="CD96" s="402">
        <v>5541</v>
      </c>
      <c r="CE96" s="402">
        <v>0</v>
      </c>
      <c r="CF96" s="402">
        <v>0</v>
      </c>
      <c r="CG96" s="402">
        <v>0</v>
      </c>
      <c r="CH96" s="402">
        <f>VLOOKUP($B96,'Data - CFR 2024-25'!$B$4:$CJ$127,85,0)</f>
        <v>0</v>
      </c>
      <c r="CI96" s="402">
        <f>VLOOKUP($B96,'Data - CFR 2024-25'!$B$4:$CJ$127,86,0)</f>
        <v>0</v>
      </c>
      <c r="CJ96" s="402">
        <f>VLOOKUP($B96,'Data - CFR 2024-25'!$B$4:$CJ$127,87,0)</f>
        <v>0</v>
      </c>
    </row>
    <row r="97" spans="1:88" ht="13.8">
      <c r="A97" s="252" t="s">
        <v>1384</v>
      </c>
      <c r="B97" s="288">
        <v>3384</v>
      </c>
      <c r="C97" s="288" t="s">
        <v>801</v>
      </c>
      <c r="D97" s="248" t="s">
        <v>708</v>
      </c>
      <c r="E97" s="403"/>
      <c r="F97" s="402">
        <v>1088478.1365884109</v>
      </c>
      <c r="G97" s="402">
        <v>0</v>
      </c>
      <c r="H97" s="402">
        <v>37849</v>
      </c>
      <c r="I97" s="402">
        <v>0</v>
      </c>
      <c r="J97" s="402">
        <v>66610</v>
      </c>
      <c r="K97" s="402">
        <v>0</v>
      </c>
      <c r="L97" s="402">
        <v>0</v>
      </c>
      <c r="M97" s="402">
        <v>2500</v>
      </c>
      <c r="N97" s="402">
        <v>39986.28</v>
      </c>
      <c r="O97" s="402">
        <v>21500</v>
      </c>
      <c r="P97" s="402">
        <v>0</v>
      </c>
      <c r="Q97" s="402">
        <v>0</v>
      </c>
      <c r="R97" s="402">
        <v>0</v>
      </c>
      <c r="S97" s="402">
        <v>0</v>
      </c>
      <c r="T97" s="402">
        <v>0</v>
      </c>
      <c r="U97" s="402">
        <v>0</v>
      </c>
      <c r="V97" s="402">
        <v>0</v>
      </c>
      <c r="W97" s="402">
        <v>0</v>
      </c>
      <c r="X97" s="402">
        <v>47241</v>
      </c>
      <c r="Y97" s="402">
        <v>1304164.416588411</v>
      </c>
      <c r="Z97" s="402">
        <v>656596.75740004086</v>
      </c>
      <c r="AA97" s="402">
        <v>7316</v>
      </c>
      <c r="AB97" s="402">
        <v>272198.51222863403</v>
      </c>
      <c r="AC97" s="402">
        <v>30586.182820067192</v>
      </c>
      <c r="AD97" s="402">
        <v>59204.210529078751</v>
      </c>
      <c r="AE97" s="402">
        <v>43210.022632338609</v>
      </c>
      <c r="AF97" s="402">
        <v>33270.719148114782</v>
      </c>
      <c r="AG97" s="402">
        <v>500</v>
      </c>
      <c r="AH97" s="402">
        <v>5000</v>
      </c>
      <c r="AI97" s="402">
        <v>3500</v>
      </c>
      <c r="AJ97" s="402">
        <v>0</v>
      </c>
      <c r="AK97" s="402">
        <v>5000</v>
      </c>
      <c r="AL97" s="402">
        <v>4500</v>
      </c>
      <c r="AM97" s="402">
        <v>6500</v>
      </c>
      <c r="AN97" s="402">
        <v>2500</v>
      </c>
      <c r="AO97" s="402">
        <v>29344.36</v>
      </c>
      <c r="AP97" s="402">
        <v>0</v>
      </c>
      <c r="AQ97" s="402">
        <v>3939.07</v>
      </c>
      <c r="AR97" s="402">
        <v>15517.06</v>
      </c>
      <c r="AS97" s="402">
        <v>15200</v>
      </c>
      <c r="AT97" s="402">
        <v>0</v>
      </c>
      <c r="AU97" s="402">
        <v>9781.3700000000008</v>
      </c>
      <c r="AV97" s="402">
        <v>5500</v>
      </c>
      <c r="AW97" s="402">
        <v>0</v>
      </c>
      <c r="AX97" s="402">
        <v>31276.17</v>
      </c>
      <c r="AY97" s="402">
        <v>0</v>
      </c>
      <c r="AZ97" s="402">
        <v>7000</v>
      </c>
      <c r="BA97" s="402">
        <v>11625</v>
      </c>
      <c r="BB97" s="402">
        <v>0</v>
      </c>
      <c r="BC97" s="402">
        <v>0</v>
      </c>
      <c r="BD97" s="402">
        <v>0</v>
      </c>
      <c r="BE97" s="402">
        <v>1259065.4347582746</v>
      </c>
      <c r="BF97" s="402">
        <v>45098.981830136385</v>
      </c>
      <c r="BG97" s="402">
        <v>-97886.93000000008</v>
      </c>
      <c r="BH97" s="402">
        <v>-52787.948169863696</v>
      </c>
      <c r="BI97" s="402">
        <v>0</v>
      </c>
      <c r="BJ97" s="402">
        <v>0</v>
      </c>
      <c r="BK97" s="402">
        <v>0</v>
      </c>
      <c r="BL97" s="402">
        <v>0</v>
      </c>
      <c r="BM97" s="402">
        <v>0</v>
      </c>
      <c r="BN97" s="402">
        <v>0</v>
      </c>
      <c r="BO97" s="402">
        <v>0</v>
      </c>
      <c r="BP97" s="402">
        <v>0</v>
      </c>
      <c r="BQ97" s="402">
        <v>0</v>
      </c>
      <c r="BR97" s="402">
        <v>0</v>
      </c>
      <c r="BS97" s="402">
        <v>-52787.948169863696</v>
      </c>
      <c r="BT97" s="402">
        <v>0</v>
      </c>
      <c r="BU97" s="402">
        <v>-52787.948169863696</v>
      </c>
      <c r="BV97" s="402">
        <v>0</v>
      </c>
      <c r="BW97" s="402">
        <v>0</v>
      </c>
      <c r="BX97" s="402">
        <v>0</v>
      </c>
      <c r="BY97" s="402">
        <v>0</v>
      </c>
      <c r="BZ97" s="402">
        <v>0</v>
      </c>
      <c r="CA97" s="402">
        <v>0</v>
      </c>
      <c r="CB97" s="402">
        <v>0</v>
      </c>
      <c r="CC97" s="402">
        <v>0</v>
      </c>
      <c r="CD97" s="402">
        <v>0</v>
      </c>
      <c r="CE97" s="402">
        <v>0</v>
      </c>
      <c r="CF97" s="402">
        <v>0</v>
      </c>
      <c r="CG97" s="402">
        <v>0</v>
      </c>
      <c r="CH97" s="402">
        <f>VLOOKUP($B97,'Data - CFR 2024-25'!$B$4:$CJ$127,85,0)</f>
        <v>0</v>
      </c>
      <c r="CI97" s="402">
        <f>VLOOKUP($B97,'Data - CFR 2024-25'!$B$4:$CJ$127,86,0)</f>
        <v>0</v>
      </c>
      <c r="CJ97" s="402">
        <f>VLOOKUP($B97,'Data - CFR 2024-25'!$B$4:$CJ$127,87,0)</f>
        <v>0</v>
      </c>
    </row>
    <row r="98" spans="1:88" ht="13.8">
      <c r="A98" s="252" t="s">
        <v>1384</v>
      </c>
      <c r="B98" s="288">
        <v>5200</v>
      </c>
      <c r="C98" s="288" t="s">
        <v>802</v>
      </c>
      <c r="D98" s="248" t="s">
        <v>803</v>
      </c>
      <c r="E98" s="403"/>
      <c r="F98" s="402">
        <v>967102</v>
      </c>
      <c r="G98" s="402">
        <v>0</v>
      </c>
      <c r="H98" s="402">
        <v>4171</v>
      </c>
      <c r="I98" s="402">
        <v>0</v>
      </c>
      <c r="J98" s="402">
        <v>39630</v>
      </c>
      <c r="K98" s="402">
        <v>0</v>
      </c>
      <c r="L98" s="402">
        <v>0</v>
      </c>
      <c r="M98" s="402">
        <v>22216</v>
      </c>
      <c r="N98" s="402">
        <v>21630</v>
      </c>
      <c r="O98" s="402">
        <v>0</v>
      </c>
      <c r="P98" s="402">
        <v>0</v>
      </c>
      <c r="Q98" s="402">
        <v>0</v>
      </c>
      <c r="R98" s="402">
        <v>0</v>
      </c>
      <c r="S98" s="402">
        <v>0</v>
      </c>
      <c r="T98" s="402">
        <v>0</v>
      </c>
      <c r="U98" s="402">
        <v>0</v>
      </c>
      <c r="V98" s="402">
        <v>0</v>
      </c>
      <c r="W98" s="402">
        <v>0</v>
      </c>
      <c r="X98" s="402">
        <v>57780</v>
      </c>
      <c r="Y98" s="402">
        <v>1112529</v>
      </c>
      <c r="Z98" s="402">
        <v>636037</v>
      </c>
      <c r="AA98" s="402">
        <v>2200</v>
      </c>
      <c r="AB98" s="402">
        <v>199772</v>
      </c>
      <c r="AC98" s="402">
        <v>35088</v>
      </c>
      <c r="AD98" s="402">
        <v>50453</v>
      </c>
      <c r="AE98" s="402">
        <v>0</v>
      </c>
      <c r="AF98" s="402">
        <v>22159</v>
      </c>
      <c r="AG98" s="402">
        <v>250</v>
      </c>
      <c r="AH98" s="402">
        <v>10080</v>
      </c>
      <c r="AI98" s="402">
        <v>5246</v>
      </c>
      <c r="AJ98" s="402">
        <v>0</v>
      </c>
      <c r="AK98" s="402">
        <v>5272</v>
      </c>
      <c r="AL98" s="402">
        <v>2752</v>
      </c>
      <c r="AM98" s="402">
        <v>2320</v>
      </c>
      <c r="AN98" s="402">
        <v>3500</v>
      </c>
      <c r="AO98" s="402">
        <v>21200</v>
      </c>
      <c r="AP98" s="402">
        <v>0</v>
      </c>
      <c r="AQ98" s="402">
        <v>10608</v>
      </c>
      <c r="AR98" s="402">
        <v>34612</v>
      </c>
      <c r="AS98" s="402">
        <v>25508</v>
      </c>
      <c r="AT98" s="402">
        <v>0</v>
      </c>
      <c r="AU98" s="402">
        <v>3330</v>
      </c>
      <c r="AV98" s="402">
        <v>5110</v>
      </c>
      <c r="AW98" s="402">
        <v>0</v>
      </c>
      <c r="AX98" s="402">
        <v>46858</v>
      </c>
      <c r="AY98" s="402">
        <v>7000</v>
      </c>
      <c r="AZ98" s="402">
        <v>950</v>
      </c>
      <c r="BA98" s="402">
        <v>15076</v>
      </c>
      <c r="BB98" s="402">
        <v>0</v>
      </c>
      <c r="BC98" s="402">
        <v>0</v>
      </c>
      <c r="BD98" s="402">
        <v>0</v>
      </c>
      <c r="BE98" s="402">
        <v>1145380</v>
      </c>
      <c r="BF98" s="402">
        <v>-32851</v>
      </c>
      <c r="BG98" s="402">
        <v>-60628</v>
      </c>
      <c r="BH98" s="402">
        <v>-93479</v>
      </c>
      <c r="BI98" s="402">
        <v>0</v>
      </c>
      <c r="BJ98" s="402">
        <v>0</v>
      </c>
      <c r="BK98" s="402">
        <v>0</v>
      </c>
      <c r="BL98" s="402">
        <v>0</v>
      </c>
      <c r="BM98" s="402">
        <v>0</v>
      </c>
      <c r="BN98" s="402">
        <v>0</v>
      </c>
      <c r="BO98" s="402">
        <v>0</v>
      </c>
      <c r="BP98" s="402">
        <v>0</v>
      </c>
      <c r="BQ98" s="402">
        <v>0</v>
      </c>
      <c r="BR98" s="402">
        <v>0</v>
      </c>
      <c r="BS98" s="402">
        <v>-93479</v>
      </c>
      <c r="BT98" s="402">
        <v>0</v>
      </c>
      <c r="BU98" s="402">
        <v>-93479</v>
      </c>
      <c r="BV98" s="402">
        <v>6126</v>
      </c>
      <c r="BW98" s="402">
        <v>0</v>
      </c>
      <c r="BX98" s="402">
        <v>0</v>
      </c>
      <c r="BY98" s="402">
        <v>6126</v>
      </c>
      <c r="BZ98" s="402">
        <v>0</v>
      </c>
      <c r="CA98" s="402">
        <v>5901</v>
      </c>
      <c r="CB98" s="402">
        <v>0</v>
      </c>
      <c r="CC98" s="402">
        <v>0</v>
      </c>
      <c r="CD98" s="402">
        <v>5901</v>
      </c>
      <c r="CE98" s="402">
        <v>225</v>
      </c>
      <c r="CF98" s="402">
        <v>159597</v>
      </c>
      <c r="CG98" s="402">
        <v>159822</v>
      </c>
      <c r="CH98" s="402">
        <f>VLOOKUP($B98,'Data - CFR 2024-25'!$B$4:$CJ$127,85,0)</f>
        <v>5686.8799999999974</v>
      </c>
      <c r="CI98" s="402">
        <f>VLOOKUP($B98,'Data - CFR 2024-25'!$B$4:$CJ$127,86,0)</f>
        <v>153910.40999999997</v>
      </c>
      <c r="CJ98" s="402">
        <f>VLOOKUP($B98,'Data - CFR 2024-25'!$B$4:$CJ$127,87,0)</f>
        <v>159597.28999999998</v>
      </c>
    </row>
    <row r="99" spans="1:88" ht="13.8">
      <c r="A99" s="252" t="s">
        <v>1384</v>
      </c>
      <c r="B99" s="288">
        <v>2317</v>
      </c>
      <c r="C99" s="288" t="s">
        <v>804</v>
      </c>
      <c r="D99" s="248" t="s">
        <v>708</v>
      </c>
      <c r="E99" s="403"/>
      <c r="F99" s="402">
        <v>3235757.1000012481</v>
      </c>
      <c r="G99" s="402">
        <v>0</v>
      </c>
      <c r="H99" s="402">
        <v>263863</v>
      </c>
      <c r="I99" s="402">
        <v>0</v>
      </c>
      <c r="J99" s="402">
        <v>156720</v>
      </c>
      <c r="K99" s="402">
        <v>0</v>
      </c>
      <c r="L99" s="402">
        <v>0</v>
      </c>
      <c r="M99" s="402">
        <v>31750</v>
      </c>
      <c r="N99" s="402">
        <v>62416</v>
      </c>
      <c r="O99" s="402">
        <v>69297</v>
      </c>
      <c r="P99" s="402">
        <v>0</v>
      </c>
      <c r="Q99" s="402">
        <v>5000</v>
      </c>
      <c r="R99" s="402">
        <v>39320</v>
      </c>
      <c r="S99" s="402">
        <v>0</v>
      </c>
      <c r="T99" s="402">
        <v>0</v>
      </c>
      <c r="U99" s="402">
        <v>0</v>
      </c>
      <c r="V99" s="402">
        <v>0</v>
      </c>
      <c r="W99" s="402">
        <v>0</v>
      </c>
      <c r="X99" s="402">
        <v>114393</v>
      </c>
      <c r="Y99" s="402">
        <v>3978516.1000012481</v>
      </c>
      <c r="Z99" s="402">
        <v>1864794.6739737436</v>
      </c>
      <c r="AA99" s="402">
        <v>0</v>
      </c>
      <c r="AB99" s="402">
        <v>788395.81194456958</v>
      </c>
      <c r="AC99" s="402">
        <v>77346.318494909676</v>
      </c>
      <c r="AD99" s="402">
        <v>144382.27933517942</v>
      </c>
      <c r="AE99" s="402">
        <v>0</v>
      </c>
      <c r="AF99" s="402">
        <v>47993.012093806035</v>
      </c>
      <c r="AG99" s="402">
        <v>20310</v>
      </c>
      <c r="AH99" s="402">
        <v>5000</v>
      </c>
      <c r="AI99" s="402">
        <v>15675</v>
      </c>
      <c r="AJ99" s="402">
        <v>3873</v>
      </c>
      <c r="AK99" s="402">
        <v>35000</v>
      </c>
      <c r="AL99" s="402">
        <v>9000</v>
      </c>
      <c r="AM99" s="402">
        <v>58000</v>
      </c>
      <c r="AN99" s="402">
        <v>30000</v>
      </c>
      <c r="AO99" s="402">
        <v>92472</v>
      </c>
      <c r="AP99" s="402">
        <v>0</v>
      </c>
      <c r="AQ99" s="402">
        <v>28500</v>
      </c>
      <c r="AR99" s="402">
        <v>127694</v>
      </c>
      <c r="AS99" s="402">
        <v>64981</v>
      </c>
      <c r="AT99" s="402">
        <v>0</v>
      </c>
      <c r="AU99" s="402">
        <v>33485</v>
      </c>
      <c r="AV99" s="402">
        <v>12873</v>
      </c>
      <c r="AW99" s="402">
        <v>150</v>
      </c>
      <c r="AX99" s="402">
        <v>192241</v>
      </c>
      <c r="AY99" s="402">
        <v>38305</v>
      </c>
      <c r="AZ99" s="402">
        <v>183856</v>
      </c>
      <c r="BA99" s="402">
        <v>138425</v>
      </c>
      <c r="BB99" s="402">
        <v>0</v>
      </c>
      <c r="BC99" s="402">
        <v>0</v>
      </c>
      <c r="BD99" s="402">
        <v>0</v>
      </c>
      <c r="BE99" s="402">
        <v>4012752.0958422082</v>
      </c>
      <c r="BF99" s="402">
        <v>-34235.995840960182</v>
      </c>
      <c r="BG99" s="402">
        <v>-147045.11999999909</v>
      </c>
      <c r="BH99" s="402">
        <v>-181281.11584095928</v>
      </c>
      <c r="BI99" s="402">
        <v>0</v>
      </c>
      <c r="BJ99" s="402">
        <v>0</v>
      </c>
      <c r="BK99" s="402">
        <v>0</v>
      </c>
      <c r="BL99" s="402">
        <v>0</v>
      </c>
      <c r="BM99" s="402">
        <v>0</v>
      </c>
      <c r="BN99" s="402">
        <v>0</v>
      </c>
      <c r="BO99" s="402">
        <v>0</v>
      </c>
      <c r="BP99" s="402">
        <v>0</v>
      </c>
      <c r="BQ99" s="402">
        <v>0</v>
      </c>
      <c r="BR99" s="402">
        <v>0</v>
      </c>
      <c r="BS99" s="402">
        <v>-181281.11584095928</v>
      </c>
      <c r="BT99" s="402">
        <v>0</v>
      </c>
      <c r="BU99" s="402">
        <v>-181281.11584095928</v>
      </c>
      <c r="BV99" s="402">
        <v>11380</v>
      </c>
      <c r="BW99" s="402">
        <v>0</v>
      </c>
      <c r="BX99" s="402">
        <v>0</v>
      </c>
      <c r="BY99" s="402">
        <v>11380</v>
      </c>
      <c r="BZ99" s="402">
        <v>0</v>
      </c>
      <c r="CA99" s="402">
        <v>0</v>
      </c>
      <c r="CB99" s="402">
        <v>0</v>
      </c>
      <c r="CC99" s="402">
        <v>11380</v>
      </c>
      <c r="CD99" s="402">
        <v>11380</v>
      </c>
      <c r="CE99" s="402">
        <v>0</v>
      </c>
      <c r="CF99" s="402">
        <v>0</v>
      </c>
      <c r="CG99" s="402">
        <v>0</v>
      </c>
      <c r="CH99" s="402">
        <f>VLOOKUP($B99,'Data - CFR 2024-25'!$B$4:$CJ$127,85,0)</f>
        <v>0</v>
      </c>
      <c r="CI99" s="402">
        <f>VLOOKUP($B99,'Data - CFR 2024-25'!$B$4:$CJ$127,86,0)</f>
        <v>0</v>
      </c>
      <c r="CJ99" s="402">
        <f>VLOOKUP($B99,'Data - CFR 2024-25'!$B$4:$CJ$127,87,0)</f>
        <v>0</v>
      </c>
    </row>
    <row r="100" spans="1:88" ht="13.8">
      <c r="A100" s="252" t="s">
        <v>1384</v>
      </c>
      <c r="B100" s="288">
        <v>3356</v>
      </c>
      <c r="C100" s="288" t="s">
        <v>805</v>
      </c>
      <c r="D100" s="248" t="s">
        <v>708</v>
      </c>
      <c r="E100" s="403"/>
      <c r="F100" s="402">
        <v>866838.42801322183</v>
      </c>
      <c r="G100" s="402">
        <v>0</v>
      </c>
      <c r="H100" s="402">
        <v>35755.800000000003</v>
      </c>
      <c r="I100" s="402">
        <v>0</v>
      </c>
      <c r="J100" s="402">
        <v>49945</v>
      </c>
      <c r="K100" s="402">
        <v>0</v>
      </c>
      <c r="L100" s="402">
        <v>0</v>
      </c>
      <c r="M100" s="402">
        <v>7500</v>
      </c>
      <c r="N100" s="402">
        <v>2500</v>
      </c>
      <c r="O100" s="402">
        <v>0</v>
      </c>
      <c r="P100" s="402">
        <v>0</v>
      </c>
      <c r="Q100" s="402">
        <v>0</v>
      </c>
      <c r="R100" s="402">
        <v>0</v>
      </c>
      <c r="S100" s="402">
        <v>58848</v>
      </c>
      <c r="T100" s="402">
        <v>0</v>
      </c>
      <c r="U100" s="402">
        <v>0</v>
      </c>
      <c r="V100" s="402">
        <v>0</v>
      </c>
      <c r="W100" s="402">
        <v>0</v>
      </c>
      <c r="X100" s="402">
        <v>38991</v>
      </c>
      <c r="Y100" s="402">
        <v>1060378.2280132219</v>
      </c>
      <c r="Z100" s="402">
        <v>574498.98712378647</v>
      </c>
      <c r="AA100" s="402">
        <v>2000</v>
      </c>
      <c r="AB100" s="402">
        <v>200815.31171114033</v>
      </c>
      <c r="AC100" s="402">
        <v>25439.294999999998</v>
      </c>
      <c r="AD100" s="402">
        <v>57458.493658907479</v>
      </c>
      <c r="AE100" s="402">
        <v>0</v>
      </c>
      <c r="AF100" s="402">
        <v>690.87421871881497</v>
      </c>
      <c r="AG100" s="402">
        <v>600</v>
      </c>
      <c r="AH100" s="402">
        <v>6520.91</v>
      </c>
      <c r="AI100" s="402">
        <v>3700</v>
      </c>
      <c r="AJ100" s="402">
        <v>0</v>
      </c>
      <c r="AK100" s="402">
        <v>9500</v>
      </c>
      <c r="AL100" s="402">
        <v>500</v>
      </c>
      <c r="AM100" s="402">
        <v>28000</v>
      </c>
      <c r="AN100" s="402">
        <v>2000</v>
      </c>
      <c r="AO100" s="402">
        <v>28000</v>
      </c>
      <c r="AP100" s="402">
        <v>0</v>
      </c>
      <c r="AQ100" s="402">
        <v>5300</v>
      </c>
      <c r="AR100" s="402">
        <v>32571</v>
      </c>
      <c r="AS100" s="402">
        <v>34421</v>
      </c>
      <c r="AT100" s="402">
        <v>0</v>
      </c>
      <c r="AU100" s="402">
        <v>9565</v>
      </c>
      <c r="AV100" s="402">
        <v>4000</v>
      </c>
      <c r="AW100" s="402">
        <v>0</v>
      </c>
      <c r="AX100" s="402">
        <v>33620</v>
      </c>
      <c r="AY100" s="402">
        <v>59000</v>
      </c>
      <c r="AZ100" s="402">
        <v>11500</v>
      </c>
      <c r="BA100" s="402">
        <v>26346</v>
      </c>
      <c r="BB100" s="402">
        <v>0</v>
      </c>
      <c r="BC100" s="402">
        <v>0</v>
      </c>
      <c r="BD100" s="402">
        <v>0</v>
      </c>
      <c r="BE100" s="402">
        <v>1156046.8717125533</v>
      </c>
      <c r="BF100" s="402">
        <v>-95668.643699331442</v>
      </c>
      <c r="BG100" s="402">
        <v>257639.14000000013</v>
      </c>
      <c r="BH100" s="402">
        <v>161970.49630066869</v>
      </c>
      <c r="BI100" s="402">
        <v>0</v>
      </c>
      <c r="BJ100" s="402">
        <v>0</v>
      </c>
      <c r="BK100" s="402">
        <v>0</v>
      </c>
      <c r="BL100" s="402">
        <v>0</v>
      </c>
      <c r="BM100" s="402">
        <v>0</v>
      </c>
      <c r="BN100" s="402">
        <v>0</v>
      </c>
      <c r="BO100" s="402">
        <v>0</v>
      </c>
      <c r="BP100" s="402">
        <v>0</v>
      </c>
      <c r="BQ100" s="402">
        <v>0</v>
      </c>
      <c r="BR100" s="402">
        <v>0</v>
      </c>
      <c r="BS100" s="402">
        <v>161970.49630066869</v>
      </c>
      <c r="BT100" s="402">
        <v>0</v>
      </c>
      <c r="BU100" s="402">
        <v>161970.49630066869</v>
      </c>
      <c r="BV100" s="402">
        <v>0</v>
      </c>
      <c r="BW100" s="402">
        <v>0</v>
      </c>
      <c r="BX100" s="402">
        <v>0</v>
      </c>
      <c r="BY100" s="402">
        <v>0</v>
      </c>
      <c r="BZ100" s="402">
        <v>0</v>
      </c>
      <c r="CA100" s="402">
        <v>0</v>
      </c>
      <c r="CB100" s="402">
        <v>0</v>
      </c>
      <c r="CC100" s="402">
        <v>0</v>
      </c>
      <c r="CD100" s="402">
        <v>0</v>
      </c>
      <c r="CE100" s="402">
        <v>0</v>
      </c>
      <c r="CF100" s="402">
        <v>0</v>
      </c>
      <c r="CG100" s="402">
        <v>0</v>
      </c>
      <c r="CH100" s="402">
        <f>VLOOKUP($B100,'Data - CFR 2024-25'!$B$4:$CJ$127,85,0)</f>
        <v>0</v>
      </c>
      <c r="CI100" s="402">
        <f>VLOOKUP($B100,'Data - CFR 2024-25'!$B$4:$CJ$127,86,0)</f>
        <v>0</v>
      </c>
      <c r="CJ100" s="402">
        <f>VLOOKUP($B100,'Data - CFR 2024-25'!$B$4:$CJ$127,87,0)</f>
        <v>0</v>
      </c>
    </row>
    <row r="101" spans="1:88" ht="13.8">
      <c r="A101" s="252" t="s">
        <v>1384</v>
      </c>
      <c r="B101" s="288">
        <v>3358</v>
      </c>
      <c r="C101" s="288" t="s">
        <v>806</v>
      </c>
      <c r="D101" s="248" t="s">
        <v>708</v>
      </c>
      <c r="E101" s="403"/>
      <c r="F101" s="402">
        <v>1340633.8700000001</v>
      </c>
      <c r="G101" s="402">
        <v>0</v>
      </c>
      <c r="H101" s="402">
        <v>16982.400000000001</v>
      </c>
      <c r="I101" s="402">
        <v>0</v>
      </c>
      <c r="J101" s="402">
        <v>120140</v>
      </c>
      <c r="K101" s="402">
        <v>0</v>
      </c>
      <c r="L101" s="402">
        <v>0</v>
      </c>
      <c r="M101" s="402">
        <v>9500</v>
      </c>
      <c r="N101" s="402">
        <v>91600</v>
      </c>
      <c r="O101" s="402">
        <v>0</v>
      </c>
      <c r="P101" s="402">
        <v>0</v>
      </c>
      <c r="Q101" s="402">
        <v>0</v>
      </c>
      <c r="R101" s="402">
        <v>0</v>
      </c>
      <c r="S101" s="402">
        <v>0</v>
      </c>
      <c r="T101" s="402">
        <v>0</v>
      </c>
      <c r="U101" s="402">
        <v>0</v>
      </c>
      <c r="V101" s="402">
        <v>0</v>
      </c>
      <c r="W101" s="402">
        <v>0</v>
      </c>
      <c r="X101" s="402">
        <v>46628.4</v>
      </c>
      <c r="Y101" s="402">
        <v>1625484.67</v>
      </c>
      <c r="Z101" s="402">
        <v>793203.93</v>
      </c>
      <c r="AA101" s="402">
        <v>0</v>
      </c>
      <c r="AB101" s="402">
        <v>289721.90999999997</v>
      </c>
      <c r="AC101" s="402">
        <v>56158.93</v>
      </c>
      <c r="AD101" s="402">
        <v>124122.4</v>
      </c>
      <c r="AE101" s="402">
        <v>0</v>
      </c>
      <c r="AF101" s="402">
        <v>8604.67</v>
      </c>
      <c r="AG101" s="402">
        <v>26700</v>
      </c>
      <c r="AH101" s="402">
        <v>3000</v>
      </c>
      <c r="AI101" s="402">
        <v>5900</v>
      </c>
      <c r="AJ101" s="402">
        <v>0</v>
      </c>
      <c r="AK101" s="402">
        <v>22087</v>
      </c>
      <c r="AL101" s="402">
        <v>2000</v>
      </c>
      <c r="AM101" s="402">
        <v>2500</v>
      </c>
      <c r="AN101" s="402">
        <v>6500</v>
      </c>
      <c r="AO101" s="402">
        <v>33000</v>
      </c>
      <c r="AP101" s="402">
        <v>0</v>
      </c>
      <c r="AQ101" s="402">
        <v>12920</v>
      </c>
      <c r="AR101" s="402">
        <v>51500</v>
      </c>
      <c r="AS101" s="402">
        <v>31800</v>
      </c>
      <c r="AT101" s="402">
        <v>0</v>
      </c>
      <c r="AU101" s="402">
        <v>11295</v>
      </c>
      <c r="AV101" s="402">
        <v>5900</v>
      </c>
      <c r="AW101" s="402">
        <v>0</v>
      </c>
      <c r="AX101" s="402">
        <v>50000</v>
      </c>
      <c r="AY101" s="402">
        <v>13000</v>
      </c>
      <c r="AZ101" s="402">
        <v>38855</v>
      </c>
      <c r="BA101" s="402">
        <v>18252</v>
      </c>
      <c r="BB101" s="402">
        <v>0</v>
      </c>
      <c r="BC101" s="402">
        <v>0</v>
      </c>
      <c r="BD101" s="402">
        <v>0</v>
      </c>
      <c r="BE101" s="402">
        <v>1607020.8399999999</v>
      </c>
      <c r="BF101" s="402">
        <v>18463.830000000075</v>
      </c>
      <c r="BG101" s="402">
        <v>30349.039999999943</v>
      </c>
      <c r="BH101" s="402">
        <v>48812.870000000017</v>
      </c>
      <c r="BI101" s="402">
        <v>0</v>
      </c>
      <c r="BJ101" s="402">
        <v>115200</v>
      </c>
      <c r="BK101" s="402">
        <v>115200</v>
      </c>
      <c r="BL101" s="402">
        <v>85630.31</v>
      </c>
      <c r="BM101" s="402">
        <v>2510</v>
      </c>
      <c r="BN101" s="402">
        <v>88140.31</v>
      </c>
      <c r="BO101" s="402">
        <v>27059.690000000002</v>
      </c>
      <c r="BP101" s="402">
        <v>-96.000000000000568</v>
      </c>
      <c r="BQ101" s="402">
        <v>26963.690000000002</v>
      </c>
      <c r="BR101" s="402">
        <v>0</v>
      </c>
      <c r="BS101" s="402">
        <v>48812.870000000017</v>
      </c>
      <c r="BT101" s="402">
        <v>26963.690000000002</v>
      </c>
      <c r="BU101" s="402">
        <v>75776.560000000027</v>
      </c>
      <c r="BV101" s="402">
        <v>0</v>
      </c>
      <c r="BW101" s="402">
        <v>0</v>
      </c>
      <c r="BX101" s="402">
        <v>0</v>
      </c>
      <c r="BY101" s="402">
        <v>0</v>
      </c>
      <c r="BZ101" s="402">
        <v>0</v>
      </c>
      <c r="CA101" s="402">
        <v>0</v>
      </c>
      <c r="CB101" s="402">
        <v>0</v>
      </c>
      <c r="CC101" s="402">
        <v>0</v>
      </c>
      <c r="CD101" s="402">
        <v>0</v>
      </c>
      <c r="CE101" s="402">
        <v>0</v>
      </c>
      <c r="CF101" s="402">
        <v>0</v>
      </c>
      <c r="CG101" s="402">
        <v>0</v>
      </c>
      <c r="CH101" s="402">
        <f>VLOOKUP($B101,'Data - CFR 2024-25'!$B$4:$CJ$127,85,0)</f>
        <v>0</v>
      </c>
      <c r="CI101" s="402">
        <f>VLOOKUP($B101,'Data - CFR 2024-25'!$B$4:$CJ$127,86,0)</f>
        <v>0</v>
      </c>
      <c r="CJ101" s="402">
        <f>VLOOKUP($B101,'Data - CFR 2024-25'!$B$4:$CJ$127,87,0)</f>
        <v>0</v>
      </c>
    </row>
    <row r="102" spans="1:88" ht="13.8">
      <c r="A102" s="252" t="s">
        <v>1384</v>
      </c>
      <c r="B102" s="288">
        <v>3029</v>
      </c>
      <c r="C102" s="288" t="s">
        <v>807</v>
      </c>
      <c r="D102" s="248" t="s">
        <v>708</v>
      </c>
      <c r="E102" s="403"/>
      <c r="F102" s="402">
        <v>846636.37476033298</v>
      </c>
      <c r="G102" s="402">
        <v>0</v>
      </c>
      <c r="H102" s="402">
        <v>41650</v>
      </c>
      <c r="I102" s="402">
        <v>0</v>
      </c>
      <c r="J102" s="402">
        <v>31815</v>
      </c>
      <c r="K102" s="402">
        <v>0</v>
      </c>
      <c r="L102" s="402">
        <v>0</v>
      </c>
      <c r="M102" s="402">
        <v>0</v>
      </c>
      <c r="N102" s="402">
        <v>11950</v>
      </c>
      <c r="O102" s="402">
        <v>13050</v>
      </c>
      <c r="P102" s="402">
        <v>11270</v>
      </c>
      <c r="Q102" s="402">
        <v>0</v>
      </c>
      <c r="R102" s="402">
        <v>10000</v>
      </c>
      <c r="S102" s="402">
        <v>10000</v>
      </c>
      <c r="T102" s="402">
        <v>0</v>
      </c>
      <c r="U102" s="402">
        <v>0</v>
      </c>
      <c r="V102" s="402">
        <v>0</v>
      </c>
      <c r="W102" s="402">
        <v>0</v>
      </c>
      <c r="X102" s="402">
        <v>39550</v>
      </c>
      <c r="Y102" s="402">
        <v>1015921.374760333</v>
      </c>
      <c r="Z102" s="402">
        <v>596929.08601116354</v>
      </c>
      <c r="AA102" s="402">
        <v>22760</v>
      </c>
      <c r="AB102" s="402">
        <v>200014.54712598198</v>
      </c>
      <c r="AC102" s="402">
        <v>16368.538550936308</v>
      </c>
      <c r="AD102" s="402">
        <v>52555.636941555509</v>
      </c>
      <c r="AE102" s="402">
        <v>38364.063300033784</v>
      </c>
      <c r="AF102" s="402">
        <v>20084.514754037566</v>
      </c>
      <c r="AG102" s="402">
        <v>4830</v>
      </c>
      <c r="AH102" s="402">
        <v>3000</v>
      </c>
      <c r="AI102" s="402">
        <v>4000</v>
      </c>
      <c r="AJ102" s="402">
        <v>0</v>
      </c>
      <c r="AK102" s="402">
        <v>9850</v>
      </c>
      <c r="AL102" s="402">
        <v>1570</v>
      </c>
      <c r="AM102" s="402">
        <v>4400</v>
      </c>
      <c r="AN102" s="402">
        <v>5200</v>
      </c>
      <c r="AO102" s="402">
        <v>28800.04</v>
      </c>
      <c r="AP102" s="402">
        <v>0</v>
      </c>
      <c r="AQ102" s="402">
        <v>4989</v>
      </c>
      <c r="AR102" s="402">
        <v>39695</v>
      </c>
      <c r="AS102" s="402">
        <v>24687</v>
      </c>
      <c r="AT102" s="402">
        <v>0</v>
      </c>
      <c r="AU102" s="402">
        <v>6195</v>
      </c>
      <c r="AV102" s="402">
        <v>3825</v>
      </c>
      <c r="AW102" s="402">
        <v>1000</v>
      </c>
      <c r="AX102" s="402">
        <v>21276</v>
      </c>
      <c r="AY102" s="402">
        <v>0</v>
      </c>
      <c r="AZ102" s="402">
        <v>9550</v>
      </c>
      <c r="BA102" s="402">
        <v>18515</v>
      </c>
      <c r="BB102" s="402">
        <v>0</v>
      </c>
      <c r="BC102" s="402">
        <v>1644.96</v>
      </c>
      <c r="BD102" s="402">
        <v>4634</v>
      </c>
      <c r="BE102" s="402">
        <v>1144737.3866837088</v>
      </c>
      <c r="BF102" s="402">
        <v>-128816.01192337577</v>
      </c>
      <c r="BG102" s="402">
        <v>-59558.049999999581</v>
      </c>
      <c r="BH102" s="402">
        <v>-188374.06192337535</v>
      </c>
      <c r="BI102" s="402">
        <v>0</v>
      </c>
      <c r="BJ102" s="402">
        <v>0</v>
      </c>
      <c r="BK102" s="402">
        <v>0</v>
      </c>
      <c r="BL102" s="402">
        <v>0</v>
      </c>
      <c r="BM102" s="402">
        <v>0</v>
      </c>
      <c r="BN102" s="402">
        <v>0</v>
      </c>
      <c r="BO102" s="402">
        <v>0</v>
      </c>
      <c r="BP102" s="402">
        <v>0</v>
      </c>
      <c r="BQ102" s="402">
        <v>0</v>
      </c>
      <c r="BR102" s="402">
        <v>0</v>
      </c>
      <c r="BS102" s="402">
        <v>-188374.06192337535</v>
      </c>
      <c r="BT102" s="402">
        <v>0</v>
      </c>
      <c r="BU102" s="402">
        <v>-188374.06192337535</v>
      </c>
      <c r="BV102" s="402">
        <v>5969</v>
      </c>
      <c r="BW102" s="402">
        <v>0</v>
      </c>
      <c r="BX102" s="402">
        <v>0</v>
      </c>
      <c r="BY102" s="402">
        <v>5969</v>
      </c>
      <c r="BZ102" s="402">
        <v>0</v>
      </c>
      <c r="CA102" s="402">
        <v>17000</v>
      </c>
      <c r="CB102" s="402">
        <v>0</v>
      </c>
      <c r="CC102" s="402">
        <v>2000</v>
      </c>
      <c r="CD102" s="402">
        <v>19000</v>
      </c>
      <c r="CE102" s="402">
        <v>-13031</v>
      </c>
      <c r="CF102" s="402">
        <v>17389.120000000003</v>
      </c>
      <c r="CG102" s="402">
        <v>4358.1200000000026</v>
      </c>
      <c r="CH102" s="402">
        <f>VLOOKUP($B102,'Data - CFR 2024-25'!$B$4:$CJ$127,85,0)</f>
        <v>16795.68</v>
      </c>
      <c r="CI102" s="402">
        <f>VLOOKUP($B102,'Data - CFR 2024-25'!$B$4:$CJ$127,86,0)</f>
        <v>593.44000000000005</v>
      </c>
      <c r="CJ102" s="402">
        <f>VLOOKUP($B102,'Data - CFR 2024-25'!$B$4:$CJ$127,87,0)</f>
        <v>17389.12</v>
      </c>
    </row>
    <row r="103" spans="1:88" ht="13.8">
      <c r="A103" s="252" t="s">
        <v>1384</v>
      </c>
      <c r="B103" s="288">
        <v>2084</v>
      </c>
      <c r="C103" s="288" t="s">
        <v>808</v>
      </c>
      <c r="D103" s="248" t="s">
        <v>708</v>
      </c>
      <c r="E103" s="403"/>
      <c r="F103" s="402">
        <v>978637.91149597778</v>
      </c>
      <c r="G103" s="402">
        <v>0</v>
      </c>
      <c r="H103" s="402">
        <v>32887</v>
      </c>
      <c r="I103" s="402">
        <v>0</v>
      </c>
      <c r="J103" s="402">
        <v>64745</v>
      </c>
      <c r="K103" s="402">
        <v>0</v>
      </c>
      <c r="L103" s="402">
        <v>0</v>
      </c>
      <c r="M103" s="402">
        <v>4000</v>
      </c>
      <c r="N103" s="402">
        <v>5000</v>
      </c>
      <c r="O103" s="402">
        <v>13680</v>
      </c>
      <c r="P103" s="402">
        <v>0</v>
      </c>
      <c r="Q103" s="402">
        <v>0</v>
      </c>
      <c r="R103" s="402">
        <v>0</v>
      </c>
      <c r="S103" s="402">
        <v>0</v>
      </c>
      <c r="T103" s="402">
        <v>0</v>
      </c>
      <c r="U103" s="402">
        <v>0</v>
      </c>
      <c r="V103" s="402">
        <v>0</v>
      </c>
      <c r="W103" s="402">
        <v>0</v>
      </c>
      <c r="X103" s="402">
        <v>38288</v>
      </c>
      <c r="Y103" s="402">
        <v>1137237.9114959778</v>
      </c>
      <c r="Z103" s="402">
        <v>668535.08972319996</v>
      </c>
      <c r="AA103" s="402">
        <v>2000</v>
      </c>
      <c r="AB103" s="402">
        <v>228609.45055491803</v>
      </c>
      <c r="AC103" s="402">
        <v>21603.601454625779</v>
      </c>
      <c r="AD103" s="402">
        <v>52410.151421540926</v>
      </c>
      <c r="AE103" s="402">
        <v>0</v>
      </c>
      <c r="AF103" s="402">
        <v>18666.415819838719</v>
      </c>
      <c r="AG103" s="402">
        <v>3900</v>
      </c>
      <c r="AH103" s="402">
        <v>5000</v>
      </c>
      <c r="AI103" s="402">
        <v>4275</v>
      </c>
      <c r="AJ103" s="402">
        <v>300</v>
      </c>
      <c r="AK103" s="402">
        <v>7000</v>
      </c>
      <c r="AL103" s="402">
        <v>4000</v>
      </c>
      <c r="AM103" s="402">
        <v>3500</v>
      </c>
      <c r="AN103" s="402">
        <v>4000</v>
      </c>
      <c r="AO103" s="402">
        <v>20000</v>
      </c>
      <c r="AP103" s="402">
        <v>0</v>
      </c>
      <c r="AQ103" s="402">
        <v>2283</v>
      </c>
      <c r="AR103" s="402">
        <v>16780</v>
      </c>
      <c r="AS103" s="402">
        <v>19158</v>
      </c>
      <c r="AT103" s="402">
        <v>0</v>
      </c>
      <c r="AU103" s="402">
        <v>6950</v>
      </c>
      <c r="AV103" s="402">
        <v>4958.08</v>
      </c>
      <c r="AW103" s="402">
        <v>0</v>
      </c>
      <c r="AX103" s="402">
        <v>53724</v>
      </c>
      <c r="AY103" s="402">
        <v>0</v>
      </c>
      <c r="AZ103" s="402">
        <v>13000</v>
      </c>
      <c r="BA103" s="402">
        <v>10369</v>
      </c>
      <c r="BB103" s="402">
        <v>0</v>
      </c>
      <c r="BC103" s="402">
        <v>0</v>
      </c>
      <c r="BD103" s="402">
        <v>5160</v>
      </c>
      <c r="BE103" s="402">
        <v>1176181.7889741235</v>
      </c>
      <c r="BF103" s="402">
        <v>-38943.877478145761</v>
      </c>
      <c r="BG103" s="402">
        <v>41908.050000000454</v>
      </c>
      <c r="BH103" s="402">
        <v>2964.1725218546926</v>
      </c>
      <c r="BI103" s="402">
        <v>0</v>
      </c>
      <c r="BJ103" s="402">
        <v>0</v>
      </c>
      <c r="BK103" s="402">
        <v>0</v>
      </c>
      <c r="BL103" s="402">
        <v>0</v>
      </c>
      <c r="BM103" s="402">
        <v>0</v>
      </c>
      <c r="BN103" s="402">
        <v>0</v>
      </c>
      <c r="BO103" s="402">
        <v>0</v>
      </c>
      <c r="BP103" s="402">
        <v>0</v>
      </c>
      <c r="BQ103" s="402">
        <v>0</v>
      </c>
      <c r="BR103" s="402">
        <v>0</v>
      </c>
      <c r="BS103" s="402">
        <v>2964.1725218546926</v>
      </c>
      <c r="BT103" s="402">
        <v>0</v>
      </c>
      <c r="BU103" s="402">
        <v>2964.1725218546926</v>
      </c>
      <c r="BV103" s="402">
        <v>5924</v>
      </c>
      <c r="BW103" s="402">
        <v>0</v>
      </c>
      <c r="BX103" s="402">
        <v>0</v>
      </c>
      <c r="BY103" s="402">
        <v>5924</v>
      </c>
      <c r="BZ103" s="402">
        <v>0</v>
      </c>
      <c r="CA103" s="402">
        <v>98054.26</v>
      </c>
      <c r="CB103" s="402">
        <v>0</v>
      </c>
      <c r="CC103" s="402">
        <v>0</v>
      </c>
      <c r="CD103" s="402">
        <v>98054.26</v>
      </c>
      <c r="CE103" s="402">
        <v>-92130.26</v>
      </c>
      <c r="CF103" s="402">
        <v>92130.25999999998</v>
      </c>
      <c r="CG103" s="402">
        <v>0</v>
      </c>
      <c r="CH103" s="402">
        <f>VLOOKUP($B103,'Data - CFR 2024-25'!$B$4:$CJ$127,85,0)</f>
        <v>259.5</v>
      </c>
      <c r="CI103" s="402">
        <f>VLOOKUP($B103,'Data - CFR 2024-25'!$B$4:$CJ$127,86,0)</f>
        <v>91870.760000000009</v>
      </c>
      <c r="CJ103" s="402">
        <f>VLOOKUP($B103,'Data - CFR 2024-25'!$B$4:$CJ$127,87,0)</f>
        <v>92130.260000000009</v>
      </c>
    </row>
    <row r="104" spans="1:88" ht="13.8">
      <c r="A104" s="252" t="s">
        <v>1384</v>
      </c>
      <c r="B104" s="288">
        <v>2443</v>
      </c>
      <c r="C104" s="288" t="s">
        <v>809</v>
      </c>
      <c r="D104" s="248" t="s">
        <v>708</v>
      </c>
      <c r="E104" s="403"/>
      <c r="F104" s="402">
        <v>1951899</v>
      </c>
      <c r="G104" s="402">
        <v>0</v>
      </c>
      <c r="H104" s="402">
        <v>135465</v>
      </c>
      <c r="I104" s="402">
        <v>0</v>
      </c>
      <c r="J104" s="402">
        <v>76700</v>
      </c>
      <c r="K104" s="402">
        <v>0</v>
      </c>
      <c r="L104" s="402">
        <v>0</v>
      </c>
      <c r="M104" s="402">
        <v>39000</v>
      </c>
      <c r="N104" s="402">
        <v>3150</v>
      </c>
      <c r="O104" s="402">
        <v>0</v>
      </c>
      <c r="P104" s="402">
        <v>0</v>
      </c>
      <c r="Q104" s="402">
        <v>0</v>
      </c>
      <c r="R104" s="402">
        <v>1</v>
      </c>
      <c r="S104" s="402">
        <v>8500</v>
      </c>
      <c r="T104" s="402">
        <v>0</v>
      </c>
      <c r="U104" s="402">
        <v>0</v>
      </c>
      <c r="V104" s="402">
        <v>0</v>
      </c>
      <c r="W104" s="402">
        <v>0</v>
      </c>
      <c r="X104" s="402">
        <v>89976</v>
      </c>
      <c r="Y104" s="402">
        <v>2304691</v>
      </c>
      <c r="Z104" s="402">
        <v>1115890</v>
      </c>
      <c r="AA104" s="402">
        <v>6000</v>
      </c>
      <c r="AB104" s="402">
        <v>651890</v>
      </c>
      <c r="AC104" s="402">
        <v>61776</v>
      </c>
      <c r="AD104" s="402">
        <v>109617</v>
      </c>
      <c r="AE104" s="402">
        <v>0</v>
      </c>
      <c r="AF104" s="402">
        <v>43716</v>
      </c>
      <c r="AG104" s="402">
        <v>9900</v>
      </c>
      <c r="AH104" s="402">
        <v>4000</v>
      </c>
      <c r="AI104" s="402">
        <v>0</v>
      </c>
      <c r="AJ104" s="402">
        <v>0</v>
      </c>
      <c r="AK104" s="402">
        <v>13000</v>
      </c>
      <c r="AL104" s="402">
        <v>2000</v>
      </c>
      <c r="AM104" s="402">
        <v>5000</v>
      </c>
      <c r="AN104" s="402">
        <v>15000</v>
      </c>
      <c r="AO104" s="402">
        <v>40000</v>
      </c>
      <c r="AP104" s="402">
        <v>0</v>
      </c>
      <c r="AQ104" s="402">
        <v>13875</v>
      </c>
      <c r="AR104" s="402">
        <v>32000</v>
      </c>
      <c r="AS104" s="402">
        <v>48410</v>
      </c>
      <c r="AT104" s="402">
        <v>0</v>
      </c>
      <c r="AU104" s="402">
        <v>17325</v>
      </c>
      <c r="AV104" s="402">
        <v>10340</v>
      </c>
      <c r="AW104" s="402">
        <v>0</v>
      </c>
      <c r="AX104" s="402">
        <v>101114</v>
      </c>
      <c r="AY104" s="402">
        <v>15000</v>
      </c>
      <c r="AZ104" s="402">
        <v>22750</v>
      </c>
      <c r="BA104" s="402">
        <v>12750</v>
      </c>
      <c r="BB104" s="402">
        <v>0</v>
      </c>
      <c r="BC104" s="402">
        <v>3000</v>
      </c>
      <c r="BD104" s="402">
        <v>9000</v>
      </c>
      <c r="BE104" s="402">
        <v>2363355</v>
      </c>
      <c r="BF104" s="402">
        <v>-58664</v>
      </c>
      <c r="BG104" s="402">
        <v>97626</v>
      </c>
      <c r="BH104" s="402">
        <v>38962</v>
      </c>
      <c r="BI104" s="402">
        <v>0</v>
      </c>
      <c r="BJ104" s="402">
        <v>0</v>
      </c>
      <c r="BK104" s="402">
        <v>0</v>
      </c>
      <c r="BL104" s="402">
        <v>0</v>
      </c>
      <c r="BM104" s="402">
        <v>0</v>
      </c>
      <c r="BN104" s="402">
        <v>0</v>
      </c>
      <c r="BO104" s="402">
        <v>0</v>
      </c>
      <c r="BP104" s="402">
        <v>0</v>
      </c>
      <c r="BQ104" s="402">
        <v>0</v>
      </c>
      <c r="BR104" s="402">
        <v>0</v>
      </c>
      <c r="BS104" s="402">
        <v>38962</v>
      </c>
      <c r="BT104" s="402">
        <v>0</v>
      </c>
      <c r="BU104" s="402">
        <v>38962</v>
      </c>
      <c r="BV104" s="402">
        <v>8500</v>
      </c>
      <c r="BW104" s="402">
        <v>0</v>
      </c>
      <c r="BX104" s="402">
        <v>0</v>
      </c>
      <c r="BY104" s="402">
        <v>8500</v>
      </c>
      <c r="BZ104" s="402">
        <v>0</v>
      </c>
      <c r="CA104" s="402">
        <v>28975</v>
      </c>
      <c r="CB104" s="402">
        <v>0</v>
      </c>
      <c r="CC104" s="402">
        <v>0</v>
      </c>
      <c r="CD104" s="402">
        <v>28975</v>
      </c>
      <c r="CE104" s="402">
        <v>-20475</v>
      </c>
      <c r="CF104" s="402">
        <v>20475</v>
      </c>
      <c r="CG104" s="402">
        <v>0</v>
      </c>
      <c r="CH104" s="402">
        <f>VLOOKUP($B104,'Data - CFR 2024-25'!$B$4:$CJ$127,85,0)</f>
        <v>14430.7</v>
      </c>
      <c r="CI104" s="402">
        <f>VLOOKUP($B104,'Data - CFR 2024-25'!$B$4:$CJ$127,86,0)</f>
        <v>6044.74</v>
      </c>
      <c r="CJ104" s="402">
        <f>VLOOKUP($B104,'Data - CFR 2024-25'!$B$4:$CJ$127,87,0)</f>
        <v>20475.440000000002</v>
      </c>
    </row>
    <row r="105" spans="1:88" ht="13.8">
      <c r="A105" s="252" t="s">
        <v>1384</v>
      </c>
      <c r="B105" s="288">
        <v>3052</v>
      </c>
      <c r="C105" s="288" t="s">
        <v>810</v>
      </c>
      <c r="D105" s="248" t="s">
        <v>708</v>
      </c>
      <c r="E105" s="403"/>
      <c r="F105" s="402">
        <v>1439785.3052786365</v>
      </c>
      <c r="G105" s="402">
        <v>0</v>
      </c>
      <c r="H105" s="402">
        <v>194553.47</v>
      </c>
      <c r="I105" s="402">
        <v>0</v>
      </c>
      <c r="J105" s="402">
        <v>88610</v>
      </c>
      <c r="K105" s="402">
        <v>0</v>
      </c>
      <c r="L105" s="402">
        <v>0</v>
      </c>
      <c r="M105" s="402">
        <v>7000</v>
      </c>
      <c r="N105" s="402">
        <v>32208.07</v>
      </c>
      <c r="O105" s="402">
        <v>24000</v>
      </c>
      <c r="P105" s="402">
        <v>2250</v>
      </c>
      <c r="Q105" s="402">
        <v>0</v>
      </c>
      <c r="R105" s="402">
        <v>79153</v>
      </c>
      <c r="S105" s="402">
        <v>2500</v>
      </c>
      <c r="T105" s="402">
        <v>0</v>
      </c>
      <c r="U105" s="402">
        <v>0</v>
      </c>
      <c r="V105" s="402">
        <v>0</v>
      </c>
      <c r="W105" s="402">
        <v>0</v>
      </c>
      <c r="X105" s="402">
        <v>65770</v>
      </c>
      <c r="Y105" s="402">
        <v>1935829.8452786366</v>
      </c>
      <c r="Z105" s="402">
        <v>921035.09684898169</v>
      </c>
      <c r="AA105" s="402">
        <v>7224.05</v>
      </c>
      <c r="AB105" s="402">
        <v>499714.62359206378</v>
      </c>
      <c r="AC105" s="402">
        <v>77295.637342101836</v>
      </c>
      <c r="AD105" s="402">
        <v>81281.642126814157</v>
      </c>
      <c r="AE105" s="402">
        <v>54492.957553948872</v>
      </c>
      <c r="AF105" s="402">
        <v>0</v>
      </c>
      <c r="AG105" s="402">
        <v>6570</v>
      </c>
      <c r="AH105" s="402">
        <v>4500</v>
      </c>
      <c r="AI105" s="402">
        <v>6625</v>
      </c>
      <c r="AJ105" s="402">
        <v>500</v>
      </c>
      <c r="AK105" s="402">
        <v>20000</v>
      </c>
      <c r="AL105" s="402">
        <v>7057</v>
      </c>
      <c r="AM105" s="402">
        <v>6175</v>
      </c>
      <c r="AN105" s="402">
        <v>8600</v>
      </c>
      <c r="AO105" s="402">
        <v>38950</v>
      </c>
      <c r="AP105" s="402">
        <v>0</v>
      </c>
      <c r="AQ105" s="402">
        <v>12940</v>
      </c>
      <c r="AR105" s="402">
        <v>76349.820000000007</v>
      </c>
      <c r="AS105" s="402">
        <v>30750</v>
      </c>
      <c r="AT105" s="402">
        <v>0</v>
      </c>
      <c r="AU105" s="402">
        <v>16683.010000000002</v>
      </c>
      <c r="AV105" s="402">
        <v>7200</v>
      </c>
      <c r="AW105" s="402">
        <v>0</v>
      </c>
      <c r="AX105" s="402">
        <v>34673</v>
      </c>
      <c r="AY105" s="402">
        <v>3500</v>
      </c>
      <c r="AZ105" s="402">
        <v>7130</v>
      </c>
      <c r="BA105" s="402">
        <v>19094.54</v>
      </c>
      <c r="BB105" s="402">
        <v>0</v>
      </c>
      <c r="BC105" s="402">
        <v>2000</v>
      </c>
      <c r="BD105" s="402">
        <v>5653</v>
      </c>
      <c r="BE105" s="402">
        <v>1955994.3774639107</v>
      </c>
      <c r="BF105" s="402">
        <v>-20164.532185274176</v>
      </c>
      <c r="BG105" s="402">
        <v>32413.150000000162</v>
      </c>
      <c r="BH105" s="402">
        <v>12248.617814725985</v>
      </c>
      <c r="BI105" s="402">
        <v>0</v>
      </c>
      <c r="BJ105" s="402">
        <v>167000</v>
      </c>
      <c r="BK105" s="402">
        <v>167000</v>
      </c>
      <c r="BL105" s="402">
        <v>173868.5615846054</v>
      </c>
      <c r="BM105" s="402">
        <v>36176</v>
      </c>
      <c r="BN105" s="402">
        <v>210044.5615846054</v>
      </c>
      <c r="BO105" s="402">
        <v>-43044.561584605399</v>
      </c>
      <c r="BP105" s="402">
        <v>50459.100000000006</v>
      </c>
      <c r="BQ105" s="402">
        <v>7414.538415394607</v>
      </c>
      <c r="BR105" s="402">
        <v>0</v>
      </c>
      <c r="BS105" s="402">
        <v>12248.617814725985</v>
      </c>
      <c r="BT105" s="402">
        <v>7414.538415394607</v>
      </c>
      <c r="BU105" s="402">
        <v>19663.156230120592</v>
      </c>
      <c r="BV105" s="402">
        <v>6869</v>
      </c>
      <c r="BW105" s="402">
        <v>0</v>
      </c>
      <c r="BX105" s="402">
        <v>0</v>
      </c>
      <c r="BY105" s="402">
        <v>6869</v>
      </c>
      <c r="BZ105" s="402">
        <v>0</v>
      </c>
      <c r="CA105" s="402">
        <v>6869</v>
      </c>
      <c r="CB105" s="402">
        <v>0</v>
      </c>
      <c r="CC105" s="402">
        <v>0</v>
      </c>
      <c r="CD105" s="402">
        <v>6869</v>
      </c>
      <c r="CE105" s="402">
        <v>0</v>
      </c>
      <c r="CF105" s="402">
        <v>0</v>
      </c>
      <c r="CG105" s="402">
        <v>0</v>
      </c>
      <c r="CH105" s="402">
        <f>VLOOKUP($B105,'Data - CFR 2024-25'!$B$4:$CJ$127,85,0)</f>
        <v>0</v>
      </c>
      <c r="CI105" s="402">
        <f>VLOOKUP($B105,'Data - CFR 2024-25'!$B$4:$CJ$127,86,0)</f>
        <v>0</v>
      </c>
      <c r="CJ105" s="402">
        <f>VLOOKUP($B105,'Data - CFR 2024-25'!$B$4:$CJ$127,87,0)</f>
        <v>0</v>
      </c>
    </row>
    <row r="106" spans="1:88" ht="13.8">
      <c r="A106" s="252" t="s">
        <v>1384</v>
      </c>
      <c r="B106" s="288">
        <v>2046</v>
      </c>
      <c r="C106" s="288" t="s">
        <v>811</v>
      </c>
      <c r="D106" s="248" t="s">
        <v>708</v>
      </c>
      <c r="E106" s="403"/>
      <c r="F106" s="402">
        <v>1553871.6499955645</v>
      </c>
      <c r="G106" s="402">
        <v>0</v>
      </c>
      <c r="H106" s="402">
        <v>65226</v>
      </c>
      <c r="I106" s="402">
        <v>0</v>
      </c>
      <c r="J106" s="402">
        <v>34165</v>
      </c>
      <c r="K106" s="402">
        <v>0</v>
      </c>
      <c r="L106" s="402">
        <v>0</v>
      </c>
      <c r="M106" s="402">
        <v>2800</v>
      </c>
      <c r="N106" s="402">
        <v>115700</v>
      </c>
      <c r="O106" s="402">
        <v>24500</v>
      </c>
      <c r="P106" s="402">
        <v>4500</v>
      </c>
      <c r="Q106" s="402">
        <v>0</v>
      </c>
      <c r="R106" s="402">
        <v>21976</v>
      </c>
      <c r="S106" s="402">
        <v>0</v>
      </c>
      <c r="T106" s="402">
        <v>0</v>
      </c>
      <c r="U106" s="402">
        <v>0</v>
      </c>
      <c r="V106" s="402">
        <v>0</v>
      </c>
      <c r="W106" s="402">
        <v>0</v>
      </c>
      <c r="X106" s="402">
        <v>74448</v>
      </c>
      <c r="Y106" s="402">
        <v>1897186.6499955645</v>
      </c>
      <c r="Z106" s="402">
        <v>1120836.7999031469</v>
      </c>
      <c r="AA106" s="402">
        <v>12500</v>
      </c>
      <c r="AB106" s="402">
        <v>279388.34477631666</v>
      </c>
      <c r="AC106" s="402">
        <v>81500.521765826212</v>
      </c>
      <c r="AD106" s="402">
        <v>106472.90990123324</v>
      </c>
      <c r="AE106" s="402">
        <v>0</v>
      </c>
      <c r="AF106" s="402">
        <v>39449.552854956855</v>
      </c>
      <c r="AG106" s="402">
        <v>8300</v>
      </c>
      <c r="AH106" s="402">
        <v>10000</v>
      </c>
      <c r="AI106" s="402">
        <v>7725</v>
      </c>
      <c r="AJ106" s="402">
        <v>1592</v>
      </c>
      <c r="AK106" s="402">
        <v>10000</v>
      </c>
      <c r="AL106" s="402">
        <v>3000</v>
      </c>
      <c r="AM106" s="402">
        <v>6150</v>
      </c>
      <c r="AN106" s="402">
        <v>5000</v>
      </c>
      <c r="AO106" s="402">
        <v>32500</v>
      </c>
      <c r="AP106" s="402">
        <v>0</v>
      </c>
      <c r="AQ106" s="402">
        <v>7262</v>
      </c>
      <c r="AR106" s="402">
        <v>62814</v>
      </c>
      <c r="AS106" s="402">
        <v>36765</v>
      </c>
      <c r="AT106" s="402">
        <v>0</v>
      </c>
      <c r="AU106" s="402">
        <v>8207</v>
      </c>
      <c r="AV106" s="402">
        <v>8606</v>
      </c>
      <c r="AW106" s="402">
        <v>0</v>
      </c>
      <c r="AX106" s="402">
        <v>79775</v>
      </c>
      <c r="AY106" s="402">
        <v>3500</v>
      </c>
      <c r="AZ106" s="402">
        <v>5270</v>
      </c>
      <c r="BA106" s="402">
        <v>15187</v>
      </c>
      <c r="BB106" s="402">
        <v>0</v>
      </c>
      <c r="BC106" s="402">
        <v>1685</v>
      </c>
      <c r="BD106" s="402">
        <v>4350</v>
      </c>
      <c r="BE106" s="402">
        <v>1957836.1292014797</v>
      </c>
      <c r="BF106" s="402">
        <v>-60649.479205915239</v>
      </c>
      <c r="BG106" s="402">
        <v>124477.64999999985</v>
      </c>
      <c r="BH106" s="402">
        <v>63828.17079408461</v>
      </c>
      <c r="BI106" s="402">
        <v>155000</v>
      </c>
      <c r="BJ106" s="402">
        <v>135000</v>
      </c>
      <c r="BK106" s="402">
        <v>290000</v>
      </c>
      <c r="BL106" s="402">
        <v>225529.45479167919</v>
      </c>
      <c r="BM106" s="402">
        <v>88500</v>
      </c>
      <c r="BN106" s="402">
        <v>314029.45479167916</v>
      </c>
      <c r="BO106" s="402">
        <v>-24029.454791679163</v>
      </c>
      <c r="BP106" s="402">
        <v>65869.909999999974</v>
      </c>
      <c r="BQ106" s="402">
        <v>41840.455208320811</v>
      </c>
      <c r="BR106" s="402">
        <v>0</v>
      </c>
      <c r="BS106" s="402">
        <v>63828.17079408461</v>
      </c>
      <c r="BT106" s="402">
        <v>41840.455208320811</v>
      </c>
      <c r="BU106" s="402">
        <v>105668.62600240542</v>
      </c>
      <c r="BV106" s="402">
        <v>7521</v>
      </c>
      <c r="BW106" s="402">
        <v>0</v>
      </c>
      <c r="BX106" s="402">
        <v>0</v>
      </c>
      <c r="BY106" s="402">
        <v>7521</v>
      </c>
      <c r="BZ106" s="402">
        <v>0</v>
      </c>
      <c r="CA106" s="402">
        <v>17005.18</v>
      </c>
      <c r="CB106" s="402">
        <v>0</v>
      </c>
      <c r="CC106" s="402">
        <v>0</v>
      </c>
      <c r="CD106" s="402">
        <v>17005.18</v>
      </c>
      <c r="CE106" s="402">
        <v>-9484.18</v>
      </c>
      <c r="CF106" s="402">
        <v>9484.18</v>
      </c>
      <c r="CG106" s="402">
        <v>0</v>
      </c>
      <c r="CH106" s="402">
        <f>VLOOKUP($B106,'Data - CFR 2024-25'!$B$4:$CJ$127,85,0)</f>
        <v>9484.18</v>
      </c>
      <c r="CI106" s="402">
        <f>VLOOKUP($B106,'Data - CFR 2024-25'!$B$4:$CJ$127,86,0)</f>
        <v>0</v>
      </c>
      <c r="CJ106" s="402">
        <f>VLOOKUP($B106,'Data - CFR 2024-25'!$B$4:$CJ$127,87,0)</f>
        <v>9484.18</v>
      </c>
    </row>
    <row r="107" spans="1:88" ht="13.8">
      <c r="A107" s="252" t="s">
        <v>1384</v>
      </c>
      <c r="B107" s="288">
        <v>3325</v>
      </c>
      <c r="C107" s="288" t="s">
        <v>812</v>
      </c>
      <c r="D107" s="248" t="s">
        <v>708</v>
      </c>
      <c r="E107" s="403"/>
      <c r="F107" s="402">
        <v>995026</v>
      </c>
      <c r="G107" s="402">
        <v>0</v>
      </c>
      <c r="H107" s="402">
        <v>72194</v>
      </c>
      <c r="I107" s="402">
        <v>0</v>
      </c>
      <c r="J107" s="402">
        <v>103735</v>
      </c>
      <c r="K107" s="402">
        <v>0</v>
      </c>
      <c r="L107" s="402">
        <v>1000</v>
      </c>
      <c r="M107" s="402">
        <v>4800</v>
      </c>
      <c r="N107" s="402">
        <v>34150</v>
      </c>
      <c r="O107" s="402">
        <v>14200</v>
      </c>
      <c r="P107" s="402">
        <v>0</v>
      </c>
      <c r="Q107" s="402">
        <v>0</v>
      </c>
      <c r="R107" s="402">
        <v>13320</v>
      </c>
      <c r="S107" s="402">
        <v>4600</v>
      </c>
      <c r="T107" s="402">
        <v>0</v>
      </c>
      <c r="U107" s="402">
        <v>0</v>
      </c>
      <c r="V107" s="402">
        <v>0</v>
      </c>
      <c r="W107" s="402">
        <v>0</v>
      </c>
      <c r="X107" s="402">
        <v>33637</v>
      </c>
      <c r="Y107" s="402">
        <v>1276662</v>
      </c>
      <c r="Z107" s="402">
        <v>630416</v>
      </c>
      <c r="AA107" s="402">
        <v>1000</v>
      </c>
      <c r="AB107" s="402">
        <v>291097</v>
      </c>
      <c r="AC107" s="402">
        <v>0</v>
      </c>
      <c r="AD107" s="402">
        <v>79919</v>
      </c>
      <c r="AE107" s="402">
        <v>0</v>
      </c>
      <c r="AF107" s="402">
        <v>38589</v>
      </c>
      <c r="AG107" s="402">
        <v>3790</v>
      </c>
      <c r="AH107" s="402">
        <v>4200</v>
      </c>
      <c r="AI107" s="402">
        <v>4375</v>
      </c>
      <c r="AJ107" s="402">
        <v>0</v>
      </c>
      <c r="AK107" s="402">
        <v>10000</v>
      </c>
      <c r="AL107" s="402">
        <v>4900</v>
      </c>
      <c r="AM107" s="402">
        <v>33844</v>
      </c>
      <c r="AN107" s="402">
        <v>4500</v>
      </c>
      <c r="AO107" s="402">
        <v>27000</v>
      </c>
      <c r="AP107" s="402">
        <v>0</v>
      </c>
      <c r="AQ107" s="402">
        <v>6981</v>
      </c>
      <c r="AR107" s="402">
        <v>27597</v>
      </c>
      <c r="AS107" s="402">
        <v>27028</v>
      </c>
      <c r="AT107" s="402">
        <v>0</v>
      </c>
      <c r="AU107" s="402">
        <v>9226</v>
      </c>
      <c r="AV107" s="402">
        <v>5006</v>
      </c>
      <c r="AW107" s="402">
        <v>1200</v>
      </c>
      <c r="AX107" s="402">
        <v>66237</v>
      </c>
      <c r="AY107" s="402">
        <v>3000</v>
      </c>
      <c r="AZ107" s="402">
        <v>9825</v>
      </c>
      <c r="BA107" s="402">
        <v>19669</v>
      </c>
      <c r="BB107" s="402">
        <v>0</v>
      </c>
      <c r="BC107" s="402">
        <v>0</v>
      </c>
      <c r="BD107" s="402">
        <v>2300</v>
      </c>
      <c r="BE107" s="402">
        <v>1311699</v>
      </c>
      <c r="BF107" s="402">
        <v>-35037</v>
      </c>
      <c r="BG107" s="402">
        <v>49673</v>
      </c>
      <c r="BH107" s="402">
        <v>14636</v>
      </c>
      <c r="BI107" s="402">
        <v>50000</v>
      </c>
      <c r="BJ107" s="402">
        <v>8200</v>
      </c>
      <c r="BK107" s="402">
        <v>58200</v>
      </c>
      <c r="BL107" s="402">
        <v>52596</v>
      </c>
      <c r="BM107" s="402">
        <v>10800</v>
      </c>
      <c r="BN107" s="402">
        <v>63396</v>
      </c>
      <c r="BO107" s="402">
        <v>-5196</v>
      </c>
      <c r="BP107" s="402">
        <v>175</v>
      </c>
      <c r="BQ107" s="402">
        <v>-5021</v>
      </c>
      <c r="BR107" s="402">
        <v>0</v>
      </c>
      <c r="BS107" s="402">
        <v>14636</v>
      </c>
      <c r="BT107" s="402">
        <v>-5021</v>
      </c>
      <c r="BU107" s="402">
        <v>9615</v>
      </c>
      <c r="BV107" s="402">
        <v>0</v>
      </c>
      <c r="BW107" s="402">
        <v>0</v>
      </c>
      <c r="BX107" s="402">
        <v>0</v>
      </c>
      <c r="BY107" s="402">
        <v>0</v>
      </c>
      <c r="BZ107" s="402">
        <v>0</v>
      </c>
      <c r="CA107" s="402">
        <v>0</v>
      </c>
      <c r="CB107" s="402">
        <v>0</v>
      </c>
      <c r="CC107" s="402">
        <v>0</v>
      </c>
      <c r="CD107" s="402">
        <v>0</v>
      </c>
      <c r="CE107" s="402">
        <v>0</v>
      </c>
      <c r="CF107" s="402">
        <v>0</v>
      </c>
      <c r="CG107" s="402">
        <v>0</v>
      </c>
      <c r="CH107" s="402">
        <f>VLOOKUP($B107,'Data - CFR 2024-25'!$B$4:$CJ$127,85,0)</f>
        <v>0</v>
      </c>
      <c r="CI107" s="402">
        <f>VLOOKUP($B107,'Data - CFR 2024-25'!$B$4:$CJ$127,86,0)</f>
        <v>0</v>
      </c>
      <c r="CJ107" s="402">
        <f>VLOOKUP($B107,'Data - CFR 2024-25'!$B$4:$CJ$127,87,0)</f>
        <v>0</v>
      </c>
    </row>
    <row r="108" spans="1:88" ht="13.8">
      <c r="A108" s="252" t="s">
        <v>1384</v>
      </c>
      <c r="B108" s="288">
        <v>1001</v>
      </c>
      <c r="C108" s="288" t="s">
        <v>813</v>
      </c>
      <c r="D108" s="248" t="s">
        <v>724</v>
      </c>
      <c r="E108" s="403"/>
      <c r="F108" s="402">
        <v>500488</v>
      </c>
      <c r="G108" s="402">
        <v>0</v>
      </c>
      <c r="H108" s="402">
        <v>6000</v>
      </c>
      <c r="I108" s="402">
        <v>0</v>
      </c>
      <c r="J108" s="402">
        <v>0</v>
      </c>
      <c r="K108" s="402">
        <v>0</v>
      </c>
      <c r="L108" s="402">
        <v>0</v>
      </c>
      <c r="M108" s="402">
        <v>5500</v>
      </c>
      <c r="N108" s="402">
        <v>41000</v>
      </c>
      <c r="O108" s="402">
        <v>46113</v>
      </c>
      <c r="P108" s="402">
        <v>0</v>
      </c>
      <c r="Q108" s="402">
        <v>0</v>
      </c>
      <c r="R108" s="402">
        <v>60000</v>
      </c>
      <c r="S108" s="402">
        <v>0</v>
      </c>
      <c r="T108" s="402">
        <v>0</v>
      </c>
      <c r="U108" s="402">
        <v>0</v>
      </c>
      <c r="V108" s="402">
        <v>0</v>
      </c>
      <c r="W108" s="402">
        <v>0</v>
      </c>
      <c r="X108" s="402">
        <v>0</v>
      </c>
      <c r="Y108" s="402">
        <v>659101</v>
      </c>
      <c r="Z108" s="402">
        <v>172788.01462079998</v>
      </c>
      <c r="AA108" s="402">
        <v>0</v>
      </c>
      <c r="AB108" s="402">
        <v>318318.25583473512</v>
      </c>
      <c r="AC108" s="402">
        <v>0</v>
      </c>
      <c r="AD108" s="402">
        <v>26241.208731944527</v>
      </c>
      <c r="AE108" s="402">
        <v>57654.575195174912</v>
      </c>
      <c r="AF108" s="402">
        <v>4318.5220381325234</v>
      </c>
      <c r="AG108" s="402">
        <v>2472</v>
      </c>
      <c r="AH108" s="402">
        <v>2000</v>
      </c>
      <c r="AI108" s="402">
        <v>2955</v>
      </c>
      <c r="AJ108" s="402">
        <v>0</v>
      </c>
      <c r="AK108" s="402">
        <v>12000</v>
      </c>
      <c r="AL108" s="402">
        <v>1296</v>
      </c>
      <c r="AM108" s="402">
        <v>15465</v>
      </c>
      <c r="AN108" s="402">
        <v>4000</v>
      </c>
      <c r="AO108" s="402">
        <v>9316</v>
      </c>
      <c r="AP108" s="402">
        <v>14596</v>
      </c>
      <c r="AQ108" s="402">
        <v>2967.12</v>
      </c>
      <c r="AR108" s="402">
        <v>3000</v>
      </c>
      <c r="AS108" s="402">
        <v>6390</v>
      </c>
      <c r="AT108" s="402">
        <v>0</v>
      </c>
      <c r="AU108" s="402">
        <v>1500</v>
      </c>
      <c r="AV108" s="402">
        <v>2100</v>
      </c>
      <c r="AW108" s="402">
        <v>0</v>
      </c>
      <c r="AX108" s="402">
        <v>14542.5</v>
      </c>
      <c r="AY108" s="402">
        <v>0</v>
      </c>
      <c r="AZ108" s="402">
        <v>0</v>
      </c>
      <c r="BA108" s="402">
        <v>9387</v>
      </c>
      <c r="BB108" s="402">
        <v>0</v>
      </c>
      <c r="BC108" s="402">
        <v>0</v>
      </c>
      <c r="BD108" s="402">
        <v>0</v>
      </c>
      <c r="BE108" s="402">
        <v>683307.19642078702</v>
      </c>
      <c r="BF108" s="402">
        <v>-24206.196420787019</v>
      </c>
      <c r="BG108" s="402">
        <v>-183897.10999999964</v>
      </c>
      <c r="BH108" s="402">
        <v>-208103.30642078666</v>
      </c>
      <c r="BI108" s="402">
        <v>0</v>
      </c>
      <c r="BJ108" s="402">
        <v>70000</v>
      </c>
      <c r="BK108" s="402">
        <v>70000</v>
      </c>
      <c r="BL108" s="402">
        <v>44137.45665</v>
      </c>
      <c r="BM108" s="402">
        <v>25862.319999999996</v>
      </c>
      <c r="BN108" s="402">
        <v>69999.77665</v>
      </c>
      <c r="BO108" s="402">
        <v>0.22335000000020955</v>
      </c>
      <c r="BP108" s="402">
        <v>-823.4099999999944</v>
      </c>
      <c r="BQ108" s="402">
        <v>-823.18664999999419</v>
      </c>
      <c r="BR108" s="402">
        <v>0</v>
      </c>
      <c r="BS108" s="402">
        <v>-208103.30642078666</v>
      </c>
      <c r="BT108" s="402">
        <v>-823.18664999999419</v>
      </c>
      <c r="BU108" s="402">
        <v>-208926.49307078664</v>
      </c>
      <c r="BV108" s="402">
        <v>4464</v>
      </c>
      <c r="BW108" s="402">
        <v>0</v>
      </c>
      <c r="BX108" s="402">
        <v>0</v>
      </c>
      <c r="BY108" s="402">
        <v>4464</v>
      </c>
      <c r="BZ108" s="402">
        <v>0</v>
      </c>
      <c r="CA108" s="402">
        <v>9750</v>
      </c>
      <c r="CB108" s="402">
        <v>0</v>
      </c>
      <c r="CC108" s="402">
        <v>0</v>
      </c>
      <c r="CD108" s="402">
        <v>9750</v>
      </c>
      <c r="CE108" s="402">
        <v>-5286</v>
      </c>
      <c r="CF108" s="402">
        <v>37109.83</v>
      </c>
      <c r="CG108" s="402">
        <v>31823.83</v>
      </c>
      <c r="CH108" s="402">
        <f>VLOOKUP($B108,'Data - CFR 2024-25'!$B$4:$CJ$127,85,0)</f>
        <v>37109.83</v>
      </c>
      <c r="CI108" s="402">
        <f>VLOOKUP($B108,'Data - CFR 2024-25'!$B$4:$CJ$127,86,0)</f>
        <v>0</v>
      </c>
      <c r="CJ108" s="402">
        <f>VLOOKUP($B108,'Data - CFR 2024-25'!$B$4:$CJ$127,87,0)</f>
        <v>37109.83</v>
      </c>
    </row>
    <row r="109" spans="1:88" ht="13.8">
      <c r="A109" s="252" t="s">
        <v>1384</v>
      </c>
      <c r="B109" s="288">
        <v>2123</v>
      </c>
      <c r="C109" s="288" t="s">
        <v>814</v>
      </c>
      <c r="D109" s="248" t="s">
        <v>708</v>
      </c>
      <c r="E109" s="403"/>
      <c r="F109" s="402">
        <v>1284303</v>
      </c>
      <c r="G109" s="402">
        <v>0</v>
      </c>
      <c r="H109" s="402">
        <v>134029</v>
      </c>
      <c r="I109" s="402">
        <v>0</v>
      </c>
      <c r="J109" s="402">
        <v>156345</v>
      </c>
      <c r="K109" s="402">
        <v>0</v>
      </c>
      <c r="L109" s="402">
        <v>0</v>
      </c>
      <c r="M109" s="402">
        <v>74151</v>
      </c>
      <c r="N109" s="402">
        <v>35056</v>
      </c>
      <c r="O109" s="402">
        <v>16292</v>
      </c>
      <c r="P109" s="402">
        <v>0</v>
      </c>
      <c r="Q109" s="402">
        <v>0</v>
      </c>
      <c r="R109" s="402">
        <v>0</v>
      </c>
      <c r="S109" s="402">
        <v>0</v>
      </c>
      <c r="T109" s="402">
        <v>0</v>
      </c>
      <c r="U109" s="402">
        <v>0</v>
      </c>
      <c r="V109" s="402">
        <v>0</v>
      </c>
      <c r="W109" s="402">
        <v>0</v>
      </c>
      <c r="X109" s="402">
        <v>35384</v>
      </c>
      <c r="Y109" s="402">
        <v>1735560</v>
      </c>
      <c r="Z109" s="402">
        <v>693332</v>
      </c>
      <c r="AA109" s="402">
        <v>0</v>
      </c>
      <c r="AB109" s="402">
        <v>447972</v>
      </c>
      <c r="AC109" s="402">
        <v>120068</v>
      </c>
      <c r="AD109" s="402">
        <v>62603</v>
      </c>
      <c r="AE109" s="402">
        <v>0</v>
      </c>
      <c r="AF109" s="402">
        <v>75368</v>
      </c>
      <c r="AG109" s="402">
        <v>5800</v>
      </c>
      <c r="AH109" s="402">
        <v>2000</v>
      </c>
      <c r="AI109" s="402">
        <v>5500</v>
      </c>
      <c r="AJ109" s="402">
        <v>130</v>
      </c>
      <c r="AK109" s="402">
        <v>35000</v>
      </c>
      <c r="AL109" s="402">
        <v>4280</v>
      </c>
      <c r="AM109" s="402">
        <v>5200</v>
      </c>
      <c r="AN109" s="402">
        <v>12100</v>
      </c>
      <c r="AO109" s="402">
        <v>43000</v>
      </c>
      <c r="AP109" s="402">
        <v>0</v>
      </c>
      <c r="AQ109" s="402">
        <v>14650</v>
      </c>
      <c r="AR109" s="402">
        <v>10863</v>
      </c>
      <c r="AS109" s="402">
        <v>37247</v>
      </c>
      <c r="AT109" s="402">
        <v>0</v>
      </c>
      <c r="AU109" s="402">
        <v>11148</v>
      </c>
      <c r="AV109" s="402">
        <v>7000</v>
      </c>
      <c r="AW109" s="402">
        <v>1500</v>
      </c>
      <c r="AX109" s="402">
        <v>81460</v>
      </c>
      <c r="AY109" s="402">
        <v>0</v>
      </c>
      <c r="AZ109" s="402">
        <v>12500</v>
      </c>
      <c r="BA109" s="402">
        <v>38629</v>
      </c>
      <c r="BB109" s="402">
        <v>0</v>
      </c>
      <c r="BC109" s="402">
        <v>0</v>
      </c>
      <c r="BD109" s="402">
        <v>12236</v>
      </c>
      <c r="BE109" s="402">
        <v>1739586</v>
      </c>
      <c r="BF109" s="402">
        <v>-4027</v>
      </c>
      <c r="BG109" s="402">
        <v>-35330</v>
      </c>
      <c r="BH109" s="402">
        <v>-39357</v>
      </c>
      <c r="BI109" s="402">
        <v>118000</v>
      </c>
      <c r="BJ109" s="402">
        <v>12000</v>
      </c>
      <c r="BK109" s="402">
        <v>130000</v>
      </c>
      <c r="BL109" s="402">
        <v>138741</v>
      </c>
      <c r="BM109" s="402">
        <v>2628</v>
      </c>
      <c r="BN109" s="402">
        <v>141369</v>
      </c>
      <c r="BO109" s="402">
        <v>-11369</v>
      </c>
      <c r="BP109" s="402">
        <v>15503</v>
      </c>
      <c r="BQ109" s="402">
        <v>4134</v>
      </c>
      <c r="BR109" s="402">
        <v>0</v>
      </c>
      <c r="BS109" s="402">
        <v>-39357</v>
      </c>
      <c r="BT109" s="402">
        <v>4134</v>
      </c>
      <c r="BU109" s="402">
        <v>-35223</v>
      </c>
      <c r="BV109" s="402">
        <v>6613</v>
      </c>
      <c r="BW109" s="402">
        <v>0</v>
      </c>
      <c r="BX109" s="402">
        <v>0</v>
      </c>
      <c r="BY109" s="402">
        <v>6613</v>
      </c>
      <c r="BZ109" s="402">
        <v>0</v>
      </c>
      <c r="CA109" s="402">
        <v>7215</v>
      </c>
      <c r="CB109" s="402">
        <v>0</v>
      </c>
      <c r="CC109" s="402">
        <v>0</v>
      </c>
      <c r="CD109" s="402">
        <v>7215</v>
      </c>
      <c r="CE109" s="402">
        <v>-601</v>
      </c>
      <c r="CF109" s="402">
        <v>601</v>
      </c>
      <c r="CG109" s="402">
        <v>0</v>
      </c>
      <c r="CH109" s="402">
        <f>VLOOKUP($B109,'Data - CFR 2024-25'!$B$4:$CJ$127,85,0)</f>
        <v>601.4099999999994</v>
      </c>
      <c r="CI109" s="402">
        <f>VLOOKUP($B109,'Data - CFR 2024-25'!$B$4:$CJ$127,86,0)</f>
        <v>0</v>
      </c>
      <c r="CJ109" s="402">
        <f>VLOOKUP($B109,'Data - CFR 2024-25'!$B$4:$CJ$127,87,0)</f>
        <v>601.4099999999994</v>
      </c>
    </row>
    <row r="110" spans="1:88" ht="13.8">
      <c r="A110" s="252" t="s">
        <v>1384</v>
      </c>
      <c r="B110" s="288">
        <v>2260</v>
      </c>
      <c r="C110" s="288" t="s">
        <v>815</v>
      </c>
      <c r="D110" s="248" t="s">
        <v>708</v>
      </c>
      <c r="E110" s="403"/>
      <c r="F110" s="402">
        <v>465932</v>
      </c>
      <c r="G110" s="402">
        <v>0</v>
      </c>
      <c r="H110" s="402">
        <v>24588</v>
      </c>
      <c r="I110" s="402">
        <v>0</v>
      </c>
      <c r="J110" s="402">
        <v>21210</v>
      </c>
      <c r="K110" s="402">
        <v>0</v>
      </c>
      <c r="L110" s="402">
        <v>0</v>
      </c>
      <c r="M110" s="402">
        <v>0</v>
      </c>
      <c r="N110" s="402">
        <v>27700</v>
      </c>
      <c r="O110" s="402">
        <v>0</v>
      </c>
      <c r="P110" s="402">
        <v>0</v>
      </c>
      <c r="Q110" s="402">
        <v>0</v>
      </c>
      <c r="R110" s="402">
        <v>0</v>
      </c>
      <c r="S110" s="402">
        <v>0</v>
      </c>
      <c r="T110" s="402">
        <v>0</v>
      </c>
      <c r="U110" s="402">
        <v>0</v>
      </c>
      <c r="V110" s="402">
        <v>0</v>
      </c>
      <c r="W110" s="402">
        <v>0</v>
      </c>
      <c r="X110" s="402">
        <v>24802</v>
      </c>
      <c r="Y110" s="402">
        <v>564232</v>
      </c>
      <c r="Z110" s="402">
        <v>266586</v>
      </c>
      <c r="AA110" s="402">
        <v>7050</v>
      </c>
      <c r="AB110" s="402">
        <v>102030</v>
      </c>
      <c r="AC110" s="402">
        <v>0</v>
      </c>
      <c r="AD110" s="402">
        <v>42830</v>
      </c>
      <c r="AE110" s="402">
        <v>3672</v>
      </c>
      <c r="AF110" s="402">
        <v>35000</v>
      </c>
      <c r="AG110" s="402">
        <v>3752</v>
      </c>
      <c r="AH110" s="402">
        <v>2000</v>
      </c>
      <c r="AI110" s="402">
        <v>1400</v>
      </c>
      <c r="AJ110" s="402">
        <v>0</v>
      </c>
      <c r="AK110" s="402">
        <v>8500</v>
      </c>
      <c r="AL110" s="402">
        <v>2300</v>
      </c>
      <c r="AM110" s="402">
        <v>19500</v>
      </c>
      <c r="AN110" s="402">
        <v>1800</v>
      </c>
      <c r="AO110" s="402">
        <v>16800</v>
      </c>
      <c r="AP110" s="402">
        <v>0</v>
      </c>
      <c r="AQ110" s="402">
        <v>2400</v>
      </c>
      <c r="AR110" s="402">
        <v>14462</v>
      </c>
      <c r="AS110" s="402">
        <v>25400</v>
      </c>
      <c r="AT110" s="402">
        <v>0</v>
      </c>
      <c r="AU110" s="402">
        <v>4100</v>
      </c>
      <c r="AV110" s="402">
        <v>2061</v>
      </c>
      <c r="AW110" s="402">
        <v>3131</v>
      </c>
      <c r="AX110" s="402">
        <v>15903</v>
      </c>
      <c r="AY110" s="402">
        <v>2900</v>
      </c>
      <c r="AZ110" s="402">
        <v>11145</v>
      </c>
      <c r="BA110" s="402">
        <v>9945</v>
      </c>
      <c r="BB110" s="402">
        <v>0</v>
      </c>
      <c r="BC110" s="402">
        <v>0</v>
      </c>
      <c r="BD110" s="402">
        <v>0</v>
      </c>
      <c r="BE110" s="402">
        <v>604668</v>
      </c>
      <c r="BF110" s="402">
        <v>-40436</v>
      </c>
      <c r="BG110" s="402">
        <v>61400</v>
      </c>
      <c r="BH110" s="402">
        <v>20964</v>
      </c>
      <c r="BI110" s="402">
        <v>0</v>
      </c>
      <c r="BJ110" s="402">
        <v>0</v>
      </c>
      <c r="BK110" s="402">
        <v>0</v>
      </c>
      <c r="BL110" s="402">
        <v>0</v>
      </c>
      <c r="BM110" s="402">
        <v>0</v>
      </c>
      <c r="BN110" s="402">
        <v>0</v>
      </c>
      <c r="BO110" s="402">
        <v>0</v>
      </c>
      <c r="BP110" s="402">
        <v>0</v>
      </c>
      <c r="BQ110" s="402">
        <v>0</v>
      </c>
      <c r="BR110" s="402">
        <v>0</v>
      </c>
      <c r="BS110" s="402">
        <v>20964</v>
      </c>
      <c r="BT110" s="402">
        <v>0</v>
      </c>
      <c r="BU110" s="402">
        <v>20964</v>
      </c>
      <c r="BV110" s="402">
        <v>4585</v>
      </c>
      <c r="BW110" s="402">
        <v>0</v>
      </c>
      <c r="BX110" s="402">
        <v>0</v>
      </c>
      <c r="BY110" s="402">
        <v>4585</v>
      </c>
      <c r="BZ110" s="402">
        <v>0</v>
      </c>
      <c r="CA110" s="402">
        <v>10698</v>
      </c>
      <c r="CB110" s="402">
        <v>0</v>
      </c>
      <c r="CC110" s="402">
        <v>0</v>
      </c>
      <c r="CD110" s="402">
        <v>10698</v>
      </c>
      <c r="CE110" s="402">
        <v>-6113</v>
      </c>
      <c r="CF110" s="402">
        <v>6113</v>
      </c>
      <c r="CG110" s="402">
        <v>0</v>
      </c>
      <c r="CH110" s="402">
        <f>VLOOKUP($B110,'Data - CFR 2024-25'!$B$4:$CJ$127,85,0)</f>
        <v>6112.54</v>
      </c>
      <c r="CI110" s="402">
        <f>VLOOKUP($B110,'Data - CFR 2024-25'!$B$4:$CJ$127,86,0)</f>
        <v>0</v>
      </c>
      <c r="CJ110" s="402">
        <f>VLOOKUP($B110,'Data - CFR 2024-25'!$B$4:$CJ$127,87,0)</f>
        <v>6112.54</v>
      </c>
    </row>
    <row r="111" spans="1:88" ht="13.8">
      <c r="A111" s="252" t="s">
        <v>1384</v>
      </c>
      <c r="B111" s="288">
        <v>3058</v>
      </c>
      <c r="C111" s="288" t="s">
        <v>816</v>
      </c>
      <c r="D111" s="248" t="s">
        <v>708</v>
      </c>
      <c r="E111" s="403"/>
      <c r="F111" s="402">
        <v>1667555</v>
      </c>
      <c r="G111" s="402">
        <v>0</v>
      </c>
      <c r="H111" s="402">
        <v>162300</v>
      </c>
      <c r="I111" s="402">
        <v>0</v>
      </c>
      <c r="J111" s="402">
        <v>108265</v>
      </c>
      <c r="K111" s="402">
        <v>0</v>
      </c>
      <c r="L111" s="402">
        <v>0</v>
      </c>
      <c r="M111" s="402">
        <v>400</v>
      </c>
      <c r="N111" s="402">
        <v>3100</v>
      </c>
      <c r="O111" s="402">
        <v>33900</v>
      </c>
      <c r="P111" s="402">
        <v>0</v>
      </c>
      <c r="Q111" s="402">
        <v>0</v>
      </c>
      <c r="R111" s="402">
        <v>46000</v>
      </c>
      <c r="S111" s="402">
        <v>8559</v>
      </c>
      <c r="T111" s="402">
        <v>0</v>
      </c>
      <c r="U111" s="402">
        <v>0</v>
      </c>
      <c r="V111" s="402">
        <v>0</v>
      </c>
      <c r="W111" s="402">
        <v>0</v>
      </c>
      <c r="X111" s="402">
        <v>71947</v>
      </c>
      <c r="Y111" s="402">
        <v>2102025</v>
      </c>
      <c r="Z111" s="402">
        <v>903938</v>
      </c>
      <c r="AA111" s="402">
        <v>0</v>
      </c>
      <c r="AB111" s="402">
        <v>582334</v>
      </c>
      <c r="AC111" s="402">
        <v>78225</v>
      </c>
      <c r="AD111" s="402">
        <v>100147</v>
      </c>
      <c r="AE111" s="402">
        <v>60399</v>
      </c>
      <c r="AF111" s="402">
        <v>77593</v>
      </c>
      <c r="AG111" s="402">
        <v>10100</v>
      </c>
      <c r="AH111" s="402">
        <v>6000</v>
      </c>
      <c r="AI111" s="402">
        <v>8250</v>
      </c>
      <c r="AJ111" s="402">
        <v>2300</v>
      </c>
      <c r="AK111" s="402">
        <v>22650</v>
      </c>
      <c r="AL111" s="402">
        <v>2000</v>
      </c>
      <c r="AM111" s="402">
        <v>6000</v>
      </c>
      <c r="AN111" s="402">
        <v>10000</v>
      </c>
      <c r="AO111" s="402">
        <v>26900</v>
      </c>
      <c r="AP111" s="402">
        <v>719</v>
      </c>
      <c r="AQ111" s="402">
        <v>14150</v>
      </c>
      <c r="AR111" s="402">
        <v>77170</v>
      </c>
      <c r="AS111" s="402">
        <v>31000</v>
      </c>
      <c r="AT111" s="402">
        <v>0</v>
      </c>
      <c r="AU111" s="402">
        <v>14433</v>
      </c>
      <c r="AV111" s="402">
        <v>8352</v>
      </c>
      <c r="AW111" s="402">
        <v>300</v>
      </c>
      <c r="AX111" s="402">
        <v>50660</v>
      </c>
      <c r="AY111" s="402">
        <v>6000</v>
      </c>
      <c r="AZ111" s="402">
        <v>0</v>
      </c>
      <c r="BA111" s="402">
        <v>16799</v>
      </c>
      <c r="BB111" s="402">
        <v>0</v>
      </c>
      <c r="BC111" s="402">
        <v>1530</v>
      </c>
      <c r="BD111" s="402">
        <v>4000</v>
      </c>
      <c r="BE111" s="402">
        <v>2121948</v>
      </c>
      <c r="BF111" s="402">
        <v>-19923</v>
      </c>
      <c r="BG111" s="402">
        <v>56803</v>
      </c>
      <c r="BH111" s="402">
        <v>36880</v>
      </c>
      <c r="BI111" s="402">
        <v>0</v>
      </c>
      <c r="BJ111" s="402">
        <v>136300</v>
      </c>
      <c r="BK111" s="402">
        <v>136300</v>
      </c>
      <c r="BL111" s="402">
        <v>121714</v>
      </c>
      <c r="BM111" s="402">
        <v>18450</v>
      </c>
      <c r="BN111" s="402">
        <v>140164</v>
      </c>
      <c r="BO111" s="402">
        <v>-3864</v>
      </c>
      <c r="BP111" s="402">
        <v>26536</v>
      </c>
      <c r="BQ111" s="402">
        <v>22672</v>
      </c>
      <c r="BR111" s="402">
        <v>0</v>
      </c>
      <c r="BS111" s="402">
        <v>36880</v>
      </c>
      <c r="BT111" s="402">
        <v>22672</v>
      </c>
      <c r="BU111" s="402">
        <v>59552</v>
      </c>
      <c r="BV111" s="402">
        <v>7465</v>
      </c>
      <c r="BW111" s="402">
        <v>0</v>
      </c>
      <c r="BX111" s="402">
        <v>0</v>
      </c>
      <c r="BY111" s="402">
        <v>7465</v>
      </c>
      <c r="BZ111" s="402">
        <v>0</v>
      </c>
      <c r="CA111" s="402">
        <v>5938</v>
      </c>
      <c r="CB111" s="402">
        <v>0</v>
      </c>
      <c r="CC111" s="402">
        <v>7465</v>
      </c>
      <c r="CD111" s="402">
        <v>13403</v>
      </c>
      <c r="CE111" s="402">
        <v>-5938</v>
      </c>
      <c r="CF111" s="402">
        <v>5938</v>
      </c>
      <c r="CG111" s="402">
        <v>0</v>
      </c>
      <c r="CH111" s="402">
        <f>VLOOKUP($B111,'Data - CFR 2024-25'!$B$4:$CJ$127,85,0)</f>
        <v>5937.9399999999987</v>
      </c>
      <c r="CI111" s="402">
        <f>VLOOKUP($B111,'Data - CFR 2024-25'!$B$4:$CJ$127,86,0)</f>
        <v>0</v>
      </c>
      <c r="CJ111" s="402">
        <f>VLOOKUP($B111,'Data - CFR 2024-25'!$B$4:$CJ$127,87,0)</f>
        <v>5937.9399999999987</v>
      </c>
    </row>
    <row r="112" spans="1:88" ht="13.8">
      <c r="A112" s="252" t="s">
        <v>1384</v>
      </c>
      <c r="B112" s="288">
        <v>2335</v>
      </c>
      <c r="C112" s="288" t="s">
        <v>817</v>
      </c>
      <c r="D112" s="248" t="s">
        <v>708</v>
      </c>
      <c r="E112" s="403"/>
      <c r="F112" s="402">
        <v>969433.51</v>
      </c>
      <c r="G112" s="402">
        <v>0</v>
      </c>
      <c r="H112" s="402">
        <v>47134</v>
      </c>
      <c r="I112" s="402">
        <v>0</v>
      </c>
      <c r="J112" s="402">
        <v>19295</v>
      </c>
      <c r="K112" s="402">
        <v>4588</v>
      </c>
      <c r="L112" s="402">
        <v>0</v>
      </c>
      <c r="M112" s="402">
        <v>2500</v>
      </c>
      <c r="N112" s="402">
        <v>90500</v>
      </c>
      <c r="O112" s="402">
        <v>23000</v>
      </c>
      <c r="P112" s="402">
        <v>20010</v>
      </c>
      <c r="Q112" s="402">
        <v>0</v>
      </c>
      <c r="R112" s="402">
        <v>1700</v>
      </c>
      <c r="S112" s="402">
        <v>0</v>
      </c>
      <c r="T112" s="402">
        <v>0</v>
      </c>
      <c r="U112" s="402">
        <v>0</v>
      </c>
      <c r="V112" s="402">
        <v>0</v>
      </c>
      <c r="W112" s="402">
        <v>0</v>
      </c>
      <c r="X112" s="402">
        <v>49550</v>
      </c>
      <c r="Y112" s="402">
        <v>1227710.51</v>
      </c>
      <c r="Z112" s="402">
        <v>584613.71</v>
      </c>
      <c r="AA112" s="402">
        <v>0</v>
      </c>
      <c r="AB112" s="402">
        <v>200463.59</v>
      </c>
      <c r="AC112" s="402">
        <v>23113.82</v>
      </c>
      <c r="AD112" s="402">
        <v>65393.57</v>
      </c>
      <c r="AE112" s="402">
        <v>0</v>
      </c>
      <c r="AF112" s="402">
        <v>74786.05</v>
      </c>
      <c r="AG112" s="402">
        <v>3500</v>
      </c>
      <c r="AH112" s="402">
        <v>10000</v>
      </c>
      <c r="AI112" s="402">
        <v>6300</v>
      </c>
      <c r="AJ112" s="402">
        <v>0</v>
      </c>
      <c r="AK112" s="402">
        <v>20000</v>
      </c>
      <c r="AL112" s="402">
        <v>4000</v>
      </c>
      <c r="AM112" s="402">
        <v>4700</v>
      </c>
      <c r="AN112" s="402">
        <v>2000</v>
      </c>
      <c r="AO112" s="402">
        <v>24000</v>
      </c>
      <c r="AP112" s="402">
        <v>0</v>
      </c>
      <c r="AQ112" s="402">
        <v>5050</v>
      </c>
      <c r="AR112" s="402">
        <v>40085</v>
      </c>
      <c r="AS112" s="402">
        <v>35325</v>
      </c>
      <c r="AT112" s="402">
        <v>0</v>
      </c>
      <c r="AU112" s="402">
        <v>10400</v>
      </c>
      <c r="AV112" s="402">
        <v>5337</v>
      </c>
      <c r="AW112" s="402">
        <v>3300</v>
      </c>
      <c r="AX112" s="402">
        <v>72865</v>
      </c>
      <c r="AY112" s="402">
        <v>39250</v>
      </c>
      <c r="AZ112" s="402">
        <v>29570</v>
      </c>
      <c r="BA112" s="402">
        <v>48605</v>
      </c>
      <c r="BB112" s="402">
        <v>0</v>
      </c>
      <c r="BC112" s="402">
        <v>0</v>
      </c>
      <c r="BD112" s="402">
        <v>0</v>
      </c>
      <c r="BE112" s="402">
        <v>1312657.7399999998</v>
      </c>
      <c r="BF112" s="402">
        <v>-84947.229999999749</v>
      </c>
      <c r="BG112" s="402">
        <v>100696.9800000003</v>
      </c>
      <c r="BH112" s="402">
        <v>15749.750000000553</v>
      </c>
      <c r="BI112" s="402">
        <v>0</v>
      </c>
      <c r="BJ112" s="402">
        <v>0</v>
      </c>
      <c r="BK112" s="402">
        <v>0</v>
      </c>
      <c r="BL112" s="402">
        <v>0</v>
      </c>
      <c r="BM112" s="402">
        <v>0</v>
      </c>
      <c r="BN112" s="402">
        <v>0</v>
      </c>
      <c r="BO112" s="402">
        <v>0</v>
      </c>
      <c r="BP112" s="402">
        <v>0</v>
      </c>
      <c r="BQ112" s="402">
        <v>0</v>
      </c>
      <c r="BR112" s="402">
        <v>0</v>
      </c>
      <c r="BS112" s="402">
        <v>15749.750000000553</v>
      </c>
      <c r="BT112" s="402">
        <v>0</v>
      </c>
      <c r="BU112" s="402">
        <v>15749.750000000553</v>
      </c>
      <c r="BV112" s="402">
        <v>6306</v>
      </c>
      <c r="BW112" s="402">
        <v>0</v>
      </c>
      <c r="BX112" s="402">
        <v>0</v>
      </c>
      <c r="BY112" s="402">
        <v>6306</v>
      </c>
      <c r="BZ112" s="402">
        <v>0</v>
      </c>
      <c r="CA112" s="402">
        <v>21517.54</v>
      </c>
      <c r="CB112" s="402">
        <v>0</v>
      </c>
      <c r="CC112" s="402">
        <v>0</v>
      </c>
      <c r="CD112" s="402">
        <v>21517.54</v>
      </c>
      <c r="CE112" s="402">
        <v>-15211.54</v>
      </c>
      <c r="CF112" s="402">
        <v>15211.54</v>
      </c>
      <c r="CG112" s="402">
        <v>0</v>
      </c>
      <c r="CH112" s="402">
        <f>VLOOKUP($B112,'Data - CFR 2024-25'!$B$4:$CJ$127,85,0)</f>
        <v>14560.02</v>
      </c>
      <c r="CI112" s="402">
        <f>VLOOKUP($B112,'Data - CFR 2024-25'!$B$4:$CJ$127,86,0)</f>
        <v>651.52</v>
      </c>
      <c r="CJ112" s="402">
        <f>VLOOKUP($B112,'Data - CFR 2024-25'!$B$4:$CJ$127,87,0)</f>
        <v>15211.54</v>
      </c>
    </row>
    <row r="113" spans="1:88" ht="13.8">
      <c r="A113" s="252" t="s">
        <v>1384</v>
      </c>
      <c r="B113" s="288">
        <v>3389</v>
      </c>
      <c r="C113" s="288" t="s">
        <v>818</v>
      </c>
      <c r="D113" s="248" t="s">
        <v>708</v>
      </c>
      <c r="E113" s="403"/>
      <c r="F113" s="402">
        <v>1875166.8801411034</v>
      </c>
      <c r="G113" s="402">
        <v>0</v>
      </c>
      <c r="H113" s="402">
        <v>94000</v>
      </c>
      <c r="I113" s="402">
        <v>0</v>
      </c>
      <c r="J113" s="402">
        <v>91965</v>
      </c>
      <c r="K113" s="402">
        <v>0</v>
      </c>
      <c r="L113" s="402">
        <v>0</v>
      </c>
      <c r="M113" s="402">
        <v>4000</v>
      </c>
      <c r="N113" s="402">
        <v>159700</v>
      </c>
      <c r="O113" s="402">
        <v>24200</v>
      </c>
      <c r="P113" s="402">
        <v>0</v>
      </c>
      <c r="Q113" s="402">
        <v>0</v>
      </c>
      <c r="R113" s="402">
        <v>0</v>
      </c>
      <c r="S113" s="402">
        <v>0</v>
      </c>
      <c r="T113" s="402">
        <v>0</v>
      </c>
      <c r="U113" s="402">
        <v>0</v>
      </c>
      <c r="V113" s="402">
        <v>0</v>
      </c>
      <c r="W113" s="402">
        <v>0</v>
      </c>
      <c r="X113" s="402">
        <v>72505</v>
      </c>
      <c r="Y113" s="402">
        <v>2321536.8801411036</v>
      </c>
      <c r="Z113" s="402">
        <v>1217711.0990987162</v>
      </c>
      <c r="AA113" s="402">
        <v>2000</v>
      </c>
      <c r="AB113" s="402">
        <v>420332.16355269199</v>
      </c>
      <c r="AC113" s="402">
        <v>38927.743902333852</v>
      </c>
      <c r="AD113" s="402">
        <v>126447.36170732498</v>
      </c>
      <c r="AE113" s="402">
        <v>0</v>
      </c>
      <c r="AF113" s="402">
        <v>93267.452563584869</v>
      </c>
      <c r="AG113" s="402">
        <v>1420</v>
      </c>
      <c r="AH113" s="402">
        <v>5500</v>
      </c>
      <c r="AI113" s="402">
        <v>0</v>
      </c>
      <c r="AJ113" s="402">
        <v>0</v>
      </c>
      <c r="AK113" s="402">
        <v>25000</v>
      </c>
      <c r="AL113" s="402">
        <v>3000</v>
      </c>
      <c r="AM113" s="402">
        <v>42600</v>
      </c>
      <c r="AN113" s="402">
        <v>2600</v>
      </c>
      <c r="AO113" s="402">
        <v>42000</v>
      </c>
      <c r="AP113" s="402">
        <v>0</v>
      </c>
      <c r="AQ113" s="402">
        <v>13200</v>
      </c>
      <c r="AR113" s="402">
        <v>75082</v>
      </c>
      <c r="AS113" s="402">
        <v>64816</v>
      </c>
      <c r="AT113" s="402">
        <v>0</v>
      </c>
      <c r="AU113" s="402">
        <v>11000</v>
      </c>
      <c r="AV113" s="402">
        <v>11460</v>
      </c>
      <c r="AW113" s="402">
        <v>18081</v>
      </c>
      <c r="AX113" s="402">
        <v>118877</v>
      </c>
      <c r="AY113" s="402">
        <v>0</v>
      </c>
      <c r="AZ113" s="402">
        <v>10700</v>
      </c>
      <c r="BA113" s="402">
        <v>39539</v>
      </c>
      <c r="BB113" s="402">
        <v>0</v>
      </c>
      <c r="BC113" s="402">
        <v>0</v>
      </c>
      <c r="BD113" s="402">
        <v>42000</v>
      </c>
      <c r="BE113" s="402">
        <v>2425560.8208246515</v>
      </c>
      <c r="BF113" s="402">
        <v>-104023.94068354787</v>
      </c>
      <c r="BG113" s="402">
        <v>121949.52999999933</v>
      </c>
      <c r="BH113" s="402">
        <v>17925.589316451456</v>
      </c>
      <c r="BI113" s="402">
        <v>150000</v>
      </c>
      <c r="BJ113" s="402">
        <v>7000</v>
      </c>
      <c r="BK113" s="402">
        <v>157000</v>
      </c>
      <c r="BL113" s="402">
        <v>140075.43716940045</v>
      </c>
      <c r="BM113" s="402">
        <v>22245</v>
      </c>
      <c r="BN113" s="402">
        <v>162320.43716940045</v>
      </c>
      <c r="BO113" s="402">
        <v>-5320.4371694004512</v>
      </c>
      <c r="BP113" s="402">
        <v>99158.69</v>
      </c>
      <c r="BQ113" s="402">
        <v>93838.252830599551</v>
      </c>
      <c r="BR113" s="402">
        <v>0</v>
      </c>
      <c r="BS113" s="402">
        <v>17925.589316451456</v>
      </c>
      <c r="BT113" s="402">
        <v>93838.252830599551</v>
      </c>
      <c r="BU113" s="402">
        <v>111763.84214705101</v>
      </c>
      <c r="BV113" s="402">
        <v>0</v>
      </c>
      <c r="BW113" s="402">
        <v>0</v>
      </c>
      <c r="BX113" s="402">
        <v>0</v>
      </c>
      <c r="BY113" s="402">
        <v>0</v>
      </c>
      <c r="BZ113" s="402">
        <v>0</v>
      </c>
      <c r="CA113" s="402">
        <v>0</v>
      </c>
      <c r="CB113" s="402">
        <v>0</v>
      </c>
      <c r="CC113" s="402">
        <v>0</v>
      </c>
      <c r="CD113" s="402">
        <v>0</v>
      </c>
      <c r="CE113" s="402">
        <v>0</v>
      </c>
      <c r="CF113" s="402">
        <v>0</v>
      </c>
      <c r="CG113" s="402">
        <v>0</v>
      </c>
      <c r="CH113" s="402">
        <f>VLOOKUP($B113,'Data - CFR 2024-25'!$B$4:$CJ$127,85,0)</f>
        <v>0</v>
      </c>
      <c r="CI113" s="402">
        <f>VLOOKUP($B113,'Data - CFR 2024-25'!$B$4:$CJ$127,86,0)</f>
        <v>0</v>
      </c>
      <c r="CJ113" s="402">
        <f>VLOOKUP($B113,'Data - CFR 2024-25'!$B$4:$CJ$127,87,0)</f>
        <v>0</v>
      </c>
    </row>
    <row r="114" spans="1:88" ht="13.8">
      <c r="A114" s="252" t="s">
        <v>1384</v>
      </c>
      <c r="B114" s="290">
        <v>2001</v>
      </c>
      <c r="C114" s="290" t="s">
        <v>819</v>
      </c>
      <c r="D114" s="248" t="s">
        <v>708</v>
      </c>
      <c r="E114" s="403"/>
      <c r="F114" s="402">
        <v>2466154</v>
      </c>
      <c r="G114" s="402">
        <v>0</v>
      </c>
      <c r="H114" s="402">
        <v>101682</v>
      </c>
      <c r="I114" s="402">
        <v>0</v>
      </c>
      <c r="J114" s="402">
        <v>143095</v>
      </c>
      <c r="K114" s="402">
        <v>5200</v>
      </c>
      <c r="L114" s="402">
        <v>0</v>
      </c>
      <c r="M114" s="402">
        <v>15520</v>
      </c>
      <c r="N114" s="402">
        <v>72820</v>
      </c>
      <c r="O114" s="402">
        <v>38900</v>
      </c>
      <c r="P114" s="402">
        <v>8400</v>
      </c>
      <c r="Q114" s="402">
        <v>0</v>
      </c>
      <c r="R114" s="402">
        <v>0</v>
      </c>
      <c r="S114" s="402">
        <v>15000</v>
      </c>
      <c r="T114" s="402">
        <v>0</v>
      </c>
      <c r="U114" s="402">
        <v>0</v>
      </c>
      <c r="V114" s="402">
        <v>0</v>
      </c>
      <c r="W114" s="402">
        <v>0</v>
      </c>
      <c r="X114" s="402">
        <v>95448</v>
      </c>
      <c r="Y114" s="402">
        <v>2962219</v>
      </c>
      <c r="Z114" s="402">
        <v>1658355</v>
      </c>
      <c r="AA114" s="402">
        <v>7500</v>
      </c>
      <c r="AB114" s="402">
        <v>632841</v>
      </c>
      <c r="AC114" s="402">
        <v>85333</v>
      </c>
      <c r="AD114" s="402">
        <v>153897</v>
      </c>
      <c r="AE114" s="402">
        <v>0</v>
      </c>
      <c r="AF114" s="402">
        <v>106664</v>
      </c>
      <c r="AG114" s="402">
        <v>11400</v>
      </c>
      <c r="AH114" s="402">
        <v>7500</v>
      </c>
      <c r="AI114" s="402">
        <v>10354</v>
      </c>
      <c r="AJ114" s="402">
        <v>1802</v>
      </c>
      <c r="AK114" s="402">
        <v>37000</v>
      </c>
      <c r="AL114" s="402">
        <v>3200</v>
      </c>
      <c r="AM114" s="402">
        <v>6000</v>
      </c>
      <c r="AN114" s="402">
        <v>9500</v>
      </c>
      <c r="AO114" s="402">
        <v>101000</v>
      </c>
      <c r="AP114" s="402">
        <v>0</v>
      </c>
      <c r="AQ114" s="402">
        <v>14100</v>
      </c>
      <c r="AR114" s="402">
        <v>106733</v>
      </c>
      <c r="AS114" s="402">
        <v>15854</v>
      </c>
      <c r="AT114" s="402">
        <v>0</v>
      </c>
      <c r="AU114" s="402">
        <v>7700</v>
      </c>
      <c r="AV114" s="402">
        <v>13000</v>
      </c>
      <c r="AW114" s="402">
        <v>0</v>
      </c>
      <c r="AX114" s="402">
        <v>123000</v>
      </c>
      <c r="AY114" s="402">
        <v>7500</v>
      </c>
      <c r="AZ114" s="402">
        <v>13649</v>
      </c>
      <c r="BA114" s="402">
        <v>27220</v>
      </c>
      <c r="BB114" s="402">
        <v>0</v>
      </c>
      <c r="BC114" s="402">
        <v>0</v>
      </c>
      <c r="BD114" s="402">
        <v>0</v>
      </c>
      <c r="BE114" s="402">
        <v>3161102</v>
      </c>
      <c r="BF114" s="402">
        <v>-198883</v>
      </c>
      <c r="BG114" s="402">
        <v>-146309</v>
      </c>
      <c r="BH114" s="402">
        <v>-345192</v>
      </c>
      <c r="BI114" s="402">
        <v>178463</v>
      </c>
      <c r="BJ114" s="402">
        <v>11000</v>
      </c>
      <c r="BK114" s="402">
        <v>189463</v>
      </c>
      <c r="BL114" s="402">
        <v>194752</v>
      </c>
      <c r="BM114" s="402">
        <v>14500</v>
      </c>
      <c r="BN114" s="402">
        <v>209252</v>
      </c>
      <c r="BO114" s="402">
        <v>-19789</v>
      </c>
      <c r="BP114" s="402">
        <v>42960</v>
      </c>
      <c r="BQ114" s="402">
        <v>23171</v>
      </c>
      <c r="BR114" s="402">
        <v>0</v>
      </c>
      <c r="BS114" s="402">
        <v>-345192</v>
      </c>
      <c r="BT114" s="402">
        <v>23171</v>
      </c>
      <c r="BU114" s="402">
        <v>-322021</v>
      </c>
      <c r="BV114" s="402">
        <v>9625</v>
      </c>
      <c r="BW114" s="402">
        <v>0</v>
      </c>
      <c r="BX114" s="402">
        <v>0</v>
      </c>
      <c r="BY114" s="402">
        <v>9625</v>
      </c>
      <c r="BZ114" s="402">
        <v>0</v>
      </c>
      <c r="CA114" s="402">
        <v>27898</v>
      </c>
      <c r="CB114" s="402">
        <v>0</v>
      </c>
      <c r="CC114" s="402">
        <v>15000</v>
      </c>
      <c r="CD114" s="402">
        <v>42898</v>
      </c>
      <c r="CE114" s="402">
        <v>-33273</v>
      </c>
      <c r="CF114" s="402">
        <v>33273</v>
      </c>
      <c r="CG114" s="402">
        <v>0</v>
      </c>
      <c r="CH114" s="402">
        <f>VLOOKUP($B114,'Data - CFR 2024-25'!$B$4:$CJ$127,85,0)</f>
        <v>33273.46</v>
      </c>
      <c r="CI114" s="402">
        <f>VLOOKUP($B114,'Data - CFR 2024-25'!$B$4:$CJ$127,86,0)</f>
        <v>0</v>
      </c>
      <c r="CJ114" s="402">
        <f>VLOOKUP($B114,'Data - CFR 2024-25'!$B$4:$CJ$127,87,0)</f>
        <v>33273.46</v>
      </c>
    </row>
    <row r="115" spans="1:88" ht="13.8">
      <c r="A115" s="252" t="s">
        <v>1384</v>
      </c>
      <c r="B115" s="288">
        <v>2064</v>
      </c>
      <c r="C115" s="288" t="s">
        <v>820</v>
      </c>
      <c r="D115" s="248" t="s">
        <v>708</v>
      </c>
      <c r="E115" s="403"/>
      <c r="F115" s="402">
        <v>728793.25543012936</v>
      </c>
      <c r="G115" s="402">
        <v>0</v>
      </c>
      <c r="H115" s="402">
        <v>110129.34</v>
      </c>
      <c r="I115" s="402">
        <v>0</v>
      </c>
      <c r="J115" s="402">
        <v>38225</v>
      </c>
      <c r="K115" s="402">
        <v>0</v>
      </c>
      <c r="L115" s="402">
        <v>0</v>
      </c>
      <c r="M115" s="402">
        <v>0</v>
      </c>
      <c r="N115" s="402">
        <v>33750</v>
      </c>
      <c r="O115" s="402">
        <v>0</v>
      </c>
      <c r="P115" s="402">
        <v>0</v>
      </c>
      <c r="Q115" s="402">
        <v>0</v>
      </c>
      <c r="R115" s="402">
        <v>4000</v>
      </c>
      <c r="S115" s="402">
        <v>0</v>
      </c>
      <c r="T115" s="402">
        <v>0</v>
      </c>
      <c r="U115" s="402">
        <v>0</v>
      </c>
      <c r="V115" s="402">
        <v>0</v>
      </c>
      <c r="W115" s="402">
        <v>0</v>
      </c>
      <c r="X115" s="402">
        <v>25523</v>
      </c>
      <c r="Y115" s="402">
        <v>940420.59543012932</v>
      </c>
      <c r="Z115" s="402">
        <v>390924.8471284</v>
      </c>
      <c r="AA115" s="402">
        <v>38000</v>
      </c>
      <c r="AB115" s="402">
        <v>316733.73654635774</v>
      </c>
      <c r="AC115" s="402">
        <v>21941.066331081081</v>
      </c>
      <c r="AD115" s="402">
        <v>37405.880647319442</v>
      </c>
      <c r="AE115" s="402">
        <v>0</v>
      </c>
      <c r="AF115" s="402">
        <v>9803.3740436604185</v>
      </c>
      <c r="AG115" s="402">
        <v>2900</v>
      </c>
      <c r="AH115" s="402">
        <v>6000</v>
      </c>
      <c r="AI115" s="402">
        <v>2650</v>
      </c>
      <c r="AJ115" s="402">
        <v>1756</v>
      </c>
      <c r="AK115" s="402">
        <v>10000</v>
      </c>
      <c r="AL115" s="402">
        <v>4000</v>
      </c>
      <c r="AM115" s="402">
        <v>3500</v>
      </c>
      <c r="AN115" s="402">
        <v>1000</v>
      </c>
      <c r="AO115" s="402">
        <v>32000</v>
      </c>
      <c r="AP115" s="402">
        <v>0</v>
      </c>
      <c r="AQ115" s="402">
        <v>1200</v>
      </c>
      <c r="AR115" s="402">
        <v>57197.760000000002</v>
      </c>
      <c r="AS115" s="402">
        <v>24435</v>
      </c>
      <c r="AT115" s="402">
        <v>0</v>
      </c>
      <c r="AU115" s="402">
        <v>7735</v>
      </c>
      <c r="AV115" s="402">
        <v>3356</v>
      </c>
      <c r="AW115" s="402">
        <v>0</v>
      </c>
      <c r="AX115" s="402">
        <v>31831</v>
      </c>
      <c r="AY115" s="402">
        <v>0</v>
      </c>
      <c r="AZ115" s="402">
        <v>7000</v>
      </c>
      <c r="BA115" s="402">
        <v>11311.57</v>
      </c>
      <c r="BB115" s="402">
        <v>0</v>
      </c>
      <c r="BC115" s="402">
        <v>0</v>
      </c>
      <c r="BD115" s="402">
        <v>3112</v>
      </c>
      <c r="BE115" s="402">
        <v>1025793.2346968187</v>
      </c>
      <c r="BF115" s="402">
        <v>-85372.639266689424</v>
      </c>
      <c r="BG115" s="402">
        <v>166839.16999999984</v>
      </c>
      <c r="BH115" s="402">
        <v>81466.530733310414</v>
      </c>
      <c r="BI115" s="402">
        <v>0</v>
      </c>
      <c r="BJ115" s="402">
        <v>0</v>
      </c>
      <c r="BK115" s="402">
        <v>0</v>
      </c>
      <c r="BL115" s="402">
        <v>0</v>
      </c>
      <c r="BM115" s="402">
        <v>0</v>
      </c>
      <c r="BN115" s="402">
        <v>0</v>
      </c>
      <c r="BO115" s="402">
        <v>0</v>
      </c>
      <c r="BP115" s="402">
        <v>0</v>
      </c>
      <c r="BQ115" s="402">
        <v>0</v>
      </c>
      <c r="BR115" s="402">
        <v>0</v>
      </c>
      <c r="BS115" s="402">
        <v>81466.530733310414</v>
      </c>
      <c r="BT115" s="402">
        <v>0</v>
      </c>
      <c r="BU115" s="402">
        <v>81466.530733310414</v>
      </c>
      <c r="BV115" s="402">
        <v>5088</v>
      </c>
      <c r="BW115" s="402">
        <v>0</v>
      </c>
      <c r="BX115" s="402">
        <v>0</v>
      </c>
      <c r="BY115" s="402">
        <v>5088</v>
      </c>
      <c r="BZ115" s="402">
        <v>0</v>
      </c>
      <c r="CA115" s="402">
        <v>276076.52</v>
      </c>
      <c r="CB115" s="402">
        <v>0</v>
      </c>
      <c r="CC115" s="402">
        <v>0</v>
      </c>
      <c r="CD115" s="402">
        <v>276076.52</v>
      </c>
      <c r="CE115" s="402">
        <v>-270988.52</v>
      </c>
      <c r="CF115" s="402">
        <v>270988.51999999996</v>
      </c>
      <c r="CG115" s="402">
        <v>0</v>
      </c>
      <c r="CH115" s="402">
        <f>VLOOKUP($B115,'Data - CFR 2024-25'!$B$4:$CJ$127,85,0)</f>
        <v>13831.359999999999</v>
      </c>
      <c r="CI115" s="402">
        <f>VLOOKUP($B115,'Data - CFR 2024-25'!$B$4:$CJ$127,86,0)</f>
        <v>257157.16</v>
      </c>
      <c r="CJ115" s="402">
        <f>VLOOKUP($B115,'Data - CFR 2024-25'!$B$4:$CJ$127,87,0)</f>
        <v>270988.52</v>
      </c>
    </row>
    <row r="116" spans="1:88" ht="13.8">
      <c r="A116" s="252" t="s">
        <v>1384</v>
      </c>
      <c r="B116" s="290">
        <v>2000</v>
      </c>
      <c r="C116" s="290" t="s">
        <v>1381</v>
      </c>
      <c r="D116" s="248" t="s">
        <v>708</v>
      </c>
      <c r="E116" s="403"/>
      <c r="F116" s="402">
        <v>3538172.1855592066</v>
      </c>
      <c r="G116" s="402">
        <v>0</v>
      </c>
      <c r="H116" s="402">
        <v>153000</v>
      </c>
      <c r="I116" s="402">
        <v>0</v>
      </c>
      <c r="J116" s="402">
        <v>313605</v>
      </c>
      <c r="K116" s="402">
        <v>0</v>
      </c>
      <c r="L116" s="402">
        <v>0</v>
      </c>
      <c r="M116" s="402">
        <v>66500</v>
      </c>
      <c r="N116" s="402">
        <v>276400</v>
      </c>
      <c r="O116" s="402">
        <v>41200</v>
      </c>
      <c r="P116" s="402">
        <v>2250</v>
      </c>
      <c r="Q116" s="402">
        <v>0</v>
      </c>
      <c r="R116" s="402">
        <v>35310</v>
      </c>
      <c r="S116" s="402">
        <v>0</v>
      </c>
      <c r="T116" s="402">
        <v>0</v>
      </c>
      <c r="U116" s="402">
        <v>0</v>
      </c>
      <c r="V116" s="402">
        <v>0</v>
      </c>
      <c r="W116" s="402">
        <v>0</v>
      </c>
      <c r="X116" s="402">
        <v>114349</v>
      </c>
      <c r="Y116" s="402">
        <v>4540786.1855592066</v>
      </c>
      <c r="Z116" s="402">
        <v>2106846.9172873204</v>
      </c>
      <c r="AA116" s="402">
        <v>0</v>
      </c>
      <c r="AB116" s="402">
        <v>771724.31583145494</v>
      </c>
      <c r="AC116" s="402">
        <v>128593.81773428265</v>
      </c>
      <c r="AD116" s="402">
        <v>318585.40757683839</v>
      </c>
      <c r="AE116" s="402">
        <v>0</v>
      </c>
      <c r="AF116" s="402">
        <v>132149.46582277122</v>
      </c>
      <c r="AG116" s="402">
        <v>64850</v>
      </c>
      <c r="AH116" s="402">
        <v>15000</v>
      </c>
      <c r="AI116" s="402">
        <v>16000</v>
      </c>
      <c r="AJ116" s="402">
        <v>4741</v>
      </c>
      <c r="AK116" s="402">
        <v>63000</v>
      </c>
      <c r="AL116" s="402">
        <v>17900</v>
      </c>
      <c r="AM116" s="402">
        <v>69700</v>
      </c>
      <c r="AN116" s="402">
        <v>14000</v>
      </c>
      <c r="AO116" s="402">
        <v>174700</v>
      </c>
      <c r="AP116" s="402">
        <v>24564</v>
      </c>
      <c r="AQ116" s="402">
        <v>15449</v>
      </c>
      <c r="AR116" s="402">
        <v>117062</v>
      </c>
      <c r="AS116" s="402">
        <v>69055.760000000009</v>
      </c>
      <c r="AT116" s="402">
        <v>0</v>
      </c>
      <c r="AU116" s="402">
        <v>20641</v>
      </c>
      <c r="AV116" s="402">
        <v>18004.72</v>
      </c>
      <c r="AW116" s="402">
        <v>3600</v>
      </c>
      <c r="AX116" s="402">
        <v>197874.96000000002</v>
      </c>
      <c r="AY116" s="402">
        <v>104000</v>
      </c>
      <c r="AZ116" s="402">
        <v>134000</v>
      </c>
      <c r="BA116" s="402">
        <v>40638.730000000003</v>
      </c>
      <c r="BB116" s="402">
        <v>0</v>
      </c>
      <c r="BC116" s="402">
        <v>4461.3</v>
      </c>
      <c r="BD116" s="402">
        <v>12999.64</v>
      </c>
      <c r="BE116" s="402">
        <v>4660142.0342526678</v>
      </c>
      <c r="BF116" s="402">
        <v>-119355.84869346116</v>
      </c>
      <c r="BG116" s="402">
        <v>237299.49</v>
      </c>
      <c r="BH116" s="402">
        <v>117943.64130653883</v>
      </c>
      <c r="BI116" s="402">
        <v>0</v>
      </c>
      <c r="BJ116" s="402">
        <v>125000</v>
      </c>
      <c r="BK116" s="402">
        <v>125000</v>
      </c>
      <c r="BL116" s="402">
        <v>61596.416396241482</v>
      </c>
      <c r="BM116" s="402">
        <v>123000</v>
      </c>
      <c r="BN116" s="402">
        <v>184596.41639624149</v>
      </c>
      <c r="BO116" s="402">
        <v>-59596.41639624149</v>
      </c>
      <c r="BP116" s="402">
        <v>99920.55</v>
      </c>
      <c r="BQ116" s="402">
        <v>40324.133603758513</v>
      </c>
      <c r="BR116" s="402">
        <v>0</v>
      </c>
      <c r="BS116" s="402">
        <v>117943.64130653883</v>
      </c>
      <c r="BT116" s="402">
        <v>40324.133603758513</v>
      </c>
      <c r="BU116" s="402">
        <v>158267.77491029736</v>
      </c>
      <c r="BV116" s="402">
        <v>15463</v>
      </c>
      <c r="BW116" s="402">
        <v>0</v>
      </c>
      <c r="BX116" s="402">
        <v>0</v>
      </c>
      <c r="BY116" s="402">
        <v>15463</v>
      </c>
      <c r="BZ116" s="402">
        <v>0</v>
      </c>
      <c r="CA116" s="402">
        <v>11129</v>
      </c>
      <c r="CB116" s="402">
        <v>0</v>
      </c>
      <c r="CC116" s="402">
        <v>11129</v>
      </c>
      <c r="CD116" s="402">
        <v>22258</v>
      </c>
      <c r="CE116" s="402">
        <v>-6795</v>
      </c>
      <c r="CF116" s="402">
        <v>7010.68</v>
      </c>
      <c r="CG116" s="402">
        <v>215.68000000000029</v>
      </c>
      <c r="CH116" s="402">
        <f>VLOOKUP($B116,'Data - CFR 2024-25'!$B$4:$CJ$127,85,0)</f>
        <v>7010.6799999999985</v>
      </c>
      <c r="CI116" s="402">
        <f>VLOOKUP($B116,'Data - CFR 2024-25'!$B$4:$CJ$127,86,0)</f>
        <v>0</v>
      </c>
      <c r="CJ116" s="402">
        <f>VLOOKUP($B116,'Data - CFR 2024-25'!$B$4:$CJ$127,87,0)</f>
        <v>7010.6799999999985</v>
      </c>
    </row>
    <row r="117" spans="1:88" ht="13.8">
      <c r="A117" s="252" t="s">
        <v>1384</v>
      </c>
      <c r="B117" s="288">
        <v>2048</v>
      </c>
      <c r="C117" s="288" t="s">
        <v>822</v>
      </c>
      <c r="D117" s="248" t="s">
        <v>708</v>
      </c>
      <c r="E117" s="403"/>
      <c r="F117" s="402">
        <v>2643484.9499954809</v>
      </c>
      <c r="G117" s="402">
        <v>0</v>
      </c>
      <c r="H117" s="402">
        <v>94012</v>
      </c>
      <c r="I117" s="402">
        <v>0</v>
      </c>
      <c r="J117" s="402">
        <v>177425</v>
      </c>
      <c r="K117" s="402">
        <v>4400</v>
      </c>
      <c r="L117" s="402">
        <v>0</v>
      </c>
      <c r="M117" s="402">
        <v>35000</v>
      </c>
      <c r="N117" s="402">
        <v>12510</v>
      </c>
      <c r="O117" s="402">
        <v>44400</v>
      </c>
      <c r="P117" s="402">
        <v>5075</v>
      </c>
      <c r="Q117" s="402">
        <v>0</v>
      </c>
      <c r="R117" s="402">
        <v>37915</v>
      </c>
      <c r="S117" s="402">
        <v>0</v>
      </c>
      <c r="T117" s="402">
        <v>0</v>
      </c>
      <c r="U117" s="402">
        <v>0</v>
      </c>
      <c r="V117" s="402">
        <v>0</v>
      </c>
      <c r="W117" s="402">
        <v>0</v>
      </c>
      <c r="X117" s="402">
        <v>95239</v>
      </c>
      <c r="Y117" s="402">
        <v>3149460.9499954809</v>
      </c>
      <c r="Z117" s="402">
        <v>1516024.3364559528</v>
      </c>
      <c r="AA117" s="402">
        <v>0</v>
      </c>
      <c r="AB117" s="402">
        <v>594589.13713713607</v>
      </c>
      <c r="AC117" s="402">
        <v>81452.487434324328</v>
      </c>
      <c r="AD117" s="402">
        <v>164327.40268442463</v>
      </c>
      <c r="AE117" s="402">
        <v>0</v>
      </c>
      <c r="AF117" s="402">
        <v>93212.777942903427</v>
      </c>
      <c r="AG117" s="402">
        <v>12450</v>
      </c>
      <c r="AH117" s="402">
        <v>10000</v>
      </c>
      <c r="AI117" s="402">
        <v>13125</v>
      </c>
      <c r="AJ117" s="402">
        <v>1290</v>
      </c>
      <c r="AK117" s="402">
        <v>23000</v>
      </c>
      <c r="AL117" s="402">
        <v>11820</v>
      </c>
      <c r="AM117" s="402">
        <v>65000</v>
      </c>
      <c r="AN117" s="402">
        <v>5400</v>
      </c>
      <c r="AO117" s="402">
        <v>57500</v>
      </c>
      <c r="AP117" s="402">
        <v>0</v>
      </c>
      <c r="AQ117" s="402">
        <v>16790</v>
      </c>
      <c r="AR117" s="402">
        <v>94648.41</v>
      </c>
      <c r="AS117" s="402">
        <v>66500</v>
      </c>
      <c r="AT117" s="402">
        <v>0</v>
      </c>
      <c r="AU117" s="402">
        <v>17659</v>
      </c>
      <c r="AV117" s="402">
        <v>15070</v>
      </c>
      <c r="AW117" s="402">
        <v>4500</v>
      </c>
      <c r="AX117" s="402">
        <v>161350</v>
      </c>
      <c r="AY117" s="402">
        <v>88500</v>
      </c>
      <c r="AZ117" s="402">
        <v>51500</v>
      </c>
      <c r="BA117" s="402">
        <v>21755</v>
      </c>
      <c r="BB117" s="402">
        <v>0</v>
      </c>
      <c r="BC117" s="402">
        <v>0</v>
      </c>
      <c r="BD117" s="402">
        <v>0</v>
      </c>
      <c r="BE117" s="402">
        <v>3187463.5516547412</v>
      </c>
      <c r="BF117" s="402">
        <v>-38002.601659260225</v>
      </c>
      <c r="BG117" s="402">
        <v>49325.53000000045</v>
      </c>
      <c r="BH117" s="402">
        <v>11322.928340740225</v>
      </c>
      <c r="BI117" s="402">
        <v>0</v>
      </c>
      <c r="BJ117" s="402">
        <v>0</v>
      </c>
      <c r="BK117" s="402">
        <v>0</v>
      </c>
      <c r="BL117" s="402">
        <v>0</v>
      </c>
      <c r="BM117" s="402">
        <v>0</v>
      </c>
      <c r="BN117" s="402">
        <v>0</v>
      </c>
      <c r="BO117" s="402">
        <v>0</v>
      </c>
      <c r="BP117" s="402">
        <v>0</v>
      </c>
      <c r="BQ117" s="402">
        <v>0</v>
      </c>
      <c r="BR117" s="402">
        <v>0</v>
      </c>
      <c r="BS117" s="402">
        <v>11322.928340740225</v>
      </c>
      <c r="BT117" s="402">
        <v>0</v>
      </c>
      <c r="BU117" s="402">
        <v>11322.928340740225</v>
      </c>
      <c r="BV117" s="402">
        <v>9805</v>
      </c>
      <c r="BW117" s="402">
        <v>0</v>
      </c>
      <c r="BX117" s="402">
        <v>0</v>
      </c>
      <c r="BY117" s="402">
        <v>9805</v>
      </c>
      <c r="BZ117" s="402">
        <v>0</v>
      </c>
      <c r="CA117" s="402">
        <v>11409.54</v>
      </c>
      <c r="CB117" s="402">
        <v>0</v>
      </c>
      <c r="CC117" s="402">
        <v>0</v>
      </c>
      <c r="CD117" s="402">
        <v>11409.54</v>
      </c>
      <c r="CE117" s="402">
        <v>-1604.5400000000009</v>
      </c>
      <c r="CF117" s="402">
        <v>1604.5400000000002</v>
      </c>
      <c r="CG117" s="402">
        <v>0</v>
      </c>
      <c r="CH117" s="402">
        <f>VLOOKUP($B117,'Data - CFR 2024-25'!$B$4:$CJ$127,85,0)</f>
        <v>1604.5400000000002</v>
      </c>
      <c r="CI117" s="402">
        <f>VLOOKUP($B117,'Data - CFR 2024-25'!$B$4:$CJ$127,86,0)</f>
        <v>0</v>
      </c>
      <c r="CJ117" s="402">
        <f>VLOOKUP($B117,'Data - CFR 2024-25'!$B$4:$CJ$127,87,0)</f>
        <v>1604.5400000000002</v>
      </c>
    </row>
    <row r="118" spans="1:88" ht="13.8">
      <c r="A118" s="252" t="s">
        <v>1384</v>
      </c>
      <c r="B118" s="288">
        <v>2232</v>
      </c>
      <c r="C118" s="288" t="s">
        <v>823</v>
      </c>
      <c r="D118" s="248" t="s">
        <v>708</v>
      </c>
      <c r="E118" s="403"/>
      <c r="F118" s="402">
        <v>1227765.9099999999</v>
      </c>
      <c r="G118" s="402">
        <v>0</v>
      </c>
      <c r="H118" s="402">
        <v>98000</v>
      </c>
      <c r="I118" s="402">
        <v>0</v>
      </c>
      <c r="J118" s="402">
        <v>87070</v>
      </c>
      <c r="K118" s="402">
        <v>0</v>
      </c>
      <c r="L118" s="402">
        <v>0</v>
      </c>
      <c r="M118" s="402">
        <v>25000</v>
      </c>
      <c r="N118" s="402">
        <v>15180</v>
      </c>
      <c r="O118" s="402">
        <v>55320</v>
      </c>
      <c r="P118" s="402">
        <v>200</v>
      </c>
      <c r="Q118" s="402">
        <v>250</v>
      </c>
      <c r="R118" s="402">
        <v>0</v>
      </c>
      <c r="S118" s="402">
        <v>1000</v>
      </c>
      <c r="T118" s="402">
        <v>0</v>
      </c>
      <c r="U118" s="402">
        <v>0</v>
      </c>
      <c r="V118" s="402">
        <v>0</v>
      </c>
      <c r="W118" s="402">
        <v>0</v>
      </c>
      <c r="X118" s="402">
        <v>18920</v>
      </c>
      <c r="Y118" s="402">
        <v>1528705.91</v>
      </c>
      <c r="Z118" s="402">
        <v>877053.58</v>
      </c>
      <c r="AA118" s="402">
        <v>10000</v>
      </c>
      <c r="AB118" s="402">
        <v>265422.13</v>
      </c>
      <c r="AC118" s="402">
        <v>41130.51</v>
      </c>
      <c r="AD118" s="402">
        <v>69555.759999999995</v>
      </c>
      <c r="AE118" s="402">
        <v>54822.12</v>
      </c>
      <c r="AF118" s="402">
        <v>35722.239999999998</v>
      </c>
      <c r="AG118" s="402">
        <v>7462</v>
      </c>
      <c r="AH118" s="402">
        <v>7500</v>
      </c>
      <c r="AI118" s="402">
        <v>6200</v>
      </c>
      <c r="AJ118" s="402">
        <v>2200</v>
      </c>
      <c r="AK118" s="402">
        <v>6000</v>
      </c>
      <c r="AL118" s="402">
        <v>4300</v>
      </c>
      <c r="AM118" s="402">
        <v>1200</v>
      </c>
      <c r="AN118" s="402">
        <v>2600</v>
      </c>
      <c r="AO118" s="402">
        <v>26200</v>
      </c>
      <c r="AP118" s="402">
        <v>0</v>
      </c>
      <c r="AQ118" s="402">
        <v>6500</v>
      </c>
      <c r="AR118" s="402">
        <v>32050</v>
      </c>
      <c r="AS118" s="402">
        <v>19700</v>
      </c>
      <c r="AT118" s="402">
        <v>0</v>
      </c>
      <c r="AU118" s="402">
        <v>8800</v>
      </c>
      <c r="AV118" s="402">
        <v>6181.24</v>
      </c>
      <c r="AW118" s="402">
        <v>0</v>
      </c>
      <c r="AX118" s="402">
        <v>31700</v>
      </c>
      <c r="AY118" s="402">
        <v>0</v>
      </c>
      <c r="AZ118" s="402">
        <v>2600</v>
      </c>
      <c r="BA118" s="402">
        <v>10425</v>
      </c>
      <c r="BB118" s="402">
        <v>0</v>
      </c>
      <c r="BC118" s="402">
        <v>0</v>
      </c>
      <c r="BD118" s="402">
        <v>4000</v>
      </c>
      <c r="BE118" s="402">
        <v>1539324.58</v>
      </c>
      <c r="BF118" s="402">
        <v>-10618.670000000158</v>
      </c>
      <c r="BG118" s="402">
        <v>-12795.260000000028</v>
      </c>
      <c r="BH118" s="402">
        <v>-23413.930000000186</v>
      </c>
      <c r="BI118" s="402">
        <v>0</v>
      </c>
      <c r="BJ118" s="402">
        <v>0</v>
      </c>
      <c r="BK118" s="402">
        <v>0</v>
      </c>
      <c r="BL118" s="402">
        <v>0</v>
      </c>
      <c r="BM118" s="402">
        <v>0</v>
      </c>
      <c r="BN118" s="402">
        <v>0</v>
      </c>
      <c r="BO118" s="402">
        <v>0</v>
      </c>
      <c r="BP118" s="402">
        <v>0</v>
      </c>
      <c r="BQ118" s="402">
        <v>0</v>
      </c>
      <c r="BR118" s="402">
        <v>0</v>
      </c>
      <c r="BS118" s="402">
        <v>-23413.930000000186</v>
      </c>
      <c r="BT118" s="402">
        <v>0</v>
      </c>
      <c r="BU118" s="402">
        <v>-23413.930000000186</v>
      </c>
      <c r="BV118" s="402">
        <v>6857.5</v>
      </c>
      <c r="BW118" s="402">
        <v>0</v>
      </c>
      <c r="BX118" s="402">
        <v>0</v>
      </c>
      <c r="BY118" s="402">
        <v>6857.5</v>
      </c>
      <c r="BZ118" s="402">
        <v>0</v>
      </c>
      <c r="CA118" s="402">
        <v>0</v>
      </c>
      <c r="CB118" s="402">
        <v>0</v>
      </c>
      <c r="CC118" s="402">
        <v>6857.5</v>
      </c>
      <c r="CD118" s="402">
        <v>6857.5</v>
      </c>
      <c r="CE118" s="402">
        <v>0</v>
      </c>
      <c r="CF118" s="402">
        <v>16774.379999999997</v>
      </c>
      <c r="CG118" s="402">
        <v>16774.379999999997</v>
      </c>
      <c r="CH118" s="402">
        <f>VLOOKUP($B118,'Data - CFR 2024-25'!$B$4:$CJ$127,85,0)</f>
        <v>2562.9499999999989</v>
      </c>
      <c r="CI118" s="402">
        <f>VLOOKUP($B118,'Data - CFR 2024-25'!$B$4:$CJ$127,86,0)</f>
        <v>14211.43</v>
      </c>
      <c r="CJ118" s="402">
        <f>VLOOKUP($B118,'Data - CFR 2024-25'!$B$4:$CJ$127,87,0)</f>
        <v>16774.379999999997</v>
      </c>
    </row>
    <row r="119" spans="1:88" ht="13.8">
      <c r="A119" s="252" t="s">
        <v>1384</v>
      </c>
      <c r="B119" s="290">
        <v>3392</v>
      </c>
      <c r="C119" s="290" t="s">
        <v>824</v>
      </c>
      <c r="D119" s="248" t="s">
        <v>708</v>
      </c>
      <c r="E119" s="403"/>
      <c r="F119" s="402">
        <v>1526025</v>
      </c>
      <c r="G119" s="402">
        <v>0</v>
      </c>
      <c r="H119" s="402">
        <v>40673</v>
      </c>
      <c r="I119" s="402">
        <v>0</v>
      </c>
      <c r="J119" s="402">
        <v>72420</v>
      </c>
      <c r="K119" s="402">
        <v>0</v>
      </c>
      <c r="L119" s="402">
        <v>0</v>
      </c>
      <c r="M119" s="402">
        <v>25000</v>
      </c>
      <c r="N119" s="402">
        <v>105680</v>
      </c>
      <c r="O119" s="402">
        <v>47500</v>
      </c>
      <c r="P119" s="402">
        <v>2250</v>
      </c>
      <c r="Q119" s="402">
        <v>0</v>
      </c>
      <c r="R119" s="402">
        <v>0</v>
      </c>
      <c r="S119" s="402">
        <v>5000</v>
      </c>
      <c r="T119" s="402">
        <v>0</v>
      </c>
      <c r="U119" s="402">
        <v>0</v>
      </c>
      <c r="V119" s="402">
        <v>0</v>
      </c>
      <c r="W119" s="402">
        <v>0</v>
      </c>
      <c r="X119" s="402">
        <v>69096</v>
      </c>
      <c r="Y119" s="402">
        <v>1893644</v>
      </c>
      <c r="Z119" s="402">
        <v>935509</v>
      </c>
      <c r="AA119" s="402">
        <v>7500</v>
      </c>
      <c r="AB119" s="402">
        <v>358671</v>
      </c>
      <c r="AC119" s="402">
        <v>77626</v>
      </c>
      <c r="AD119" s="402">
        <v>72027</v>
      </c>
      <c r="AE119" s="402">
        <v>61048</v>
      </c>
      <c r="AF119" s="402">
        <v>100834</v>
      </c>
      <c r="AG119" s="402">
        <v>350</v>
      </c>
      <c r="AH119" s="402">
        <v>9772</v>
      </c>
      <c r="AI119" s="402">
        <v>7361</v>
      </c>
      <c r="AJ119" s="402">
        <v>0</v>
      </c>
      <c r="AK119" s="402">
        <v>20000</v>
      </c>
      <c r="AL119" s="402">
        <v>4476</v>
      </c>
      <c r="AM119" s="402">
        <v>6375</v>
      </c>
      <c r="AN119" s="402">
        <v>11000</v>
      </c>
      <c r="AO119" s="402">
        <v>61000</v>
      </c>
      <c r="AP119" s="402">
        <v>0</v>
      </c>
      <c r="AQ119" s="402">
        <v>34550</v>
      </c>
      <c r="AR119" s="402">
        <v>97118</v>
      </c>
      <c r="AS119" s="402">
        <v>32683</v>
      </c>
      <c r="AT119" s="402">
        <v>0</v>
      </c>
      <c r="AU119" s="402">
        <v>15900</v>
      </c>
      <c r="AV119" s="402">
        <v>7792</v>
      </c>
      <c r="AW119" s="402">
        <v>2000</v>
      </c>
      <c r="AX119" s="402">
        <v>36400</v>
      </c>
      <c r="AY119" s="402">
        <v>9000</v>
      </c>
      <c r="AZ119" s="402">
        <v>0</v>
      </c>
      <c r="BA119" s="402">
        <v>14392</v>
      </c>
      <c r="BB119" s="402">
        <v>0</v>
      </c>
      <c r="BC119" s="402">
        <v>0</v>
      </c>
      <c r="BD119" s="402">
        <v>0</v>
      </c>
      <c r="BE119" s="402">
        <v>1983383</v>
      </c>
      <c r="BF119" s="402">
        <v>-89739</v>
      </c>
      <c r="BG119" s="402">
        <v>-99667</v>
      </c>
      <c r="BH119" s="402">
        <v>-189406</v>
      </c>
      <c r="BI119" s="402">
        <v>100000</v>
      </c>
      <c r="BJ119" s="402">
        <v>7600</v>
      </c>
      <c r="BK119" s="402">
        <v>107600</v>
      </c>
      <c r="BL119" s="402">
        <v>97138</v>
      </c>
      <c r="BM119" s="402">
        <v>11450</v>
      </c>
      <c r="BN119" s="402">
        <v>108588</v>
      </c>
      <c r="BO119" s="402">
        <v>-988</v>
      </c>
      <c r="BP119" s="402">
        <v>23483</v>
      </c>
      <c r="BQ119" s="402">
        <v>22495</v>
      </c>
      <c r="BR119" s="402">
        <v>0</v>
      </c>
      <c r="BS119" s="402">
        <v>-189406</v>
      </c>
      <c r="BT119" s="402">
        <v>22495</v>
      </c>
      <c r="BU119" s="402">
        <v>-166911</v>
      </c>
      <c r="BV119" s="402">
        <v>7465</v>
      </c>
      <c r="BW119" s="402">
        <v>0</v>
      </c>
      <c r="BX119" s="402">
        <v>0</v>
      </c>
      <c r="BY119" s="402">
        <v>7465</v>
      </c>
      <c r="BZ119" s="402">
        <v>0</v>
      </c>
      <c r="CA119" s="402">
        <v>21917</v>
      </c>
      <c r="CB119" s="402">
        <v>0</v>
      </c>
      <c r="CC119" s="402">
        <v>1650</v>
      </c>
      <c r="CD119" s="402">
        <v>23567</v>
      </c>
      <c r="CE119" s="402">
        <v>-16102</v>
      </c>
      <c r="CF119" s="402">
        <v>16102</v>
      </c>
      <c r="CG119" s="402">
        <v>0</v>
      </c>
      <c r="CH119" s="402">
        <f>VLOOKUP($B119,'Data - CFR 2024-25'!$B$4:$CJ$127,85,0)</f>
        <v>16102.400000000001</v>
      </c>
      <c r="CI119" s="402">
        <f>VLOOKUP($B119,'Data - CFR 2024-25'!$B$4:$CJ$127,86,0)</f>
        <v>0</v>
      </c>
      <c r="CJ119" s="402">
        <f>VLOOKUP($B119,'Data - CFR 2024-25'!$B$4:$CJ$127,87,0)</f>
        <v>16102.400000000001</v>
      </c>
    </row>
    <row r="120" spans="1:88" ht="13.8">
      <c r="A120" s="252" t="s">
        <v>1384</v>
      </c>
      <c r="B120" s="288">
        <v>3054</v>
      </c>
      <c r="C120" s="288" t="s">
        <v>825</v>
      </c>
      <c r="D120" s="248" t="s">
        <v>708</v>
      </c>
      <c r="E120" s="403"/>
      <c r="F120" s="402">
        <v>701972.39639857283</v>
      </c>
      <c r="G120" s="402">
        <v>0</v>
      </c>
      <c r="H120" s="402">
        <v>44968</v>
      </c>
      <c r="I120" s="402">
        <v>0</v>
      </c>
      <c r="J120" s="402">
        <v>40905</v>
      </c>
      <c r="K120" s="402">
        <v>0</v>
      </c>
      <c r="L120" s="402">
        <v>20400</v>
      </c>
      <c r="M120" s="402">
        <v>2200</v>
      </c>
      <c r="N120" s="402">
        <v>12900</v>
      </c>
      <c r="O120" s="402">
        <v>12000</v>
      </c>
      <c r="P120" s="402">
        <v>0</v>
      </c>
      <c r="Q120" s="402">
        <v>0</v>
      </c>
      <c r="R120" s="402">
        <v>9080</v>
      </c>
      <c r="S120" s="402">
        <v>0</v>
      </c>
      <c r="T120" s="402">
        <v>0</v>
      </c>
      <c r="U120" s="402">
        <v>0</v>
      </c>
      <c r="V120" s="402">
        <v>0</v>
      </c>
      <c r="W120" s="402">
        <v>0</v>
      </c>
      <c r="X120" s="402">
        <v>27376</v>
      </c>
      <c r="Y120" s="402">
        <v>871801.39639857283</v>
      </c>
      <c r="Z120" s="402">
        <v>430109.45350600005</v>
      </c>
      <c r="AA120" s="402">
        <v>5800</v>
      </c>
      <c r="AB120" s="402">
        <v>192376.10129910184</v>
      </c>
      <c r="AC120" s="402">
        <v>22123.298820047494</v>
      </c>
      <c r="AD120" s="402">
        <v>43999.039599566051</v>
      </c>
      <c r="AE120" s="402">
        <v>28360.09345544958</v>
      </c>
      <c r="AF120" s="402">
        <v>5439.0734746737835</v>
      </c>
      <c r="AG120" s="402">
        <v>6570</v>
      </c>
      <c r="AH120" s="402">
        <v>4000</v>
      </c>
      <c r="AI120" s="402">
        <v>2575</v>
      </c>
      <c r="AJ120" s="402">
        <v>913</v>
      </c>
      <c r="AK120" s="402">
        <v>9350</v>
      </c>
      <c r="AL120" s="402">
        <v>3000</v>
      </c>
      <c r="AM120" s="402">
        <v>2800</v>
      </c>
      <c r="AN120" s="402">
        <v>2500</v>
      </c>
      <c r="AO120" s="402">
        <v>18250</v>
      </c>
      <c r="AP120" s="402">
        <v>0</v>
      </c>
      <c r="AQ120" s="402">
        <v>4315</v>
      </c>
      <c r="AR120" s="402">
        <v>36880</v>
      </c>
      <c r="AS120" s="402">
        <v>21271</v>
      </c>
      <c r="AT120" s="402">
        <v>0</v>
      </c>
      <c r="AU120" s="402">
        <v>5360</v>
      </c>
      <c r="AV120" s="402">
        <v>2720</v>
      </c>
      <c r="AW120" s="402">
        <v>100</v>
      </c>
      <c r="AX120" s="402">
        <v>18710</v>
      </c>
      <c r="AY120" s="402">
        <v>5000</v>
      </c>
      <c r="AZ120" s="402">
        <v>700</v>
      </c>
      <c r="BA120" s="402">
        <v>14217</v>
      </c>
      <c r="BB120" s="402">
        <v>0</v>
      </c>
      <c r="BC120" s="402">
        <v>0</v>
      </c>
      <c r="BD120" s="402">
        <v>0</v>
      </c>
      <c r="BE120" s="402">
        <v>887438.06015483872</v>
      </c>
      <c r="BF120" s="402">
        <v>-15636.663756265887</v>
      </c>
      <c r="BG120" s="402">
        <v>23693.979999999978</v>
      </c>
      <c r="BH120" s="402">
        <v>8057.3162437340907</v>
      </c>
      <c r="BI120" s="402">
        <v>0</v>
      </c>
      <c r="BJ120" s="402">
        <v>0</v>
      </c>
      <c r="BK120" s="402">
        <v>0</v>
      </c>
      <c r="BL120" s="402">
        <v>0</v>
      </c>
      <c r="BM120" s="402">
        <v>0</v>
      </c>
      <c r="BN120" s="402">
        <v>0</v>
      </c>
      <c r="BO120" s="402">
        <v>0</v>
      </c>
      <c r="BP120" s="402">
        <v>0</v>
      </c>
      <c r="BQ120" s="402">
        <v>0</v>
      </c>
      <c r="BR120" s="402">
        <v>0</v>
      </c>
      <c r="BS120" s="402">
        <v>8057.3162437340907</v>
      </c>
      <c r="BT120" s="402">
        <v>0</v>
      </c>
      <c r="BU120" s="402">
        <v>8057.3162437340907</v>
      </c>
      <c r="BV120" s="402">
        <v>5322</v>
      </c>
      <c r="BW120" s="402">
        <v>0</v>
      </c>
      <c r="BX120" s="402">
        <v>0</v>
      </c>
      <c r="BY120" s="402">
        <v>5322</v>
      </c>
      <c r="BZ120" s="402">
        <v>0</v>
      </c>
      <c r="CA120" s="402">
        <v>11031.38</v>
      </c>
      <c r="CB120" s="402">
        <v>0</v>
      </c>
      <c r="CC120" s="402">
        <v>2574.5300000000002</v>
      </c>
      <c r="CD120" s="402">
        <v>13605.91</v>
      </c>
      <c r="CE120" s="402">
        <v>-8283.91</v>
      </c>
      <c r="CF120" s="402">
        <v>8283.91</v>
      </c>
      <c r="CG120" s="402">
        <v>0</v>
      </c>
      <c r="CH120" s="402">
        <f>VLOOKUP($B120,'Data - CFR 2024-25'!$B$4:$CJ$127,85,0)</f>
        <v>7283.91</v>
      </c>
      <c r="CI120" s="402">
        <f>VLOOKUP($B120,'Data - CFR 2024-25'!$B$4:$CJ$127,86,0)</f>
        <v>1000</v>
      </c>
      <c r="CJ120" s="402">
        <f>VLOOKUP($B120,'Data - CFR 2024-25'!$B$4:$CJ$127,87,0)</f>
        <v>8283.91</v>
      </c>
    </row>
    <row r="121" spans="1:88" ht="13.8">
      <c r="A121" s="252" t="s">
        <v>1384</v>
      </c>
      <c r="B121" s="288">
        <v>3032</v>
      </c>
      <c r="C121" s="288" t="s">
        <v>826</v>
      </c>
      <c r="D121" s="248" t="s">
        <v>708</v>
      </c>
      <c r="E121" s="403"/>
      <c r="F121" s="402">
        <v>974531.2331684992</v>
      </c>
      <c r="G121" s="402">
        <v>0</v>
      </c>
      <c r="H121" s="402">
        <v>59063</v>
      </c>
      <c r="I121" s="402">
        <v>0</v>
      </c>
      <c r="J121" s="402">
        <v>40905</v>
      </c>
      <c r="K121" s="402">
        <v>0</v>
      </c>
      <c r="L121" s="402">
        <v>0</v>
      </c>
      <c r="M121" s="402">
        <v>11180</v>
      </c>
      <c r="N121" s="402">
        <v>1000</v>
      </c>
      <c r="O121" s="402">
        <v>29351</v>
      </c>
      <c r="P121" s="402">
        <v>0</v>
      </c>
      <c r="Q121" s="402">
        <v>0</v>
      </c>
      <c r="R121" s="402">
        <v>0</v>
      </c>
      <c r="S121" s="402">
        <v>0</v>
      </c>
      <c r="T121" s="402">
        <v>0</v>
      </c>
      <c r="U121" s="402">
        <v>0</v>
      </c>
      <c r="V121" s="402">
        <v>0</v>
      </c>
      <c r="W121" s="402">
        <v>0</v>
      </c>
      <c r="X121" s="402">
        <v>49248</v>
      </c>
      <c r="Y121" s="402">
        <v>1165278.2331684991</v>
      </c>
      <c r="Z121" s="402">
        <v>627997.50889072008</v>
      </c>
      <c r="AA121" s="402">
        <v>4200</v>
      </c>
      <c r="AB121" s="402">
        <v>248451.19510549429</v>
      </c>
      <c r="AC121" s="402">
        <v>32899.628485418216</v>
      </c>
      <c r="AD121" s="402">
        <v>48352.887077686559</v>
      </c>
      <c r="AE121" s="402">
        <v>0</v>
      </c>
      <c r="AF121" s="402">
        <v>12707.346213408979</v>
      </c>
      <c r="AG121" s="402">
        <v>5700.5</v>
      </c>
      <c r="AH121" s="402">
        <v>6000</v>
      </c>
      <c r="AI121" s="402">
        <v>4625</v>
      </c>
      <c r="AJ121" s="402">
        <v>656</v>
      </c>
      <c r="AK121" s="402">
        <v>7207</v>
      </c>
      <c r="AL121" s="402">
        <v>2819</v>
      </c>
      <c r="AM121" s="402">
        <v>3420</v>
      </c>
      <c r="AN121" s="402">
        <v>6000</v>
      </c>
      <c r="AO121" s="402">
        <v>22814.2</v>
      </c>
      <c r="AP121" s="402">
        <v>0</v>
      </c>
      <c r="AQ121" s="402">
        <v>5680</v>
      </c>
      <c r="AR121" s="402">
        <v>33848</v>
      </c>
      <c r="AS121" s="402">
        <v>20176</v>
      </c>
      <c r="AT121" s="402">
        <v>0</v>
      </c>
      <c r="AU121" s="402">
        <v>15816</v>
      </c>
      <c r="AV121" s="402">
        <v>5160</v>
      </c>
      <c r="AW121" s="402">
        <v>2000</v>
      </c>
      <c r="AX121" s="402">
        <v>76171.199999999997</v>
      </c>
      <c r="AY121" s="402">
        <v>0</v>
      </c>
      <c r="AZ121" s="402">
        <v>0</v>
      </c>
      <c r="BA121" s="402">
        <v>16517.36</v>
      </c>
      <c r="BB121" s="402">
        <v>0</v>
      </c>
      <c r="BC121" s="402">
        <v>0</v>
      </c>
      <c r="BD121" s="402">
        <v>0</v>
      </c>
      <c r="BE121" s="402">
        <v>1209218.8257727281</v>
      </c>
      <c r="BF121" s="402">
        <v>-43940.592604228994</v>
      </c>
      <c r="BG121" s="402">
        <v>85516.689999999988</v>
      </c>
      <c r="BH121" s="402">
        <v>41576.097395770994</v>
      </c>
      <c r="BI121" s="402">
        <v>0</v>
      </c>
      <c r="BJ121" s="402">
        <v>0</v>
      </c>
      <c r="BK121" s="402">
        <v>0</v>
      </c>
      <c r="BL121" s="402">
        <v>0</v>
      </c>
      <c r="BM121" s="402">
        <v>0</v>
      </c>
      <c r="BN121" s="402">
        <v>0</v>
      </c>
      <c r="BO121" s="402">
        <v>0</v>
      </c>
      <c r="BP121" s="402">
        <v>0</v>
      </c>
      <c r="BQ121" s="402">
        <v>0</v>
      </c>
      <c r="BR121" s="402">
        <v>0</v>
      </c>
      <c r="BS121" s="402">
        <v>41576.097395770994</v>
      </c>
      <c r="BT121" s="402">
        <v>0</v>
      </c>
      <c r="BU121" s="402">
        <v>41576.097395770994</v>
      </c>
      <c r="BV121" s="402">
        <v>6093</v>
      </c>
      <c r="BW121" s="402">
        <v>0</v>
      </c>
      <c r="BX121" s="402">
        <v>0</v>
      </c>
      <c r="BY121" s="402">
        <v>6093</v>
      </c>
      <c r="BZ121" s="402">
        <v>0</v>
      </c>
      <c r="CA121" s="402">
        <v>15451.83</v>
      </c>
      <c r="CB121" s="402">
        <v>0</v>
      </c>
      <c r="CC121" s="402">
        <v>0</v>
      </c>
      <c r="CD121" s="402">
        <v>15451.83</v>
      </c>
      <c r="CE121" s="402">
        <v>-9358.83</v>
      </c>
      <c r="CF121" s="402">
        <v>9358.8300000000017</v>
      </c>
      <c r="CG121" s="402">
        <v>0</v>
      </c>
      <c r="CH121" s="402">
        <f>VLOOKUP($B121,'Data - CFR 2024-25'!$B$4:$CJ$127,85,0)</f>
        <v>9358.8300000000017</v>
      </c>
      <c r="CI121" s="402">
        <f>VLOOKUP($B121,'Data - CFR 2024-25'!$B$4:$CJ$127,86,0)</f>
        <v>0</v>
      </c>
      <c r="CJ121" s="402">
        <f>VLOOKUP($B121,'Data - CFR 2024-25'!$B$4:$CJ$127,87,0)</f>
        <v>9358.8300000000017</v>
      </c>
    </row>
    <row r="122" spans="1:88" ht="13.8">
      <c r="A122" s="252" t="s">
        <v>1384</v>
      </c>
      <c r="B122" s="288">
        <v>2054</v>
      </c>
      <c r="C122" s="288" t="s">
        <v>827</v>
      </c>
      <c r="D122" s="248" t="s">
        <v>708</v>
      </c>
      <c r="E122" s="403"/>
      <c r="F122" s="402">
        <v>1798953.2233957052</v>
      </c>
      <c r="G122" s="402">
        <v>0</v>
      </c>
      <c r="H122" s="402">
        <v>99282</v>
      </c>
      <c r="I122" s="402">
        <v>0</v>
      </c>
      <c r="J122" s="402">
        <v>134270</v>
      </c>
      <c r="K122" s="402">
        <v>0</v>
      </c>
      <c r="L122" s="402">
        <v>0</v>
      </c>
      <c r="M122" s="402">
        <v>3750</v>
      </c>
      <c r="N122" s="402">
        <v>133700</v>
      </c>
      <c r="O122" s="402">
        <v>30500</v>
      </c>
      <c r="P122" s="402">
        <v>1350</v>
      </c>
      <c r="Q122" s="402">
        <v>0</v>
      </c>
      <c r="R122" s="402">
        <v>0</v>
      </c>
      <c r="S122" s="402">
        <v>2000</v>
      </c>
      <c r="T122" s="402">
        <v>0</v>
      </c>
      <c r="U122" s="402">
        <v>0</v>
      </c>
      <c r="V122" s="402">
        <v>0</v>
      </c>
      <c r="W122" s="402">
        <v>0</v>
      </c>
      <c r="X122" s="402">
        <v>70212</v>
      </c>
      <c r="Y122" s="402">
        <v>2274017.2233957052</v>
      </c>
      <c r="Z122" s="402">
        <v>1216922.2441499506</v>
      </c>
      <c r="AA122" s="402">
        <v>17000</v>
      </c>
      <c r="AB122" s="402">
        <v>439248.78685505153</v>
      </c>
      <c r="AC122" s="402">
        <v>66939.49440084114</v>
      </c>
      <c r="AD122" s="402">
        <v>134451.19856937631</v>
      </c>
      <c r="AE122" s="402">
        <v>0</v>
      </c>
      <c r="AF122" s="402">
        <v>89398.020933656735</v>
      </c>
      <c r="AG122" s="402">
        <v>9392</v>
      </c>
      <c r="AH122" s="402">
        <v>6000</v>
      </c>
      <c r="AI122" s="402">
        <v>8525</v>
      </c>
      <c r="AJ122" s="402">
        <v>1551</v>
      </c>
      <c r="AK122" s="402">
        <v>21000</v>
      </c>
      <c r="AL122" s="402">
        <v>8400</v>
      </c>
      <c r="AM122" s="402">
        <v>5000</v>
      </c>
      <c r="AN122" s="402">
        <v>4710</v>
      </c>
      <c r="AO122" s="402">
        <v>41000</v>
      </c>
      <c r="AP122" s="402">
        <v>0</v>
      </c>
      <c r="AQ122" s="402">
        <v>8290</v>
      </c>
      <c r="AR122" s="402">
        <v>37130</v>
      </c>
      <c r="AS122" s="402">
        <v>36018</v>
      </c>
      <c r="AT122" s="402">
        <v>0</v>
      </c>
      <c r="AU122" s="402">
        <v>12435</v>
      </c>
      <c r="AV122" s="402">
        <v>9692</v>
      </c>
      <c r="AW122" s="402">
        <v>23000</v>
      </c>
      <c r="AX122" s="402">
        <v>122936</v>
      </c>
      <c r="AY122" s="402">
        <v>0</v>
      </c>
      <c r="AZ122" s="402">
        <v>0</v>
      </c>
      <c r="BA122" s="402">
        <v>16425</v>
      </c>
      <c r="BB122" s="402">
        <v>0</v>
      </c>
      <c r="BC122" s="402">
        <v>0</v>
      </c>
      <c r="BD122" s="402">
        <v>0</v>
      </c>
      <c r="BE122" s="402">
        <v>2335463.7449088763</v>
      </c>
      <c r="BF122" s="402">
        <v>-61446.521513171028</v>
      </c>
      <c r="BG122" s="402">
        <v>141686.00000000003</v>
      </c>
      <c r="BH122" s="402">
        <v>80239.478486829001</v>
      </c>
      <c r="BI122" s="402">
        <v>253700</v>
      </c>
      <c r="BJ122" s="402">
        <v>11300</v>
      </c>
      <c r="BK122" s="402">
        <v>265000</v>
      </c>
      <c r="BL122" s="402">
        <v>214295.79150906048</v>
      </c>
      <c r="BM122" s="402">
        <v>53889</v>
      </c>
      <c r="BN122" s="402">
        <v>268184.79150906048</v>
      </c>
      <c r="BO122" s="402">
        <v>-3184.7915090604802</v>
      </c>
      <c r="BP122" s="402">
        <v>65242.610000000037</v>
      </c>
      <c r="BQ122" s="402">
        <v>62057.818490939557</v>
      </c>
      <c r="BR122" s="402">
        <v>0</v>
      </c>
      <c r="BS122" s="402">
        <v>80239.478486829001</v>
      </c>
      <c r="BT122" s="402">
        <v>62057.818490939557</v>
      </c>
      <c r="BU122" s="402">
        <v>142297.29697776856</v>
      </c>
      <c r="BV122" s="402">
        <v>7870</v>
      </c>
      <c r="BW122" s="402">
        <v>0</v>
      </c>
      <c r="BX122" s="402">
        <v>0</v>
      </c>
      <c r="BY122" s="402">
        <v>7870</v>
      </c>
      <c r="BZ122" s="402">
        <v>0</v>
      </c>
      <c r="CA122" s="402">
        <v>7870.65</v>
      </c>
      <c r="CB122" s="402">
        <v>0</v>
      </c>
      <c r="CC122" s="402">
        <v>0</v>
      </c>
      <c r="CD122" s="402">
        <v>7870.65</v>
      </c>
      <c r="CE122" s="402">
        <v>-0.6499999999996362</v>
      </c>
      <c r="CF122" s="402">
        <v>0.65000000000009095</v>
      </c>
      <c r="CG122" s="402">
        <v>4.5474735088646412E-13</v>
      </c>
      <c r="CH122" s="402">
        <f>VLOOKUP($B122,'Data - CFR 2024-25'!$B$4:$CJ$127,85,0)</f>
        <v>0.65000000000009095</v>
      </c>
      <c r="CI122" s="402">
        <f>VLOOKUP($B122,'Data - CFR 2024-25'!$B$4:$CJ$127,86,0)</f>
        <v>0</v>
      </c>
      <c r="CJ122" s="402">
        <f>VLOOKUP($B122,'Data - CFR 2024-25'!$B$4:$CJ$127,87,0)</f>
        <v>0.65000000000009095</v>
      </c>
    </row>
    <row r="123" spans="1:88" ht="13.8">
      <c r="A123" s="252" t="s">
        <v>1384</v>
      </c>
      <c r="B123" s="288">
        <v>2240</v>
      </c>
      <c r="C123" s="288" t="s">
        <v>828</v>
      </c>
      <c r="D123" s="248" t="s">
        <v>708</v>
      </c>
      <c r="E123" s="403"/>
      <c r="F123" s="402">
        <v>730080.46</v>
      </c>
      <c r="G123" s="402">
        <v>0</v>
      </c>
      <c r="H123" s="402">
        <v>29164.799999999999</v>
      </c>
      <c r="I123" s="402">
        <v>0</v>
      </c>
      <c r="J123" s="402">
        <v>47520</v>
      </c>
      <c r="K123" s="402">
        <v>0</v>
      </c>
      <c r="L123" s="402">
        <v>0</v>
      </c>
      <c r="M123" s="402">
        <v>22000</v>
      </c>
      <c r="N123" s="402">
        <v>47100</v>
      </c>
      <c r="O123" s="402">
        <v>18700</v>
      </c>
      <c r="P123" s="402">
        <v>0</v>
      </c>
      <c r="Q123" s="402">
        <v>0</v>
      </c>
      <c r="R123" s="402">
        <v>8000</v>
      </c>
      <c r="S123" s="402">
        <v>18000</v>
      </c>
      <c r="T123" s="402">
        <v>0</v>
      </c>
      <c r="U123" s="402">
        <v>0</v>
      </c>
      <c r="V123" s="402">
        <v>0</v>
      </c>
      <c r="W123" s="402">
        <v>0</v>
      </c>
      <c r="X123" s="402">
        <v>39039.4</v>
      </c>
      <c r="Y123" s="402">
        <v>959604.66</v>
      </c>
      <c r="Z123" s="402">
        <v>402112.6</v>
      </c>
      <c r="AA123" s="402">
        <v>25000</v>
      </c>
      <c r="AB123" s="402">
        <v>168512.19</v>
      </c>
      <c r="AC123" s="402">
        <v>33380.68</v>
      </c>
      <c r="AD123" s="402">
        <v>43606.77</v>
      </c>
      <c r="AE123" s="402">
        <v>35461.35</v>
      </c>
      <c r="AF123" s="402">
        <v>58354.79</v>
      </c>
      <c r="AG123" s="402">
        <v>3400</v>
      </c>
      <c r="AH123" s="402">
        <v>6000</v>
      </c>
      <c r="AI123" s="402">
        <v>3400</v>
      </c>
      <c r="AJ123" s="402">
        <v>0</v>
      </c>
      <c r="AK123" s="402">
        <v>16000</v>
      </c>
      <c r="AL123" s="402">
        <v>2850</v>
      </c>
      <c r="AM123" s="402">
        <v>4000</v>
      </c>
      <c r="AN123" s="402">
        <v>2400</v>
      </c>
      <c r="AO123" s="402">
        <v>32800</v>
      </c>
      <c r="AP123" s="402">
        <v>0</v>
      </c>
      <c r="AQ123" s="402">
        <v>9500</v>
      </c>
      <c r="AR123" s="402">
        <v>37500</v>
      </c>
      <c r="AS123" s="402">
        <v>19000</v>
      </c>
      <c r="AT123" s="402">
        <v>0</v>
      </c>
      <c r="AU123" s="402">
        <v>8340</v>
      </c>
      <c r="AV123" s="402">
        <v>4531.62</v>
      </c>
      <c r="AW123" s="402">
        <v>3750</v>
      </c>
      <c r="AX123" s="402">
        <v>20000</v>
      </c>
      <c r="AY123" s="402">
        <v>0</v>
      </c>
      <c r="AZ123" s="402">
        <v>12500</v>
      </c>
      <c r="BA123" s="402">
        <v>17557.64</v>
      </c>
      <c r="BB123" s="402">
        <v>0</v>
      </c>
      <c r="BC123" s="402">
        <v>0</v>
      </c>
      <c r="BD123" s="402">
        <v>0</v>
      </c>
      <c r="BE123" s="402">
        <v>969957.64000000013</v>
      </c>
      <c r="BF123" s="402">
        <v>-10352.980000000098</v>
      </c>
      <c r="BG123" s="402">
        <v>11502.700000000041</v>
      </c>
      <c r="BH123" s="402">
        <v>1149.719999999943</v>
      </c>
      <c r="BI123" s="402">
        <v>95000</v>
      </c>
      <c r="BJ123" s="402">
        <v>10000</v>
      </c>
      <c r="BK123" s="402">
        <v>105000</v>
      </c>
      <c r="BL123" s="402">
        <v>102462</v>
      </c>
      <c r="BM123" s="402">
        <v>2850</v>
      </c>
      <c r="BN123" s="402">
        <v>105312</v>
      </c>
      <c r="BO123" s="402">
        <v>-312</v>
      </c>
      <c r="BP123" s="402">
        <v>773.2900000000127</v>
      </c>
      <c r="BQ123" s="402">
        <v>461.2900000000127</v>
      </c>
      <c r="BR123" s="402">
        <v>0</v>
      </c>
      <c r="BS123" s="402">
        <v>1149.719999999943</v>
      </c>
      <c r="BT123" s="402">
        <v>461.2900000000127</v>
      </c>
      <c r="BU123" s="402">
        <v>1611.0099999999557</v>
      </c>
      <c r="BV123" s="402">
        <v>6000</v>
      </c>
      <c r="BW123" s="402">
        <v>0</v>
      </c>
      <c r="BX123" s="402">
        <v>0</v>
      </c>
      <c r="BY123" s="402">
        <v>6000</v>
      </c>
      <c r="BZ123" s="402">
        <v>0</v>
      </c>
      <c r="CA123" s="402">
        <v>0</v>
      </c>
      <c r="CB123" s="402">
        <v>0</v>
      </c>
      <c r="CC123" s="402">
        <v>1000</v>
      </c>
      <c r="CD123" s="402">
        <v>1000</v>
      </c>
      <c r="CE123" s="402">
        <v>5000</v>
      </c>
      <c r="CF123" s="402">
        <v>1432.4399999999987</v>
      </c>
      <c r="CG123" s="402">
        <v>6432.4399999999987</v>
      </c>
      <c r="CH123" s="402">
        <f>VLOOKUP($B123,'Data - CFR 2024-25'!$B$4:$CJ$127,85,0)</f>
        <v>1432.4399999999987</v>
      </c>
      <c r="CI123" s="402">
        <f>VLOOKUP($B123,'Data - CFR 2024-25'!$B$4:$CJ$127,86,0)</f>
        <v>0</v>
      </c>
      <c r="CJ123" s="402">
        <f>VLOOKUP($B123,'Data - CFR 2024-25'!$B$4:$CJ$127,87,0)</f>
        <v>1432.4399999999987</v>
      </c>
    </row>
    <row r="124" spans="1:88" ht="13.8">
      <c r="A124" s="252" t="s">
        <v>1384</v>
      </c>
      <c r="B124" s="288">
        <v>2254</v>
      </c>
      <c r="C124" s="288" t="s">
        <v>829</v>
      </c>
      <c r="D124" s="248" t="s">
        <v>708</v>
      </c>
      <c r="E124" s="403"/>
      <c r="F124" s="402">
        <v>879594.91177349898</v>
      </c>
      <c r="G124" s="402">
        <v>0</v>
      </c>
      <c r="H124" s="402">
        <v>58869</v>
      </c>
      <c r="I124" s="402">
        <v>0</v>
      </c>
      <c r="J124" s="402">
        <v>45000</v>
      </c>
      <c r="K124" s="402">
        <v>0</v>
      </c>
      <c r="L124" s="402">
        <v>0</v>
      </c>
      <c r="M124" s="402">
        <v>0</v>
      </c>
      <c r="N124" s="402">
        <v>800</v>
      </c>
      <c r="O124" s="402">
        <v>0</v>
      </c>
      <c r="P124" s="402">
        <v>0</v>
      </c>
      <c r="Q124" s="402">
        <v>0</v>
      </c>
      <c r="R124" s="402">
        <v>0</v>
      </c>
      <c r="S124" s="402">
        <v>0</v>
      </c>
      <c r="T124" s="402">
        <v>0</v>
      </c>
      <c r="U124" s="402">
        <v>0</v>
      </c>
      <c r="V124" s="402">
        <v>0</v>
      </c>
      <c r="W124" s="402">
        <v>0</v>
      </c>
      <c r="X124" s="402">
        <v>81815</v>
      </c>
      <c r="Y124" s="402">
        <v>1066078.9117734991</v>
      </c>
      <c r="Z124" s="402">
        <v>497968.80594382231</v>
      </c>
      <c r="AA124" s="402">
        <v>2500</v>
      </c>
      <c r="AB124" s="402">
        <v>254458.0268520962</v>
      </c>
      <c r="AC124" s="402">
        <v>28348.364173201979</v>
      </c>
      <c r="AD124" s="402">
        <v>47746.414203814631</v>
      </c>
      <c r="AE124" s="402">
        <v>35495.485218398746</v>
      </c>
      <c r="AF124" s="402">
        <v>17862.07970186336</v>
      </c>
      <c r="AG124" s="402">
        <v>3547</v>
      </c>
      <c r="AH124" s="402">
        <v>2500</v>
      </c>
      <c r="AI124" s="402">
        <v>3875</v>
      </c>
      <c r="AJ124" s="402">
        <v>109</v>
      </c>
      <c r="AK124" s="402">
        <v>5000</v>
      </c>
      <c r="AL124" s="402">
        <v>1850</v>
      </c>
      <c r="AM124" s="402">
        <v>2050</v>
      </c>
      <c r="AN124" s="402">
        <v>3000</v>
      </c>
      <c r="AO124" s="402">
        <v>21500</v>
      </c>
      <c r="AP124" s="402">
        <v>0</v>
      </c>
      <c r="AQ124" s="402">
        <v>2050</v>
      </c>
      <c r="AR124" s="402">
        <v>12530.32</v>
      </c>
      <c r="AS124" s="402">
        <v>20314</v>
      </c>
      <c r="AT124" s="402">
        <v>0</v>
      </c>
      <c r="AU124" s="402">
        <v>11560</v>
      </c>
      <c r="AV124" s="402">
        <v>4287</v>
      </c>
      <c r="AW124" s="402">
        <v>0</v>
      </c>
      <c r="AX124" s="402">
        <v>19250</v>
      </c>
      <c r="AY124" s="402">
        <v>0</v>
      </c>
      <c r="AZ124" s="402">
        <v>7600</v>
      </c>
      <c r="BA124" s="402">
        <v>17926.760000000002</v>
      </c>
      <c r="BB124" s="402">
        <v>0</v>
      </c>
      <c r="BC124" s="402">
        <v>0</v>
      </c>
      <c r="BD124" s="402">
        <v>0</v>
      </c>
      <c r="BE124" s="402">
        <v>1023328.256093197</v>
      </c>
      <c r="BF124" s="402">
        <v>42750.655680302065</v>
      </c>
      <c r="BG124" s="402">
        <v>51475.040000000037</v>
      </c>
      <c r="BH124" s="402">
        <v>94225.695680302102</v>
      </c>
      <c r="BI124" s="402">
        <v>0</v>
      </c>
      <c r="BJ124" s="402">
        <v>0</v>
      </c>
      <c r="BK124" s="402">
        <v>0</v>
      </c>
      <c r="BL124" s="402">
        <v>0</v>
      </c>
      <c r="BM124" s="402">
        <v>0</v>
      </c>
      <c r="BN124" s="402">
        <v>0</v>
      </c>
      <c r="BO124" s="402">
        <v>0</v>
      </c>
      <c r="BP124" s="402">
        <v>0</v>
      </c>
      <c r="BQ124" s="402">
        <v>0</v>
      </c>
      <c r="BR124" s="402">
        <v>0</v>
      </c>
      <c r="BS124" s="402">
        <v>94225.695680302102</v>
      </c>
      <c r="BT124" s="402">
        <v>0</v>
      </c>
      <c r="BU124" s="402">
        <v>94225.695680302102</v>
      </c>
      <c r="BV124" s="402">
        <v>5710</v>
      </c>
      <c r="BW124" s="402">
        <v>0</v>
      </c>
      <c r="BX124" s="402">
        <v>0</v>
      </c>
      <c r="BY124" s="402">
        <v>5710</v>
      </c>
      <c r="BZ124" s="402">
        <v>0</v>
      </c>
      <c r="CA124" s="402">
        <v>9410.51</v>
      </c>
      <c r="CB124" s="402">
        <v>0</v>
      </c>
      <c r="CC124" s="402">
        <v>5710</v>
      </c>
      <c r="CD124" s="402">
        <v>15120.51</v>
      </c>
      <c r="CE124" s="402">
        <v>-9410.51</v>
      </c>
      <c r="CF124" s="402">
        <v>9410.51</v>
      </c>
      <c r="CG124" s="402">
        <v>0</v>
      </c>
      <c r="CH124" s="402">
        <f>VLOOKUP($B124,'Data - CFR 2024-25'!$B$4:$CJ$127,85,0)</f>
        <v>9410.51</v>
      </c>
      <c r="CI124" s="402">
        <f>VLOOKUP($B124,'Data - CFR 2024-25'!$B$4:$CJ$127,86,0)</f>
        <v>0</v>
      </c>
      <c r="CJ124" s="402">
        <f>VLOOKUP($B124,'Data - CFR 2024-25'!$B$4:$CJ$127,87,0)</f>
        <v>9410.51</v>
      </c>
    </row>
    <row r="125" spans="1:88">
      <c r="A125" s="247"/>
      <c r="B125" s="403"/>
      <c r="C125" s="246"/>
      <c r="D125" s="246"/>
      <c r="E125" s="403"/>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5"/>
      <c r="BJ125" s="404"/>
      <c r="BK125" s="404"/>
      <c r="BL125" s="404"/>
      <c r="BM125" s="404"/>
      <c r="BN125" s="404"/>
      <c r="BO125" s="404"/>
      <c r="BP125" s="404"/>
      <c r="BQ125" s="404"/>
      <c r="BR125" s="404"/>
      <c r="BS125" s="404"/>
      <c r="BT125" s="404"/>
      <c r="BU125" s="404"/>
      <c r="BV125" s="404"/>
      <c r="BW125" s="404"/>
      <c r="BX125" s="404"/>
      <c r="BY125" s="404"/>
      <c r="BZ125" s="404"/>
      <c r="CA125" s="404"/>
      <c r="CB125" s="404"/>
      <c r="CC125" s="404"/>
      <c r="CD125" s="404"/>
      <c r="CE125" s="404"/>
      <c r="CF125" s="404"/>
      <c r="CG125" s="404"/>
      <c r="CH125" s="404"/>
      <c r="CI125" s="404"/>
      <c r="CJ125" s="404"/>
    </row>
    <row r="126" spans="1:88">
      <c r="A126" s="247"/>
      <c r="B126" s="403"/>
      <c r="C126" s="246"/>
      <c r="D126" s="246"/>
      <c r="E126" s="403"/>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4"/>
      <c r="AZ126" s="404"/>
      <c r="BA126" s="404"/>
      <c r="BB126" s="404"/>
      <c r="BC126" s="404"/>
      <c r="BD126" s="404"/>
      <c r="BE126" s="404"/>
      <c r="BF126" s="404"/>
      <c r="BG126" s="404"/>
      <c r="BH126" s="404"/>
      <c r="BI126" s="405"/>
      <c r="BJ126" s="404"/>
      <c r="BK126" s="404"/>
      <c r="BL126" s="404"/>
      <c r="BM126" s="404"/>
      <c r="BN126" s="404"/>
      <c r="BO126" s="404"/>
      <c r="BP126" s="404"/>
      <c r="BQ126" s="404"/>
      <c r="BR126" s="404"/>
      <c r="BS126" s="404"/>
      <c r="BT126" s="404"/>
      <c r="BU126" s="404"/>
      <c r="BV126" s="404"/>
      <c r="BW126" s="404"/>
      <c r="BX126" s="404"/>
      <c r="BY126" s="404"/>
      <c r="BZ126" s="404"/>
      <c r="CA126" s="404"/>
      <c r="CB126" s="404"/>
      <c r="CC126" s="404"/>
      <c r="CD126" s="404"/>
      <c r="CE126" s="404"/>
      <c r="CF126" s="404"/>
      <c r="CG126" s="404"/>
      <c r="CH126" s="404"/>
      <c r="CI126" s="404"/>
      <c r="CJ126" s="404"/>
    </row>
    <row r="127" spans="1:88">
      <c r="A127" s="247"/>
      <c r="B127" s="403"/>
      <c r="C127" s="246"/>
      <c r="D127" s="246"/>
      <c r="E127" s="403"/>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5"/>
      <c r="BJ127" s="404"/>
      <c r="BK127" s="404"/>
      <c r="BL127" s="404"/>
      <c r="BM127" s="404"/>
      <c r="BN127" s="404"/>
      <c r="BO127" s="404"/>
      <c r="BP127" s="404"/>
      <c r="BQ127" s="404"/>
      <c r="BR127" s="404"/>
      <c r="BS127" s="404"/>
      <c r="BT127" s="404"/>
      <c r="BU127" s="404"/>
      <c r="BV127" s="404"/>
      <c r="BW127" s="404"/>
      <c r="BX127" s="404"/>
      <c r="BY127" s="404"/>
      <c r="BZ127" s="404"/>
      <c r="CA127" s="404"/>
      <c r="CB127" s="404"/>
      <c r="CC127" s="404"/>
      <c r="CD127" s="404"/>
      <c r="CE127" s="404"/>
      <c r="CF127" s="404"/>
      <c r="CG127" s="404"/>
      <c r="CH127" s="404"/>
      <c r="CI127" s="404"/>
      <c r="CJ127" s="404"/>
    </row>
    <row r="128" spans="1:88">
      <c r="A128" s="247"/>
      <c r="B128" s="403"/>
      <c r="C128" s="246"/>
      <c r="D128" s="246"/>
      <c r="E128" s="403"/>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5"/>
      <c r="BJ128" s="404"/>
      <c r="BK128" s="404"/>
      <c r="BL128" s="404"/>
      <c r="BM128" s="404"/>
      <c r="BN128" s="404"/>
      <c r="BO128" s="404"/>
      <c r="BP128" s="404"/>
      <c r="BQ128" s="404"/>
      <c r="BR128" s="404"/>
      <c r="BS128" s="404"/>
      <c r="BT128" s="404"/>
      <c r="BU128" s="404"/>
      <c r="BV128" s="404"/>
      <c r="BW128" s="404"/>
      <c r="BX128" s="404"/>
      <c r="BY128" s="404"/>
      <c r="BZ128" s="404"/>
      <c r="CA128" s="404"/>
      <c r="CB128" s="404"/>
      <c r="CC128" s="404"/>
      <c r="CD128" s="404"/>
      <c r="CE128" s="404"/>
      <c r="CF128" s="404"/>
      <c r="CG128" s="404"/>
      <c r="CH128" s="404"/>
      <c r="CI128" s="404"/>
      <c r="CJ128" s="404"/>
    </row>
    <row r="129" spans="61:61">
      <c r="BI129" s="405"/>
    </row>
    <row r="130" spans="61:61">
      <c r="BI130" s="405"/>
    </row>
    <row r="131" spans="61:61">
      <c r="BI131" s="405"/>
    </row>
    <row r="132" spans="61:61">
      <c r="BI132" s="405"/>
    </row>
    <row r="133" spans="61:61">
      <c r="BI133" s="405"/>
    </row>
    <row r="134" spans="61:61">
      <c r="BI134" s="405"/>
    </row>
    <row r="135" spans="61:61">
      <c r="BI135" s="405"/>
    </row>
    <row r="136" spans="61:61">
      <c r="BI136" s="405"/>
    </row>
    <row r="137" spans="61:61">
      <c r="BI137" s="405"/>
    </row>
    <row r="138" spans="61:61">
      <c r="BI138" s="405"/>
    </row>
    <row r="139" spans="61:61">
      <c r="BI139" s="405"/>
    </row>
    <row r="140" spans="61:61">
      <c r="BI140" s="405"/>
    </row>
    <row r="141" spans="61:61">
      <c r="BI141" s="405"/>
    </row>
    <row r="142" spans="61:61">
      <c r="BI142" s="405"/>
    </row>
    <row r="143" spans="61:61">
      <c r="BI143" s="405"/>
    </row>
    <row r="144" spans="61:61">
      <c r="BI144" s="405"/>
    </row>
    <row r="145" spans="61:61">
      <c r="BI145" s="405"/>
    </row>
    <row r="146" spans="61:61">
      <c r="BI146" s="405"/>
    </row>
    <row r="147" spans="61:61">
      <c r="BI147" s="405"/>
    </row>
    <row r="148" spans="61:61">
      <c r="BI148" s="405"/>
    </row>
    <row r="149" spans="61:61">
      <c r="BI149" s="405"/>
    </row>
    <row r="150" spans="61:61">
      <c r="BI150" s="405"/>
    </row>
    <row r="151" spans="61:61">
      <c r="BI151" s="405"/>
    </row>
    <row r="152" spans="61:61">
      <c r="BI152" s="405"/>
    </row>
    <row r="153" spans="61:61">
      <c r="BI153" s="405"/>
    </row>
    <row r="154" spans="61:61">
      <c r="BI154" s="405"/>
    </row>
    <row r="155" spans="61:61">
      <c r="BI155" s="405"/>
    </row>
    <row r="156" spans="61:61">
      <c r="BI156" s="405"/>
    </row>
    <row r="157" spans="61:61">
      <c r="BI157" s="405"/>
    </row>
    <row r="158" spans="61:61">
      <c r="BI158" s="405"/>
    </row>
    <row r="159" spans="61:61">
      <c r="BI159" s="405"/>
    </row>
    <row r="160" spans="61:61">
      <c r="BI160" s="405"/>
    </row>
    <row r="161" spans="61:61">
      <c r="BI161" s="405"/>
    </row>
    <row r="162" spans="61:61">
      <c r="BI162" s="405"/>
    </row>
    <row r="163" spans="61:61">
      <c r="BI163" s="405"/>
    </row>
    <row r="164" spans="61:61">
      <c r="BI164" s="405"/>
    </row>
    <row r="165" spans="61:61">
      <c r="BI165" s="405"/>
    </row>
    <row r="166" spans="61:61">
      <c r="BI166" s="405"/>
    </row>
    <row r="167" spans="61:61">
      <c r="BI167" s="405"/>
    </row>
    <row r="168" spans="61:61">
      <c r="BI168" s="405"/>
    </row>
    <row r="169" spans="61:61">
      <c r="BI169" s="405"/>
    </row>
    <row r="170" spans="61:61">
      <c r="BI170" s="405"/>
    </row>
    <row r="171" spans="61:61">
      <c r="BI171" s="405"/>
    </row>
    <row r="172" spans="61:61">
      <c r="BI172" s="405"/>
    </row>
    <row r="173" spans="61:61">
      <c r="BI173" s="405"/>
    </row>
    <row r="174" spans="61:61">
      <c r="BI174" s="405"/>
    </row>
    <row r="175" spans="61:61">
      <c r="BI175" s="405"/>
    </row>
    <row r="176" spans="61:61">
      <c r="BI176" s="405"/>
    </row>
    <row r="177" spans="61:61">
      <c r="BI177" s="405"/>
    </row>
    <row r="178" spans="61:61">
      <c r="BI178" s="405"/>
    </row>
    <row r="179" spans="61:61">
      <c r="BI179" s="405"/>
    </row>
    <row r="180" spans="61:61">
      <c r="BI180" s="405"/>
    </row>
    <row r="181" spans="61:61">
      <c r="BI181" s="405"/>
    </row>
    <row r="182" spans="61:61">
      <c r="BI182" s="405"/>
    </row>
    <row r="183" spans="61:61">
      <c r="BI183" s="405"/>
    </row>
    <row r="184" spans="61:61">
      <c r="BI184" s="405"/>
    </row>
    <row r="185" spans="61:61">
      <c r="BI185" s="405"/>
    </row>
    <row r="186" spans="61:61">
      <c r="BI186" s="405"/>
    </row>
    <row r="187" spans="61:61">
      <c r="BI187" s="405"/>
    </row>
    <row r="188" spans="61:61">
      <c r="BI188" s="405"/>
    </row>
    <row r="189" spans="61:61">
      <c r="BI189" s="405"/>
    </row>
    <row r="190" spans="61:61">
      <c r="BI190" s="405"/>
    </row>
    <row r="191" spans="61:61">
      <c r="BI191" s="405"/>
    </row>
    <row r="192" spans="61:61">
      <c r="BI192" s="405"/>
    </row>
    <row r="193" spans="61:61">
      <c r="BI193" s="405"/>
    </row>
    <row r="194" spans="61:61">
      <c r="BI194" s="405"/>
    </row>
    <row r="195" spans="61:61">
      <c r="BI195" s="405"/>
    </row>
    <row r="196" spans="61:61">
      <c r="BI196" s="405"/>
    </row>
    <row r="197" spans="61:61">
      <c r="BI197" s="405"/>
    </row>
    <row r="198" spans="61:61">
      <c r="BI198" s="405"/>
    </row>
    <row r="199" spans="61:61">
      <c r="BI199" s="405"/>
    </row>
    <row r="200" spans="61:61">
      <c r="BI200" s="405"/>
    </row>
    <row r="201" spans="61:61">
      <c r="BI201" s="405"/>
    </row>
    <row r="202" spans="61:61">
      <c r="BI202" s="405"/>
    </row>
    <row r="203" spans="61:61">
      <c r="BI203" s="405"/>
    </row>
    <row r="204" spans="61:61">
      <c r="BI204" s="405"/>
    </row>
    <row r="205" spans="61:61">
      <c r="BI205" s="405"/>
    </row>
    <row r="206" spans="61:61">
      <c r="BI206" s="405"/>
    </row>
    <row r="207" spans="61:61">
      <c r="BI207" s="405"/>
    </row>
    <row r="208" spans="61:61">
      <c r="BI208" s="405"/>
    </row>
    <row r="209" spans="61:61">
      <c r="BI209" s="405"/>
    </row>
    <row r="210" spans="61:61">
      <c r="BI210" s="405"/>
    </row>
    <row r="211" spans="61:61">
      <c r="BI211" s="405"/>
    </row>
    <row r="212" spans="61:61">
      <c r="BI212" s="405"/>
    </row>
    <row r="213" spans="61:61">
      <c r="BI213" s="405"/>
    </row>
    <row r="214" spans="61:61">
      <c r="BI214" s="405"/>
    </row>
    <row r="215" spans="61:61">
      <c r="BI215" s="405"/>
    </row>
    <row r="216" spans="61:61">
      <c r="BI216" s="405"/>
    </row>
    <row r="217" spans="61:61">
      <c r="BI217" s="405"/>
    </row>
    <row r="218" spans="61:61">
      <c r="BI218" s="405"/>
    </row>
    <row r="219" spans="61:61">
      <c r="BI219" s="405"/>
    </row>
    <row r="220" spans="61:61">
      <c r="BI220" s="405"/>
    </row>
    <row r="221" spans="61:61">
      <c r="BI221" s="405"/>
    </row>
    <row r="222" spans="61:61">
      <c r="BI222" s="405"/>
    </row>
    <row r="223" spans="61:61">
      <c r="BI223" s="405"/>
    </row>
    <row r="224" spans="61:61">
      <c r="BI224" s="405"/>
    </row>
    <row r="225" spans="61:61">
      <c r="BI225" s="405"/>
    </row>
    <row r="226" spans="61:61">
      <c r="BI226" s="405"/>
    </row>
    <row r="227" spans="61:61">
      <c r="BI227" s="405"/>
    </row>
    <row r="228" spans="61:61">
      <c r="BI228" s="405"/>
    </row>
    <row r="229" spans="61:61">
      <c r="BI229" s="405"/>
    </row>
    <row r="230" spans="61:61">
      <c r="BI230" s="405"/>
    </row>
    <row r="231" spans="61:61">
      <c r="BI231" s="405"/>
    </row>
    <row r="232" spans="61:61">
      <c r="BI232" s="405"/>
    </row>
    <row r="233" spans="61:61">
      <c r="BI233" s="405"/>
    </row>
    <row r="234" spans="61:61">
      <c r="BI234" s="405"/>
    </row>
    <row r="235" spans="61:61">
      <c r="BI235" s="405"/>
    </row>
    <row r="236" spans="61:61">
      <c r="BI236" s="405"/>
    </row>
    <row r="237" spans="61:61">
      <c r="BI237" s="405"/>
    </row>
    <row r="238" spans="61:61">
      <c r="BI238" s="405"/>
    </row>
    <row r="239" spans="61:61">
      <c r="BI239" s="405"/>
    </row>
    <row r="240" spans="61:61">
      <c r="BI240" s="405"/>
    </row>
    <row r="241" spans="61:61">
      <c r="BI241" s="405"/>
    </row>
    <row r="242" spans="61:61">
      <c r="BI242" s="405"/>
    </row>
    <row r="243" spans="61:61">
      <c r="BI243" s="405"/>
    </row>
    <row r="244" spans="61:61">
      <c r="BI244" s="405"/>
    </row>
    <row r="245" spans="61:61">
      <c r="BI245" s="405"/>
    </row>
    <row r="246" spans="61:61">
      <c r="BI246" s="405"/>
    </row>
    <row r="247" spans="61:61">
      <c r="BI247" s="405"/>
    </row>
    <row r="248" spans="61:61">
      <c r="BI248" s="405"/>
    </row>
    <row r="249" spans="61:61">
      <c r="BI249" s="405"/>
    </row>
    <row r="250" spans="61:61">
      <c r="BI250" s="405"/>
    </row>
    <row r="251" spans="61:61">
      <c r="BI251" s="405"/>
    </row>
    <row r="252" spans="61:61">
      <c r="BI252" s="405"/>
    </row>
    <row r="253" spans="61:61">
      <c r="BI253" s="405"/>
    </row>
    <row r="254" spans="61:61">
      <c r="BI254" s="405"/>
    </row>
    <row r="255" spans="61:61">
      <c r="BI255" s="405"/>
    </row>
    <row r="256" spans="61:61">
      <c r="BI256" s="405"/>
    </row>
    <row r="257" spans="61:61">
      <c r="BI257" s="405"/>
    </row>
    <row r="258" spans="61:61">
      <c r="BI258" s="405"/>
    </row>
    <row r="259" spans="61:61">
      <c r="BI259" s="405"/>
    </row>
    <row r="260" spans="61:61">
      <c r="BI260" s="405"/>
    </row>
    <row r="261" spans="61:61">
      <c r="BI261" s="405"/>
    </row>
    <row r="262" spans="61:61">
      <c r="BI262" s="405"/>
    </row>
    <row r="263" spans="61:61">
      <c r="BI263" s="405"/>
    </row>
    <row r="264" spans="61:61">
      <c r="BI264" s="405"/>
    </row>
    <row r="265" spans="61:61">
      <c r="BI265" s="405"/>
    </row>
    <row r="266" spans="61:61">
      <c r="BI266" s="405"/>
    </row>
    <row r="267" spans="61:61">
      <c r="BI267" s="405"/>
    </row>
    <row r="268" spans="61:61">
      <c r="BI268" s="405"/>
    </row>
    <row r="269" spans="61:61">
      <c r="BI269" s="405"/>
    </row>
    <row r="270" spans="61:61">
      <c r="BI270" s="405"/>
    </row>
    <row r="271" spans="61:61">
      <c r="BI271" s="405"/>
    </row>
    <row r="272" spans="61:61">
      <c r="BI272" s="405"/>
    </row>
    <row r="273" spans="61:61">
      <c r="BI273" s="405"/>
    </row>
    <row r="274" spans="61:61">
      <c r="BI274" s="405"/>
    </row>
    <row r="275" spans="61:61">
      <c r="BI275" s="405"/>
    </row>
    <row r="276" spans="61:61">
      <c r="BI276" s="405"/>
    </row>
    <row r="277" spans="61:61">
      <c r="BI277" s="405"/>
    </row>
    <row r="278" spans="61:61">
      <c r="BI278" s="405"/>
    </row>
    <row r="279" spans="61:61">
      <c r="BI279" s="405"/>
    </row>
    <row r="280" spans="61:61">
      <c r="BI280" s="405"/>
    </row>
    <row r="281" spans="61:61">
      <c r="BI281" s="405"/>
    </row>
    <row r="282" spans="61:61">
      <c r="BI282" s="405"/>
    </row>
    <row r="283" spans="61:61">
      <c r="BI283" s="405"/>
    </row>
    <row r="284" spans="61:61">
      <c r="BI284" s="405"/>
    </row>
    <row r="285" spans="61:61">
      <c r="BI285" s="405"/>
    </row>
    <row r="286" spans="61:61">
      <c r="BI286" s="405"/>
    </row>
    <row r="287" spans="61:61">
      <c r="BI287" s="405"/>
    </row>
    <row r="288" spans="61:61">
      <c r="BI288" s="405"/>
    </row>
    <row r="289" spans="61:61">
      <c r="BI289" s="405"/>
    </row>
    <row r="290" spans="61:61">
      <c r="BI290" s="405"/>
    </row>
    <row r="291" spans="61:61">
      <c r="BI291" s="405"/>
    </row>
    <row r="292" spans="61:61">
      <c r="BI292" s="405"/>
    </row>
    <row r="293" spans="61:61">
      <c r="BI293" s="405"/>
    </row>
    <row r="294" spans="61:61">
      <c r="BI294" s="405"/>
    </row>
    <row r="295" spans="61:61">
      <c r="BI295" s="405"/>
    </row>
    <row r="296" spans="61:61">
      <c r="BI296" s="405"/>
    </row>
    <row r="297" spans="61:61">
      <c r="BI297" s="405"/>
    </row>
    <row r="298" spans="61:61">
      <c r="BI298" s="405"/>
    </row>
    <row r="299" spans="61:61">
      <c r="BI299" s="405"/>
    </row>
    <row r="300" spans="61:61">
      <c r="BI300" s="405"/>
    </row>
    <row r="301" spans="61:61">
      <c r="BI301" s="405"/>
    </row>
    <row r="302" spans="61:61">
      <c r="BI302" s="405"/>
    </row>
    <row r="303" spans="61:61">
      <c r="BI303" s="405"/>
    </row>
    <row r="304" spans="61:61">
      <c r="BI304" s="405"/>
    </row>
    <row r="305" spans="61:61">
      <c r="BI305" s="405"/>
    </row>
    <row r="306" spans="61:61">
      <c r="BI306" s="405"/>
    </row>
    <row r="307" spans="61:61">
      <c r="BI307" s="405"/>
    </row>
    <row r="308" spans="61:61">
      <c r="BI308" s="405"/>
    </row>
    <row r="309" spans="61:61">
      <c r="BI309" s="405"/>
    </row>
    <row r="310" spans="61:61">
      <c r="BI310" s="405"/>
    </row>
    <row r="311" spans="61:61">
      <c r="BI311" s="405"/>
    </row>
    <row r="312" spans="61:61">
      <c r="BI312" s="405"/>
    </row>
    <row r="313" spans="61:61">
      <c r="BI313" s="405"/>
    </row>
    <row r="314" spans="61:61">
      <c r="BI314" s="405"/>
    </row>
    <row r="315" spans="61:61">
      <c r="BI315" s="405"/>
    </row>
    <row r="316" spans="61:61">
      <c r="BI316" s="405"/>
    </row>
    <row r="317" spans="61:61">
      <c r="BI317" s="405"/>
    </row>
    <row r="318" spans="61:61">
      <c r="BI318" s="405"/>
    </row>
    <row r="319" spans="61:61">
      <c r="BI319" s="405"/>
    </row>
    <row r="320" spans="61:61">
      <c r="BI320" s="405"/>
    </row>
    <row r="321" spans="61:61">
      <c r="BI321" s="405"/>
    </row>
    <row r="322" spans="61:61">
      <c r="BI322" s="405"/>
    </row>
    <row r="323" spans="61:61">
      <c r="BI323" s="405"/>
    </row>
    <row r="324" spans="61:61">
      <c r="BI324" s="405"/>
    </row>
    <row r="325" spans="61:61">
      <c r="BI325" s="405"/>
    </row>
    <row r="326" spans="61:61">
      <c r="BI326" s="405"/>
    </row>
    <row r="327" spans="61:61">
      <c r="BI327" s="405"/>
    </row>
    <row r="328" spans="61:61">
      <c r="BI328" s="405"/>
    </row>
    <row r="329" spans="61:61">
      <c r="BI329" s="405"/>
    </row>
    <row r="330" spans="61:61">
      <c r="BI330" s="405"/>
    </row>
    <row r="331" spans="61:61">
      <c r="BI331" s="405"/>
    </row>
    <row r="332" spans="61:61">
      <c r="BI332" s="405"/>
    </row>
    <row r="333" spans="61:61">
      <c r="BI333" s="405"/>
    </row>
    <row r="334" spans="61:61">
      <c r="BI334" s="405"/>
    </row>
    <row r="335" spans="61:61">
      <c r="BI335" s="405"/>
    </row>
    <row r="336" spans="61:61">
      <c r="BI336" s="405"/>
    </row>
    <row r="337" spans="61:61">
      <c r="BI337" s="405"/>
    </row>
    <row r="338" spans="61:61">
      <c r="BI338" s="405"/>
    </row>
    <row r="339" spans="61:61">
      <c r="BI339" s="405"/>
    </row>
    <row r="340" spans="61:61">
      <c r="BI340" s="405"/>
    </row>
    <row r="341" spans="61:61">
      <c r="BI341" s="405"/>
    </row>
    <row r="342" spans="61:61">
      <c r="BI342" s="405"/>
    </row>
    <row r="343" spans="61:61">
      <c r="BI343" s="405"/>
    </row>
    <row r="344" spans="61:61">
      <c r="BI344" s="405"/>
    </row>
    <row r="345" spans="61:61">
      <c r="BI345" s="405"/>
    </row>
    <row r="346" spans="61:61">
      <c r="BI346" s="405"/>
    </row>
    <row r="347" spans="61:61">
      <c r="BI347" s="405"/>
    </row>
    <row r="348" spans="61:61">
      <c r="BI348" s="405"/>
    </row>
    <row r="349" spans="61:61">
      <c r="BI349" s="405"/>
    </row>
    <row r="350" spans="61:61">
      <c r="BI350" s="405"/>
    </row>
    <row r="351" spans="61:61">
      <c r="BI351" s="405"/>
    </row>
    <row r="352" spans="61:61">
      <c r="BI352" s="405"/>
    </row>
    <row r="353" spans="61:61">
      <c r="BI353" s="405"/>
    </row>
    <row r="354" spans="61:61">
      <c r="BI354" s="405"/>
    </row>
    <row r="355" spans="61:61">
      <c r="BI355" s="405"/>
    </row>
    <row r="356" spans="61:61">
      <c r="BI356" s="405"/>
    </row>
    <row r="357" spans="61:61">
      <c r="BI357" s="405"/>
    </row>
    <row r="358" spans="61:61">
      <c r="BI358" s="405"/>
    </row>
    <row r="359" spans="61:61">
      <c r="BI359" s="405"/>
    </row>
    <row r="360" spans="61:61">
      <c r="BI360" s="405"/>
    </row>
    <row r="361" spans="61:61">
      <c r="BI361" s="405"/>
    </row>
    <row r="362" spans="61:61">
      <c r="BI362" s="405"/>
    </row>
    <row r="363" spans="61:61">
      <c r="BI363" s="405"/>
    </row>
    <row r="364" spans="61:61">
      <c r="BI364" s="405"/>
    </row>
    <row r="365" spans="61:61">
      <c r="BI365" s="405"/>
    </row>
    <row r="366" spans="61:61">
      <c r="BI366" s="405"/>
    </row>
    <row r="367" spans="61:61">
      <c r="BI367" s="405"/>
    </row>
    <row r="368" spans="61:61">
      <c r="BI368" s="405"/>
    </row>
    <row r="369" spans="61:61">
      <c r="BI369" s="405"/>
    </row>
    <row r="370" spans="61:61">
      <c r="BI370" s="405"/>
    </row>
    <row r="371" spans="61:61">
      <c r="BI371" s="405"/>
    </row>
    <row r="372" spans="61:61">
      <c r="BI372" s="405"/>
    </row>
    <row r="373" spans="61:61">
      <c r="BI373" s="405"/>
    </row>
    <row r="374" spans="61:61">
      <c r="BI374" s="405"/>
    </row>
    <row r="375" spans="61:61">
      <c r="BI375" s="405"/>
    </row>
    <row r="376" spans="61:61">
      <c r="BI376" s="405"/>
    </row>
    <row r="377" spans="61:61">
      <c r="BI377" s="405"/>
    </row>
    <row r="378" spans="61:61">
      <c r="BI378" s="405"/>
    </row>
    <row r="379" spans="61:61">
      <c r="BI379" s="405"/>
    </row>
    <row r="380" spans="61:61">
      <c r="BI380" s="405"/>
    </row>
    <row r="381" spans="61:61">
      <c r="BI381" s="405"/>
    </row>
    <row r="382" spans="61:61">
      <c r="BI382" s="405"/>
    </row>
    <row r="383" spans="61:61">
      <c r="BI383" s="405"/>
    </row>
    <row r="384" spans="61:61">
      <c r="BI384" s="405"/>
    </row>
    <row r="385" spans="61:61">
      <c r="BI385" s="405"/>
    </row>
    <row r="386" spans="61:61">
      <c r="BI386" s="405"/>
    </row>
    <row r="387" spans="61:61">
      <c r="BI387" s="405"/>
    </row>
    <row r="388" spans="61:61">
      <c r="BI388" s="405"/>
    </row>
    <row r="389" spans="61:61">
      <c r="BI389" s="405"/>
    </row>
    <row r="390" spans="61:61">
      <c r="BI390" s="405"/>
    </row>
    <row r="391" spans="61:61">
      <c r="BI391" s="405"/>
    </row>
    <row r="392" spans="61:61">
      <c r="BI392" s="405"/>
    </row>
    <row r="393" spans="61:61">
      <c r="BI393" s="405"/>
    </row>
    <row r="394" spans="61:61">
      <c r="BI394" s="405"/>
    </row>
    <row r="395" spans="61:61">
      <c r="BI395" s="405"/>
    </row>
    <row r="396" spans="61:61">
      <c r="BI396" s="405"/>
    </row>
    <row r="397" spans="61:61">
      <c r="BI397" s="405"/>
    </row>
    <row r="398" spans="61:61">
      <c r="BI398" s="405"/>
    </row>
    <row r="399" spans="61:61">
      <c r="BI399" s="405"/>
    </row>
    <row r="400" spans="61:61">
      <c r="BI400" s="405"/>
    </row>
    <row r="401" spans="61:61">
      <c r="BI401" s="405"/>
    </row>
    <row r="402" spans="61:61">
      <c r="BI402" s="405"/>
    </row>
    <row r="403" spans="61:61">
      <c r="BI403" s="405"/>
    </row>
    <row r="404" spans="61:61">
      <c r="BI404" s="405"/>
    </row>
    <row r="405" spans="61:61">
      <c r="BI405" s="405"/>
    </row>
    <row r="406" spans="61:61">
      <c r="BI406" s="405"/>
    </row>
    <row r="407" spans="61:61">
      <c r="BI407" s="405"/>
    </row>
    <row r="408" spans="61:61">
      <c r="BI408" s="405"/>
    </row>
    <row r="409" spans="61:61">
      <c r="BI409" s="405"/>
    </row>
    <row r="410" spans="61:61">
      <c r="BI410" s="405"/>
    </row>
    <row r="411" spans="61:61">
      <c r="BI411" s="405"/>
    </row>
    <row r="412" spans="61:61">
      <c r="BI412" s="405"/>
    </row>
    <row r="413" spans="61:61">
      <c r="BI413" s="405"/>
    </row>
    <row r="414" spans="61:61">
      <c r="BI414" s="405"/>
    </row>
    <row r="415" spans="61:61">
      <c r="BI415" s="405"/>
    </row>
    <row r="416" spans="61:61">
      <c r="BI416" s="405"/>
    </row>
    <row r="417" spans="61:61">
      <c r="BI417" s="405"/>
    </row>
    <row r="418" spans="61:61">
      <c r="BI418" s="405"/>
    </row>
    <row r="419" spans="61:61">
      <c r="BI419" s="405"/>
    </row>
    <row r="420" spans="61:61">
      <c r="BI420" s="405"/>
    </row>
    <row r="421" spans="61:61">
      <c r="BI421" s="405"/>
    </row>
    <row r="422" spans="61:61">
      <c r="BI422" s="405"/>
    </row>
    <row r="423" spans="61:61">
      <c r="BI423" s="405"/>
    </row>
    <row r="424" spans="61:61">
      <c r="BI424" s="405"/>
    </row>
    <row r="425" spans="61:61">
      <c r="BI425" s="405"/>
    </row>
    <row r="426" spans="61:61">
      <c r="BI426" s="405"/>
    </row>
    <row r="427" spans="61:61">
      <c r="BI427" s="405"/>
    </row>
    <row r="428" spans="61:61">
      <c r="BI428" s="405"/>
    </row>
    <row r="429" spans="61:61">
      <c r="BI429" s="405"/>
    </row>
    <row r="430" spans="61:61">
      <c r="BI430" s="405"/>
    </row>
    <row r="431" spans="61:61">
      <c r="BI431" s="405"/>
    </row>
    <row r="432" spans="61:61">
      <c r="BI432" s="405"/>
    </row>
    <row r="433" spans="61:61">
      <c r="BI433" s="405"/>
    </row>
    <row r="434" spans="61:61">
      <c r="BI434" s="405"/>
    </row>
    <row r="435" spans="61:61">
      <c r="BI435" s="405"/>
    </row>
    <row r="436" spans="61:61">
      <c r="BI436" s="405"/>
    </row>
    <row r="437" spans="61:61">
      <c r="BI437" s="405"/>
    </row>
    <row r="438" spans="61:61">
      <c r="BI438" s="405"/>
    </row>
    <row r="439" spans="61:61">
      <c r="BI439" s="405"/>
    </row>
    <row r="440" spans="61:61">
      <c r="BI440" s="405"/>
    </row>
    <row r="441" spans="61:61">
      <c r="BI441" s="405"/>
    </row>
    <row r="442" spans="61:61">
      <c r="BI442" s="405"/>
    </row>
    <row r="443" spans="61:61">
      <c r="BI443" s="405"/>
    </row>
    <row r="444" spans="61:61">
      <c r="BI444" s="405"/>
    </row>
    <row r="445" spans="61:61">
      <c r="BI445" s="405"/>
    </row>
    <row r="446" spans="61:61">
      <c r="BI446" s="405"/>
    </row>
    <row r="447" spans="61:61">
      <c r="BI447" s="405"/>
    </row>
    <row r="448" spans="61:61">
      <c r="BI448" s="405"/>
    </row>
    <row r="449" spans="61:61">
      <c r="BI449" s="405"/>
    </row>
    <row r="450" spans="61:61">
      <c r="BI450" s="405"/>
    </row>
    <row r="451" spans="61:61">
      <c r="BI451" s="405"/>
    </row>
    <row r="452" spans="61:61">
      <c r="BI452" s="405"/>
    </row>
    <row r="453" spans="61:61">
      <c r="BI453" s="405"/>
    </row>
    <row r="454" spans="61:61">
      <c r="BI454" s="405"/>
    </row>
    <row r="455" spans="61:61">
      <c r="BI455" s="405"/>
    </row>
    <row r="456" spans="61:61">
      <c r="BI456" s="405"/>
    </row>
    <row r="457" spans="61:61">
      <c r="BI457" s="405"/>
    </row>
    <row r="458" spans="61:61">
      <c r="BI458" s="405"/>
    </row>
    <row r="459" spans="61:61">
      <c r="BI459" s="405"/>
    </row>
    <row r="460" spans="61:61">
      <c r="BI460" s="405"/>
    </row>
    <row r="461" spans="61:61">
      <c r="BI461" s="405"/>
    </row>
    <row r="462" spans="61:61">
      <c r="BI462" s="405"/>
    </row>
    <row r="463" spans="61:61">
      <c r="BI463" s="405"/>
    </row>
    <row r="464" spans="61:61">
      <c r="BI464" s="405"/>
    </row>
    <row r="465" spans="61:61">
      <c r="BI465" s="405"/>
    </row>
    <row r="466" spans="61:61">
      <c r="BI466" s="405"/>
    </row>
    <row r="467" spans="61:61">
      <c r="BI467" s="405"/>
    </row>
    <row r="468" spans="61:61">
      <c r="BI468" s="405"/>
    </row>
    <row r="469" spans="61:61">
      <c r="BI469" s="405"/>
    </row>
    <row r="470" spans="61:61">
      <c r="BI470" s="405"/>
    </row>
    <row r="471" spans="61:61">
      <c r="BI471" s="405"/>
    </row>
    <row r="472" spans="61:61">
      <c r="BI472" s="405"/>
    </row>
    <row r="473" spans="61:61">
      <c r="BI473" s="405"/>
    </row>
    <row r="474" spans="61:61">
      <c r="BI474" s="405"/>
    </row>
    <row r="475" spans="61:61">
      <c r="BI475" s="405"/>
    </row>
    <row r="476" spans="61:61">
      <c r="BI476" s="405"/>
    </row>
    <row r="477" spans="61:61">
      <c r="BI477" s="405"/>
    </row>
    <row r="478" spans="61:61">
      <c r="BI478" s="405"/>
    </row>
    <row r="479" spans="61:61">
      <c r="BI479" s="405"/>
    </row>
    <row r="480" spans="61:61">
      <c r="BI480" s="405"/>
    </row>
    <row r="481" spans="61:61">
      <c r="BI481" s="405"/>
    </row>
    <row r="482" spans="61:61">
      <c r="BI482" s="405"/>
    </row>
    <row r="483" spans="61:61">
      <c r="BI483" s="405"/>
    </row>
    <row r="484" spans="61:61">
      <c r="BI484" s="405"/>
    </row>
    <row r="485" spans="61:61">
      <c r="BI485" s="405"/>
    </row>
    <row r="486" spans="61:61">
      <c r="BI486" s="405"/>
    </row>
    <row r="487" spans="61:61">
      <c r="BI487" s="405"/>
    </row>
    <row r="488" spans="61:61">
      <c r="BI488" s="405"/>
    </row>
    <row r="489" spans="61:61">
      <c r="BI489" s="405"/>
    </row>
    <row r="490" spans="61:61">
      <c r="BI490" s="405"/>
    </row>
    <row r="491" spans="61:61">
      <c r="BI491" s="405"/>
    </row>
    <row r="492" spans="61:61">
      <c r="BI492" s="405"/>
    </row>
    <row r="493" spans="61:61">
      <c r="BI493" s="405"/>
    </row>
    <row r="494" spans="61:61">
      <c r="BI494" s="405"/>
    </row>
    <row r="495" spans="61:61">
      <c r="BI495" s="405"/>
    </row>
    <row r="496" spans="61:61">
      <c r="BI496" s="405"/>
    </row>
    <row r="497" spans="61:61">
      <c r="BI497" s="405"/>
    </row>
    <row r="498" spans="61:61">
      <c r="BI498" s="405"/>
    </row>
    <row r="499" spans="61:61">
      <c r="BI499" s="405"/>
    </row>
    <row r="500" spans="61:61">
      <c r="BI500" s="405"/>
    </row>
    <row r="501" spans="61:61">
      <c r="BI501" s="405"/>
    </row>
    <row r="502" spans="61:61">
      <c r="BI502" s="405"/>
    </row>
    <row r="503" spans="61:61">
      <c r="BI503" s="405"/>
    </row>
    <row r="504" spans="61:61">
      <c r="BI504" s="405"/>
    </row>
    <row r="505" spans="61:61">
      <c r="BI505" s="405"/>
    </row>
    <row r="506" spans="61:61">
      <c r="BI506" s="405"/>
    </row>
    <row r="507" spans="61:61">
      <c r="BI507" s="405"/>
    </row>
    <row r="508" spans="61:61">
      <c r="BI508" s="405"/>
    </row>
    <row r="509" spans="61:61">
      <c r="BI509" s="405"/>
    </row>
    <row r="510" spans="61:61">
      <c r="BI510" s="405"/>
    </row>
    <row r="511" spans="61:61">
      <c r="BI511" s="405"/>
    </row>
    <row r="512" spans="61:61">
      <c r="BI512" s="405"/>
    </row>
    <row r="513" spans="61:61">
      <c r="BI513" s="405"/>
    </row>
    <row r="514" spans="61:61">
      <c r="BI514" s="405"/>
    </row>
    <row r="515" spans="61:61">
      <c r="BI515" s="405"/>
    </row>
    <row r="516" spans="61:61">
      <c r="BI516" s="405"/>
    </row>
    <row r="517" spans="61:61">
      <c r="BI517" s="405"/>
    </row>
    <row r="518" spans="61:61">
      <c r="BI518" s="405"/>
    </row>
    <row r="519" spans="61:61">
      <c r="BI519" s="405"/>
    </row>
    <row r="520" spans="61:61">
      <c r="BI520" s="405"/>
    </row>
    <row r="521" spans="61:61">
      <c r="BI521" s="405"/>
    </row>
    <row r="522" spans="61:61">
      <c r="BI522" s="405"/>
    </row>
    <row r="523" spans="61:61">
      <c r="BI523" s="405"/>
    </row>
    <row r="524" spans="61:61">
      <c r="BI524" s="405"/>
    </row>
    <row r="525" spans="61:61">
      <c r="BI525" s="405"/>
    </row>
    <row r="526" spans="61:61">
      <c r="BI526" s="405"/>
    </row>
    <row r="527" spans="61:61">
      <c r="BI527" s="405"/>
    </row>
    <row r="528" spans="61:61">
      <c r="BI528" s="405"/>
    </row>
    <row r="529" spans="61:61">
      <c r="BI529" s="405"/>
    </row>
    <row r="530" spans="61:61">
      <c r="BI530" s="405"/>
    </row>
    <row r="531" spans="61:61">
      <c r="BI531" s="405"/>
    </row>
    <row r="532" spans="61:61">
      <c r="BI532" s="405"/>
    </row>
    <row r="533" spans="61:61">
      <c r="BI533" s="405"/>
    </row>
    <row r="534" spans="61:61">
      <c r="BI534" s="405"/>
    </row>
    <row r="535" spans="61:61">
      <c r="BI535" s="405"/>
    </row>
    <row r="536" spans="61:61">
      <c r="BI536" s="405"/>
    </row>
    <row r="537" spans="61:61">
      <c r="BI537" s="405"/>
    </row>
    <row r="538" spans="61:61">
      <c r="BI538" s="405"/>
    </row>
    <row r="539" spans="61:61">
      <c r="BI539" s="405"/>
    </row>
    <row r="540" spans="61:61">
      <c r="BI540" s="405"/>
    </row>
    <row r="541" spans="61:61">
      <c r="BI541" s="405"/>
    </row>
    <row r="542" spans="61:61">
      <c r="BI542" s="405"/>
    </row>
    <row r="543" spans="61:61">
      <c r="BI543" s="405"/>
    </row>
    <row r="544" spans="61:61">
      <c r="BI544" s="405"/>
    </row>
    <row r="545" spans="61:61">
      <c r="BI545" s="405"/>
    </row>
    <row r="546" spans="61:61">
      <c r="BI546" s="405"/>
    </row>
    <row r="547" spans="61:61">
      <c r="BI547" s="405"/>
    </row>
    <row r="548" spans="61:61">
      <c r="BI548" s="405"/>
    </row>
    <row r="549" spans="61:61">
      <c r="BI549" s="405"/>
    </row>
    <row r="550" spans="61:61">
      <c r="BI550" s="405"/>
    </row>
    <row r="551" spans="61:61">
      <c r="BI551" s="405"/>
    </row>
    <row r="552" spans="61:61">
      <c r="BI552" s="405"/>
    </row>
    <row r="553" spans="61:61">
      <c r="BI553" s="405"/>
    </row>
    <row r="554" spans="61:61">
      <c r="BI554" s="405"/>
    </row>
    <row r="555" spans="61:61">
      <c r="BI555" s="405"/>
    </row>
    <row r="556" spans="61:61">
      <c r="BI556" s="405"/>
    </row>
    <row r="557" spans="61:61">
      <c r="BI557" s="405"/>
    </row>
    <row r="558" spans="61:61">
      <c r="BI558" s="405"/>
    </row>
    <row r="559" spans="61:61">
      <c r="BI559" s="405"/>
    </row>
    <row r="560" spans="61:61">
      <c r="BI560" s="405"/>
    </row>
    <row r="561" spans="61:61">
      <c r="BI561" s="405"/>
    </row>
    <row r="562" spans="61:61">
      <c r="BI562" s="405"/>
    </row>
    <row r="563" spans="61:61">
      <c r="BI563" s="405"/>
    </row>
    <row r="564" spans="61:61">
      <c r="BI564" s="405"/>
    </row>
    <row r="565" spans="61:61">
      <c r="BI565" s="405"/>
    </row>
    <row r="566" spans="61:61">
      <c r="BI566" s="405"/>
    </row>
    <row r="567" spans="61:61">
      <c r="BI567" s="405"/>
    </row>
    <row r="568" spans="61:61">
      <c r="BI568" s="405"/>
    </row>
    <row r="569" spans="61:61">
      <c r="BI569" s="405"/>
    </row>
    <row r="570" spans="61:61">
      <c r="BI570" s="405"/>
    </row>
    <row r="571" spans="61:61">
      <c r="BI571" s="405"/>
    </row>
    <row r="572" spans="61:61">
      <c r="BI572" s="405"/>
    </row>
    <row r="573" spans="61:61">
      <c r="BI573" s="405"/>
    </row>
    <row r="574" spans="61:61">
      <c r="BI574" s="405"/>
    </row>
    <row r="575" spans="61:61">
      <c r="BI575" s="405"/>
    </row>
    <row r="576" spans="61:61">
      <c r="BI576" s="405"/>
    </row>
    <row r="577" spans="61:61">
      <c r="BI577" s="405"/>
    </row>
    <row r="578" spans="61:61">
      <c r="BI578" s="405"/>
    </row>
    <row r="579" spans="61:61">
      <c r="BI579" s="405"/>
    </row>
    <row r="580" spans="61:61">
      <c r="BI580" s="405"/>
    </row>
    <row r="581" spans="61:61">
      <c r="BI581" s="405"/>
    </row>
    <row r="582" spans="61:61">
      <c r="BI582" s="405"/>
    </row>
    <row r="583" spans="61:61">
      <c r="BI583" s="405"/>
    </row>
    <row r="584" spans="61:61">
      <c r="BI584" s="405"/>
    </row>
    <row r="585" spans="61:61">
      <c r="BI585" s="405"/>
    </row>
    <row r="586" spans="61:61">
      <c r="BI586" s="405"/>
    </row>
    <row r="587" spans="61:61">
      <c r="BI587" s="405"/>
    </row>
    <row r="588" spans="61:61">
      <c r="BI588" s="405"/>
    </row>
    <row r="589" spans="61:61">
      <c r="BI589" s="405"/>
    </row>
    <row r="590" spans="61:61">
      <c r="BI590" s="405"/>
    </row>
    <row r="591" spans="61:61">
      <c r="BI591" s="405"/>
    </row>
    <row r="592" spans="61:61">
      <c r="BI592" s="405"/>
    </row>
    <row r="593" spans="61:61">
      <c r="BI593" s="405"/>
    </row>
    <row r="594" spans="61:61">
      <c r="BI594" s="405"/>
    </row>
    <row r="595" spans="61:61">
      <c r="BI595" s="405"/>
    </row>
    <row r="596" spans="61:61">
      <c r="BI596" s="405"/>
    </row>
    <row r="597" spans="61:61">
      <c r="BI597" s="405"/>
    </row>
    <row r="598" spans="61:61">
      <c r="BI598" s="405"/>
    </row>
    <row r="599" spans="61:61">
      <c r="BI599" s="405"/>
    </row>
    <row r="600" spans="61:61">
      <c r="BI600" s="405"/>
    </row>
    <row r="601" spans="61:61">
      <c r="BI601" s="405"/>
    </row>
    <row r="602" spans="61:61">
      <c r="BI602" s="405"/>
    </row>
    <row r="603" spans="61:61">
      <c r="BI603" s="405"/>
    </row>
    <row r="604" spans="61:61">
      <c r="BI604" s="405"/>
    </row>
    <row r="605" spans="61:61">
      <c r="BI605" s="405"/>
    </row>
    <row r="606" spans="61:61">
      <c r="BI606" s="405"/>
    </row>
    <row r="607" spans="61:61">
      <c r="BI607" s="405"/>
    </row>
    <row r="608" spans="61:61">
      <c r="BI608" s="405"/>
    </row>
    <row r="609" spans="61:61">
      <c r="BI609" s="405"/>
    </row>
    <row r="610" spans="61:61">
      <c r="BI610" s="405"/>
    </row>
    <row r="611" spans="61:61">
      <c r="BI611" s="405"/>
    </row>
    <row r="612" spans="61:61">
      <c r="BI612" s="405"/>
    </row>
    <row r="613" spans="61:61">
      <c r="BI613" s="405"/>
    </row>
    <row r="614" spans="61:61">
      <c r="BI614" s="405"/>
    </row>
    <row r="615" spans="61:61">
      <c r="BI615" s="405"/>
    </row>
    <row r="616" spans="61:61">
      <c r="BI616" s="405"/>
    </row>
    <row r="617" spans="61:61">
      <c r="BI617" s="405"/>
    </row>
    <row r="618" spans="61:61">
      <c r="BI618" s="405"/>
    </row>
    <row r="619" spans="61:61">
      <c r="BI619" s="405"/>
    </row>
    <row r="620" spans="61:61">
      <c r="BI620" s="405"/>
    </row>
    <row r="621" spans="61:61">
      <c r="BI621" s="405"/>
    </row>
    <row r="622" spans="61:61">
      <c r="BI622" s="405"/>
    </row>
    <row r="623" spans="61:61">
      <c r="BI623" s="405"/>
    </row>
    <row r="624" spans="61:61">
      <c r="BI624" s="405"/>
    </row>
    <row r="625" spans="61:61">
      <c r="BI625" s="405"/>
    </row>
    <row r="626" spans="61:61">
      <c r="BI626" s="405"/>
    </row>
    <row r="627" spans="61:61">
      <c r="BI627" s="405"/>
    </row>
    <row r="628" spans="61:61">
      <c r="BI628" s="405"/>
    </row>
    <row r="629" spans="61:61">
      <c r="BI629" s="405"/>
    </row>
    <row r="630" spans="61:61">
      <c r="BI630" s="405"/>
    </row>
    <row r="631" spans="61:61">
      <c r="BI631" s="405"/>
    </row>
    <row r="632" spans="61:61">
      <c r="BI632" s="405"/>
    </row>
    <row r="633" spans="61:61">
      <c r="BI633" s="405"/>
    </row>
    <row r="634" spans="61:61">
      <c r="BI634" s="405"/>
    </row>
    <row r="635" spans="61:61">
      <c r="BI635" s="405"/>
    </row>
    <row r="636" spans="61:61">
      <c r="BI636" s="405"/>
    </row>
    <row r="637" spans="61:61">
      <c r="BI637" s="405"/>
    </row>
    <row r="638" spans="61:61">
      <c r="BI638" s="405"/>
    </row>
    <row r="639" spans="61:61">
      <c r="BI639" s="405"/>
    </row>
    <row r="640" spans="61:61">
      <c r="BI640" s="405"/>
    </row>
    <row r="641" spans="61:61">
      <c r="BI641" s="405"/>
    </row>
    <row r="642" spans="61:61">
      <c r="BI642" s="405"/>
    </row>
    <row r="643" spans="61:61">
      <c r="BI643" s="405"/>
    </row>
    <row r="644" spans="61:61">
      <c r="BI644" s="405"/>
    </row>
    <row r="645" spans="61:61">
      <c r="BI645" s="405"/>
    </row>
    <row r="646" spans="61:61">
      <c r="BI646" s="405"/>
    </row>
    <row r="647" spans="61:61">
      <c r="BI647" s="405"/>
    </row>
    <row r="648" spans="61:61">
      <c r="BI648" s="405"/>
    </row>
    <row r="649" spans="61:61">
      <c r="BI649" s="405"/>
    </row>
    <row r="650" spans="61:61">
      <c r="BI650" s="405"/>
    </row>
    <row r="651" spans="61:61">
      <c r="BI651" s="405"/>
    </row>
    <row r="652" spans="61:61">
      <c r="BI652" s="405"/>
    </row>
    <row r="653" spans="61:61">
      <c r="BI653" s="405"/>
    </row>
    <row r="654" spans="61:61">
      <c r="BI654" s="405"/>
    </row>
    <row r="655" spans="61:61">
      <c r="BI655" s="405"/>
    </row>
    <row r="656" spans="61:61">
      <c r="BI656" s="405"/>
    </row>
    <row r="657" spans="61:61">
      <c r="BI657" s="405"/>
    </row>
    <row r="658" spans="61:61">
      <c r="BI658" s="405"/>
    </row>
    <row r="659" spans="61:61">
      <c r="BI659" s="405"/>
    </row>
    <row r="660" spans="61:61">
      <c r="BI660" s="405"/>
    </row>
    <row r="661" spans="61:61">
      <c r="BI661" s="405"/>
    </row>
    <row r="662" spans="61:61">
      <c r="BI662" s="405"/>
    </row>
    <row r="663" spans="61:61">
      <c r="BI663" s="405"/>
    </row>
    <row r="664" spans="61:61">
      <c r="BI664" s="405"/>
    </row>
    <row r="665" spans="61:61">
      <c r="BI665" s="405"/>
    </row>
    <row r="666" spans="61:61">
      <c r="BI666" s="405"/>
    </row>
    <row r="667" spans="61:61">
      <c r="BI667" s="405"/>
    </row>
    <row r="668" spans="61:61">
      <c r="BI668" s="405"/>
    </row>
    <row r="669" spans="61:61">
      <c r="BI669" s="405"/>
    </row>
    <row r="670" spans="61:61">
      <c r="BI670" s="405"/>
    </row>
    <row r="671" spans="61:61">
      <c r="BI671" s="405"/>
    </row>
    <row r="672" spans="61:61">
      <c r="BI672" s="405"/>
    </row>
    <row r="673" spans="61:61">
      <c r="BI673" s="405"/>
    </row>
    <row r="674" spans="61:61">
      <c r="BI674" s="405"/>
    </row>
    <row r="675" spans="61:61">
      <c r="BI675" s="405"/>
    </row>
    <row r="676" spans="61:61">
      <c r="BI676" s="405"/>
    </row>
    <row r="677" spans="61:61">
      <c r="BI677" s="405"/>
    </row>
    <row r="678" spans="61:61">
      <c r="BI678" s="405"/>
    </row>
    <row r="679" spans="61:61">
      <c r="BI679" s="405"/>
    </row>
    <row r="680" spans="61:61">
      <c r="BI680" s="405"/>
    </row>
    <row r="681" spans="61:61">
      <c r="BI681" s="405"/>
    </row>
    <row r="682" spans="61:61">
      <c r="BI682" s="405"/>
    </row>
    <row r="683" spans="61:61">
      <c r="BI683" s="405"/>
    </row>
    <row r="684" spans="61:61">
      <c r="BI684" s="405"/>
    </row>
    <row r="685" spans="61:61">
      <c r="BI685" s="405"/>
    </row>
    <row r="686" spans="61:61">
      <c r="BI686" s="405"/>
    </row>
    <row r="687" spans="61:61">
      <c r="BI687" s="405"/>
    </row>
    <row r="688" spans="61:61">
      <c r="BI688" s="405"/>
    </row>
    <row r="689" spans="61:61">
      <c r="BI689" s="405"/>
    </row>
    <row r="690" spans="61:61">
      <c r="BI690" s="405"/>
    </row>
    <row r="691" spans="61:61">
      <c r="BI691" s="405"/>
    </row>
    <row r="692" spans="61:61">
      <c r="BI692" s="405"/>
    </row>
    <row r="693" spans="61:61">
      <c r="BI693" s="405"/>
    </row>
    <row r="694" spans="61:61">
      <c r="BI694" s="405"/>
    </row>
    <row r="695" spans="61:61">
      <c r="BI695" s="405"/>
    </row>
    <row r="696" spans="61:61">
      <c r="BI696" s="405"/>
    </row>
    <row r="697" spans="61:61">
      <c r="BI697" s="405"/>
    </row>
    <row r="698" spans="61:61">
      <c r="BI698" s="405"/>
    </row>
    <row r="699" spans="61:61">
      <c r="BI699" s="405"/>
    </row>
    <row r="700" spans="61:61">
      <c r="BI700" s="405"/>
    </row>
    <row r="701" spans="61:61">
      <c r="BI701" s="405"/>
    </row>
    <row r="702" spans="61:61">
      <c r="BI702" s="405"/>
    </row>
    <row r="703" spans="61:61">
      <c r="BI703" s="405"/>
    </row>
    <row r="704" spans="61:61">
      <c r="BI704" s="405"/>
    </row>
    <row r="705" spans="61:61">
      <c r="BI705" s="405"/>
    </row>
    <row r="706" spans="61:61">
      <c r="BI706" s="405"/>
    </row>
    <row r="707" spans="61:61">
      <c r="BI707" s="405"/>
    </row>
    <row r="708" spans="61:61">
      <c r="BI708" s="405"/>
    </row>
    <row r="709" spans="61:61">
      <c r="BI709" s="405"/>
    </row>
    <row r="710" spans="61:61">
      <c r="BI710" s="405"/>
    </row>
    <row r="711" spans="61:61">
      <c r="BI711" s="405"/>
    </row>
    <row r="712" spans="61:61">
      <c r="BI712" s="405"/>
    </row>
    <row r="713" spans="61:61">
      <c r="BI713" s="405"/>
    </row>
    <row r="714" spans="61:61">
      <c r="BI714" s="405"/>
    </row>
    <row r="715" spans="61:61">
      <c r="BI715" s="405"/>
    </row>
    <row r="716" spans="61:61">
      <c r="BI716" s="405"/>
    </row>
    <row r="717" spans="61:61">
      <c r="BI717" s="405"/>
    </row>
    <row r="718" spans="61:61">
      <c r="BI718" s="405"/>
    </row>
    <row r="719" spans="61:61">
      <c r="BI719" s="405"/>
    </row>
    <row r="720" spans="61:61">
      <c r="BI720" s="405"/>
    </row>
    <row r="721" spans="61:61">
      <c r="BI721" s="405"/>
    </row>
    <row r="722" spans="61:61">
      <c r="BI722" s="405"/>
    </row>
    <row r="723" spans="61:61">
      <c r="BI723" s="405"/>
    </row>
    <row r="724" spans="61:61">
      <c r="BI724" s="405"/>
    </row>
    <row r="725" spans="61:61">
      <c r="BI725" s="405"/>
    </row>
    <row r="726" spans="61:61">
      <c r="BI726" s="405"/>
    </row>
    <row r="727" spans="61:61">
      <c r="BI727" s="405"/>
    </row>
    <row r="728" spans="61:61">
      <c r="BI728" s="405"/>
    </row>
    <row r="729" spans="61:61">
      <c r="BI729" s="405"/>
    </row>
    <row r="730" spans="61:61">
      <c r="BI730" s="405"/>
    </row>
    <row r="731" spans="61:61">
      <c r="BI731" s="405"/>
    </row>
    <row r="732" spans="61:61">
      <c r="BI732" s="405"/>
    </row>
    <row r="733" spans="61:61">
      <c r="BI733" s="405"/>
    </row>
    <row r="734" spans="61:61">
      <c r="BI734" s="405"/>
    </row>
    <row r="735" spans="61:61">
      <c r="BI735" s="405"/>
    </row>
    <row r="736" spans="61:61">
      <c r="BI736" s="405"/>
    </row>
    <row r="737" spans="61:61">
      <c r="BI737" s="405"/>
    </row>
    <row r="738" spans="61:61">
      <c r="BI738" s="405"/>
    </row>
    <row r="739" spans="61:61">
      <c r="BI739" s="405"/>
    </row>
    <row r="740" spans="61:61">
      <c r="BI740" s="405"/>
    </row>
    <row r="741" spans="61:61">
      <c r="BI741" s="405"/>
    </row>
    <row r="742" spans="61:61">
      <c r="BI742" s="405"/>
    </row>
    <row r="743" spans="61:61">
      <c r="BI743" s="405"/>
    </row>
    <row r="744" spans="61:61">
      <c r="BI744" s="405"/>
    </row>
    <row r="745" spans="61:61">
      <c r="BI745" s="405"/>
    </row>
    <row r="746" spans="61:61">
      <c r="BI746" s="405"/>
    </row>
    <row r="747" spans="61:61">
      <c r="BI747" s="405"/>
    </row>
    <row r="748" spans="61:61">
      <c r="BI748" s="405"/>
    </row>
    <row r="749" spans="61:61">
      <c r="BI749" s="405"/>
    </row>
    <row r="750" spans="61:61">
      <c r="BI750" s="405"/>
    </row>
    <row r="751" spans="61:61">
      <c r="BI751" s="405"/>
    </row>
    <row r="752" spans="61:61">
      <c r="BI752" s="405"/>
    </row>
    <row r="753" spans="61:61">
      <c r="BI753" s="405"/>
    </row>
    <row r="754" spans="61:61">
      <c r="BI754" s="405"/>
    </row>
    <row r="755" spans="61:61">
      <c r="BI755" s="405"/>
    </row>
    <row r="756" spans="61:61">
      <c r="BI756" s="405"/>
    </row>
    <row r="757" spans="61:61">
      <c r="BI757" s="405"/>
    </row>
    <row r="758" spans="61:61">
      <c r="BI758" s="405"/>
    </row>
    <row r="759" spans="61:61">
      <c r="BI759" s="405"/>
    </row>
    <row r="760" spans="61:61">
      <c r="BI760" s="405"/>
    </row>
    <row r="761" spans="61:61">
      <c r="BI761" s="405"/>
    </row>
    <row r="762" spans="61:61">
      <c r="BI762" s="405"/>
    </row>
    <row r="763" spans="61:61">
      <c r="BI763" s="405"/>
    </row>
    <row r="764" spans="61:61">
      <c r="BI764" s="405"/>
    </row>
    <row r="765" spans="61:61">
      <c r="BI765" s="405"/>
    </row>
    <row r="766" spans="61:61">
      <c r="BI766" s="405"/>
    </row>
    <row r="767" spans="61:61">
      <c r="BI767" s="405"/>
    </row>
    <row r="768" spans="61:61">
      <c r="BI768" s="405"/>
    </row>
    <row r="769" spans="61:61">
      <c r="BI769" s="405"/>
    </row>
    <row r="770" spans="61:61">
      <c r="BI770" s="405"/>
    </row>
    <row r="771" spans="61:61">
      <c r="BI771" s="405"/>
    </row>
    <row r="772" spans="61:61">
      <c r="BI772" s="405"/>
    </row>
    <row r="773" spans="61:61">
      <c r="BI773" s="405"/>
    </row>
    <row r="774" spans="61:61">
      <c r="BI774" s="405"/>
    </row>
    <row r="775" spans="61:61">
      <c r="BI775" s="405"/>
    </row>
    <row r="776" spans="61:61">
      <c r="BI776" s="405"/>
    </row>
    <row r="777" spans="61:61">
      <c r="BI777" s="405"/>
    </row>
    <row r="778" spans="61:61">
      <c r="BI778" s="405"/>
    </row>
    <row r="779" spans="61:61">
      <c r="BI779" s="405"/>
    </row>
    <row r="780" spans="61:61">
      <c r="BI780" s="405"/>
    </row>
    <row r="781" spans="61:61">
      <c r="BI781" s="405"/>
    </row>
    <row r="782" spans="61:61">
      <c r="BI782" s="405"/>
    </row>
    <row r="783" spans="61:61">
      <c r="BI783" s="405"/>
    </row>
    <row r="784" spans="61:61">
      <c r="BI784" s="405"/>
    </row>
    <row r="785" spans="61:61">
      <c r="BI785" s="405"/>
    </row>
    <row r="786" spans="61:61">
      <c r="BI786" s="405"/>
    </row>
    <row r="787" spans="61:61">
      <c r="BI787" s="405"/>
    </row>
    <row r="788" spans="61:61">
      <c r="BI788" s="405"/>
    </row>
    <row r="789" spans="61:61">
      <c r="BI789" s="405"/>
    </row>
    <row r="790" spans="61:61">
      <c r="BI790" s="405"/>
    </row>
    <row r="791" spans="61:61">
      <c r="BI791" s="405"/>
    </row>
    <row r="792" spans="61:61">
      <c r="BI792" s="405"/>
    </row>
    <row r="793" spans="61:61">
      <c r="BI793" s="405"/>
    </row>
    <row r="794" spans="61:61">
      <c r="BI794" s="405"/>
    </row>
    <row r="795" spans="61:61">
      <c r="BI795" s="405"/>
    </row>
    <row r="796" spans="61:61">
      <c r="BI796" s="405"/>
    </row>
    <row r="797" spans="61:61">
      <c r="BI797" s="405"/>
    </row>
    <row r="798" spans="61:61">
      <c r="BI798" s="405"/>
    </row>
    <row r="799" spans="61:61">
      <c r="BI799" s="405"/>
    </row>
    <row r="800" spans="61:61">
      <c r="BI800" s="405"/>
    </row>
    <row r="801" spans="61:61">
      <c r="BI801" s="405"/>
    </row>
    <row r="802" spans="61:61">
      <c r="BI802" s="405"/>
    </row>
    <row r="803" spans="61:61">
      <c r="BI803" s="405"/>
    </row>
    <row r="804" spans="61:61">
      <c r="BI804" s="405"/>
    </row>
    <row r="805" spans="61:61">
      <c r="BI805" s="405"/>
    </row>
    <row r="806" spans="61:61">
      <c r="BI806" s="405"/>
    </row>
    <row r="807" spans="61:61">
      <c r="BI807" s="405"/>
    </row>
    <row r="808" spans="61:61">
      <c r="BI808" s="405"/>
    </row>
    <row r="809" spans="61:61">
      <c r="BI809" s="405"/>
    </row>
    <row r="810" spans="61:61">
      <c r="BI810" s="405"/>
    </row>
    <row r="811" spans="61:61">
      <c r="BI811" s="405"/>
    </row>
    <row r="812" spans="61:61">
      <c r="BI812" s="405"/>
    </row>
    <row r="813" spans="61:61">
      <c r="BI813" s="405"/>
    </row>
    <row r="814" spans="61:61">
      <c r="BI814" s="405"/>
    </row>
    <row r="815" spans="61:61">
      <c r="BI815" s="405"/>
    </row>
    <row r="816" spans="61:61">
      <c r="BI816" s="405"/>
    </row>
    <row r="817" spans="61:61">
      <c r="BI817" s="405"/>
    </row>
    <row r="818" spans="61:61">
      <c r="BI818" s="405"/>
    </row>
    <row r="819" spans="61:61">
      <c r="BI819" s="405"/>
    </row>
    <row r="820" spans="61:61">
      <c r="BI820" s="405"/>
    </row>
    <row r="821" spans="61:61">
      <c r="BI821" s="405"/>
    </row>
    <row r="822" spans="61:61">
      <c r="BI822" s="405"/>
    </row>
    <row r="823" spans="61:61">
      <c r="BI823" s="405"/>
    </row>
    <row r="824" spans="61:61">
      <c r="BI824" s="405"/>
    </row>
    <row r="825" spans="61:61">
      <c r="BI825" s="405"/>
    </row>
    <row r="826" spans="61:61">
      <c r="BI826" s="405"/>
    </row>
    <row r="827" spans="61:61">
      <c r="BI827" s="405"/>
    </row>
    <row r="828" spans="61:61">
      <c r="BI828" s="405"/>
    </row>
    <row r="829" spans="61:61">
      <c r="BI829" s="405"/>
    </row>
    <row r="830" spans="61:61">
      <c r="BI830" s="405"/>
    </row>
    <row r="831" spans="61:61">
      <c r="BI831" s="405"/>
    </row>
    <row r="832" spans="61:61">
      <c r="BI832" s="405"/>
    </row>
    <row r="833" spans="61:61">
      <c r="BI833" s="405"/>
    </row>
    <row r="834" spans="61:61">
      <c r="BI834" s="405"/>
    </row>
    <row r="835" spans="61:61">
      <c r="BI835" s="405"/>
    </row>
    <row r="836" spans="61:61">
      <c r="BI836" s="405"/>
    </row>
    <row r="837" spans="61:61">
      <c r="BI837" s="405"/>
    </row>
    <row r="838" spans="61:61">
      <c r="BI838" s="405"/>
    </row>
    <row r="839" spans="61:61">
      <c r="BI839" s="405"/>
    </row>
    <row r="840" spans="61:61">
      <c r="BI840" s="405"/>
    </row>
    <row r="841" spans="61:61">
      <c r="BI841" s="405"/>
    </row>
    <row r="842" spans="61:61">
      <c r="BI842" s="405"/>
    </row>
    <row r="843" spans="61:61">
      <c r="BI843" s="405"/>
    </row>
    <row r="844" spans="61:61">
      <c r="BI844" s="405"/>
    </row>
    <row r="845" spans="61:61">
      <c r="BI845" s="405"/>
    </row>
    <row r="846" spans="61:61">
      <c r="BI846" s="405"/>
    </row>
    <row r="847" spans="61:61">
      <c r="BI847" s="405"/>
    </row>
    <row r="848" spans="61:61">
      <c r="BI848" s="405"/>
    </row>
    <row r="849" spans="61:61">
      <c r="BI849" s="405"/>
    </row>
    <row r="850" spans="61:61">
      <c r="BI850" s="405"/>
    </row>
    <row r="851" spans="61:61">
      <c r="BI851" s="405"/>
    </row>
    <row r="852" spans="61:61">
      <c r="BI852" s="405"/>
    </row>
    <row r="853" spans="61:61">
      <c r="BI853" s="405"/>
    </row>
    <row r="854" spans="61:61">
      <c r="BI854" s="405"/>
    </row>
    <row r="855" spans="61:61">
      <c r="BI855" s="405"/>
    </row>
    <row r="856" spans="61:61">
      <c r="BI856" s="405"/>
    </row>
    <row r="857" spans="61:61">
      <c r="BI857" s="405"/>
    </row>
    <row r="858" spans="61:61">
      <c r="BI858" s="405"/>
    </row>
    <row r="859" spans="61:61">
      <c r="BI859" s="405"/>
    </row>
    <row r="860" spans="61:61">
      <c r="BI860" s="405"/>
    </row>
    <row r="861" spans="61:61">
      <c r="BI861" s="405"/>
    </row>
    <row r="862" spans="61:61">
      <c r="BI862" s="405"/>
    </row>
    <row r="863" spans="61:61">
      <c r="BI863" s="405"/>
    </row>
    <row r="864" spans="61:61">
      <c r="BI864" s="405"/>
    </row>
    <row r="865" spans="61:61">
      <c r="BI865" s="405"/>
    </row>
    <row r="866" spans="61:61">
      <c r="BI866" s="405"/>
    </row>
    <row r="867" spans="61:61">
      <c r="BI867" s="405"/>
    </row>
    <row r="868" spans="61:61">
      <c r="BI868" s="405"/>
    </row>
    <row r="869" spans="61:61">
      <c r="BI869" s="405"/>
    </row>
    <row r="870" spans="61:61">
      <c r="BI870" s="405"/>
    </row>
    <row r="871" spans="61:61">
      <c r="BI871" s="405"/>
    </row>
    <row r="872" spans="61:61">
      <c r="BI872" s="405"/>
    </row>
    <row r="873" spans="61:61">
      <c r="BI873" s="405"/>
    </row>
    <row r="874" spans="61:61">
      <c r="BI874" s="405"/>
    </row>
    <row r="875" spans="61:61">
      <c r="BI875" s="405"/>
    </row>
    <row r="876" spans="61:61">
      <c r="BI876" s="405"/>
    </row>
    <row r="877" spans="61:61">
      <c r="BI877" s="405"/>
    </row>
    <row r="878" spans="61:61">
      <c r="BI878" s="405"/>
    </row>
    <row r="879" spans="61:61">
      <c r="BI879" s="405"/>
    </row>
    <row r="880" spans="61:61">
      <c r="BI880" s="405"/>
    </row>
    <row r="881" spans="61:61">
      <c r="BI881" s="405"/>
    </row>
    <row r="882" spans="61:61">
      <c r="BI882" s="405"/>
    </row>
    <row r="883" spans="61:61">
      <c r="BI883" s="405"/>
    </row>
    <row r="884" spans="61:61">
      <c r="BI884" s="405"/>
    </row>
    <row r="885" spans="61:61">
      <c r="BI885" s="405"/>
    </row>
    <row r="886" spans="61:61">
      <c r="BI886" s="405"/>
    </row>
    <row r="887" spans="61:61">
      <c r="BI887" s="405"/>
    </row>
    <row r="888" spans="61:61">
      <c r="BI888" s="405"/>
    </row>
    <row r="889" spans="61:61">
      <c r="BI889" s="405"/>
    </row>
    <row r="890" spans="61:61">
      <c r="BI890" s="405"/>
    </row>
    <row r="891" spans="61:61">
      <c r="BI891" s="405"/>
    </row>
    <row r="892" spans="61:61">
      <c r="BI892" s="405"/>
    </row>
    <row r="893" spans="61:61">
      <c r="BI893" s="405"/>
    </row>
    <row r="894" spans="61:61">
      <c r="BI894" s="405"/>
    </row>
    <row r="895" spans="61:61">
      <c r="BI895" s="405"/>
    </row>
    <row r="896" spans="61:61">
      <c r="BI896" s="405"/>
    </row>
    <row r="897" spans="61:61">
      <c r="BI897" s="405"/>
    </row>
    <row r="898" spans="61:61">
      <c r="BI898" s="405"/>
    </row>
    <row r="899" spans="61:61">
      <c r="BI899" s="405"/>
    </row>
    <row r="900" spans="61:61">
      <c r="BI900" s="405"/>
    </row>
    <row r="901" spans="61:61">
      <c r="BI901" s="405"/>
    </row>
    <row r="902" spans="61:61">
      <c r="BI902" s="405"/>
    </row>
    <row r="903" spans="61:61">
      <c r="BI903" s="405"/>
    </row>
    <row r="904" spans="61:61">
      <c r="BI904" s="405"/>
    </row>
    <row r="905" spans="61:61">
      <c r="BI905" s="405"/>
    </row>
    <row r="906" spans="61:61">
      <c r="BI906" s="405"/>
    </row>
    <row r="907" spans="61:61">
      <c r="BI907" s="405"/>
    </row>
    <row r="908" spans="61:61">
      <c r="BI908" s="405"/>
    </row>
    <row r="909" spans="61:61">
      <c r="BI909" s="405"/>
    </row>
    <row r="910" spans="61:61">
      <c r="BI910" s="405"/>
    </row>
    <row r="911" spans="61:61">
      <c r="BI911" s="405"/>
    </row>
    <row r="912" spans="61:61">
      <c r="BI912" s="405"/>
    </row>
    <row r="913" spans="61:61">
      <c r="BI913" s="405"/>
    </row>
    <row r="914" spans="61:61">
      <c r="BI914" s="405"/>
    </row>
    <row r="915" spans="61:61">
      <c r="BI915" s="405"/>
    </row>
    <row r="916" spans="61:61">
      <c r="BI916" s="405"/>
    </row>
    <row r="917" spans="61:61">
      <c r="BI917" s="405"/>
    </row>
    <row r="918" spans="61:61">
      <c r="BI918" s="405"/>
    </row>
    <row r="919" spans="61:61">
      <c r="BI919" s="405"/>
    </row>
    <row r="920" spans="61:61">
      <c r="BI920" s="405"/>
    </row>
    <row r="921" spans="61:61">
      <c r="BI921" s="405"/>
    </row>
    <row r="922" spans="61:61">
      <c r="BI922" s="405"/>
    </row>
    <row r="923" spans="61:61">
      <c r="BI923" s="405"/>
    </row>
    <row r="924" spans="61:61">
      <c r="BI924" s="405"/>
    </row>
    <row r="925" spans="61:61">
      <c r="BI925" s="405"/>
    </row>
    <row r="926" spans="61:61">
      <c r="BI926" s="405"/>
    </row>
    <row r="927" spans="61:61">
      <c r="BI927" s="405"/>
    </row>
    <row r="928" spans="61:61">
      <c r="BI928" s="405"/>
    </row>
    <row r="929" spans="61:61">
      <c r="BI929" s="405"/>
    </row>
    <row r="930" spans="61:61">
      <c r="BI930" s="405"/>
    </row>
    <row r="931" spans="61:61">
      <c r="BI931" s="405"/>
    </row>
    <row r="932" spans="61:61">
      <c r="BI932" s="405"/>
    </row>
    <row r="933" spans="61:61">
      <c r="BI933" s="405"/>
    </row>
    <row r="934" spans="61:61">
      <c r="BI934" s="405"/>
    </row>
    <row r="935" spans="61:61">
      <c r="BI935" s="405"/>
    </row>
    <row r="936" spans="61:61">
      <c r="BI936" s="405"/>
    </row>
    <row r="937" spans="61:61">
      <c r="BI937" s="405"/>
    </row>
    <row r="938" spans="61:61">
      <c r="BI938" s="405"/>
    </row>
    <row r="939" spans="61:61">
      <c r="BI939" s="405"/>
    </row>
    <row r="940" spans="61:61">
      <c r="BI940" s="405"/>
    </row>
    <row r="941" spans="61:61">
      <c r="BI941" s="405"/>
    </row>
    <row r="942" spans="61:61">
      <c r="BI942" s="405"/>
    </row>
    <row r="943" spans="61:61">
      <c r="BI943" s="405"/>
    </row>
    <row r="944" spans="61:61">
      <c r="BI944" s="405"/>
    </row>
    <row r="945" spans="61:61">
      <c r="BI945" s="405"/>
    </row>
    <row r="946" spans="61:61">
      <c r="BI946" s="405"/>
    </row>
    <row r="947" spans="61:61">
      <c r="BI947" s="405"/>
    </row>
    <row r="948" spans="61:61">
      <c r="BI948" s="405"/>
    </row>
    <row r="949" spans="61:61">
      <c r="BI949" s="405"/>
    </row>
    <row r="950" spans="61:61">
      <c r="BI950" s="405"/>
    </row>
    <row r="951" spans="61:61">
      <c r="BI951" s="405"/>
    </row>
    <row r="952" spans="61:61">
      <c r="BI952" s="405"/>
    </row>
    <row r="953" spans="61:61">
      <c r="BI953" s="405"/>
    </row>
    <row r="954" spans="61:61">
      <c r="BI954" s="405"/>
    </row>
    <row r="955" spans="61:61">
      <c r="BI955" s="405"/>
    </row>
    <row r="956" spans="61:61">
      <c r="BI956" s="405"/>
    </row>
    <row r="957" spans="61:61">
      <c r="BI957" s="405"/>
    </row>
    <row r="958" spans="61:61">
      <c r="BI958" s="405"/>
    </row>
    <row r="959" spans="61:61">
      <c r="BI959" s="405"/>
    </row>
    <row r="960" spans="61:61">
      <c r="BI960" s="405"/>
    </row>
    <row r="961" spans="61:61">
      <c r="BI961" s="405"/>
    </row>
    <row r="962" spans="61:61">
      <c r="BI962" s="405"/>
    </row>
    <row r="963" spans="61:61">
      <c r="BI963" s="405"/>
    </row>
    <row r="964" spans="61:61">
      <c r="BI964" s="405"/>
    </row>
    <row r="965" spans="61:61">
      <c r="BI965" s="405"/>
    </row>
    <row r="966" spans="61:61">
      <c r="BI966" s="405"/>
    </row>
    <row r="967" spans="61:61">
      <c r="BI967" s="405"/>
    </row>
    <row r="968" spans="61:61">
      <c r="BI968" s="405"/>
    </row>
    <row r="969" spans="61:61">
      <c r="BI969" s="405"/>
    </row>
    <row r="970" spans="61:61">
      <c r="BI970" s="405"/>
    </row>
    <row r="971" spans="61:61">
      <c r="BI971" s="405"/>
    </row>
    <row r="972" spans="61:61">
      <c r="BI972" s="405"/>
    </row>
    <row r="973" spans="61:61">
      <c r="BI973" s="405"/>
    </row>
    <row r="974" spans="61:61">
      <c r="BI974" s="405"/>
    </row>
    <row r="975" spans="61:61">
      <c r="BI975" s="405"/>
    </row>
    <row r="976" spans="61:61">
      <c r="BI976" s="405"/>
    </row>
    <row r="977" spans="61:61">
      <c r="BI977" s="405"/>
    </row>
    <row r="978" spans="61:61">
      <c r="BI978" s="405"/>
    </row>
    <row r="979" spans="61:61">
      <c r="BI979" s="405"/>
    </row>
    <row r="980" spans="61:61">
      <c r="BI980" s="405"/>
    </row>
    <row r="981" spans="61:61">
      <c r="BI981" s="405"/>
    </row>
    <row r="982" spans="61:61">
      <c r="BI982" s="405"/>
    </row>
    <row r="983" spans="61:61">
      <c r="BI983" s="405"/>
    </row>
    <row r="984" spans="61:61">
      <c r="BI984" s="405"/>
    </row>
    <row r="985" spans="61:61">
      <c r="BI985" s="405"/>
    </row>
    <row r="986" spans="61:61">
      <c r="BI986" s="405"/>
    </row>
    <row r="987" spans="61:61">
      <c r="BI987" s="405"/>
    </row>
    <row r="988" spans="61:61">
      <c r="BI988" s="405"/>
    </row>
    <row r="989" spans="61:61">
      <c r="BI989" s="405"/>
    </row>
    <row r="990" spans="61:61">
      <c r="BI990" s="405"/>
    </row>
    <row r="991" spans="61:61">
      <c r="BI991" s="405"/>
    </row>
    <row r="992" spans="61:61">
      <c r="BI992" s="405"/>
    </row>
    <row r="993" spans="61:61">
      <c r="BI993" s="405"/>
    </row>
    <row r="994" spans="61:61">
      <c r="BI994" s="405"/>
    </row>
    <row r="995" spans="61:61">
      <c r="BI995" s="405"/>
    </row>
    <row r="996" spans="61:61">
      <c r="BI996" s="405"/>
    </row>
    <row r="997" spans="61:61">
      <c r="BI997" s="405"/>
    </row>
    <row r="998" spans="61:61">
      <c r="BI998" s="405"/>
    </row>
    <row r="999" spans="61:61">
      <c r="BI999" s="405"/>
    </row>
    <row r="1000" spans="61:61">
      <c r="BI1000" s="405"/>
    </row>
    <row r="1001" spans="61:61">
      <c r="BI1001" s="405"/>
    </row>
    <row r="1002" spans="61:61">
      <c r="BI1002" s="405"/>
    </row>
    <row r="1003" spans="61:61">
      <c r="BI1003" s="405"/>
    </row>
    <row r="1004" spans="61:61">
      <c r="BI1004" s="405"/>
    </row>
    <row r="1005" spans="61:61">
      <c r="BI1005" s="405"/>
    </row>
    <row r="1006" spans="61:61">
      <c r="BI1006" s="405"/>
    </row>
    <row r="1007" spans="61:61">
      <c r="BI1007" s="405"/>
    </row>
    <row r="1008" spans="61:61">
      <c r="BI1008" s="405"/>
    </row>
    <row r="1009" spans="61:61">
      <c r="BI1009" s="405"/>
    </row>
    <row r="1010" spans="61:61">
      <c r="BI1010" s="405"/>
    </row>
    <row r="1011" spans="61:61">
      <c r="BI1011" s="405"/>
    </row>
    <row r="1012" spans="61:61">
      <c r="BI1012" s="405"/>
    </row>
    <row r="1013" spans="61:61">
      <c r="BI1013" s="405"/>
    </row>
    <row r="1014" spans="61:61">
      <c r="BI1014" s="405"/>
    </row>
    <row r="1015" spans="61:61">
      <c r="BI1015" s="405"/>
    </row>
    <row r="1016" spans="61:61">
      <c r="BI1016" s="405"/>
    </row>
    <row r="1017" spans="61:61">
      <c r="BI1017" s="405"/>
    </row>
    <row r="1018" spans="61:61">
      <c r="BI1018" s="405"/>
    </row>
    <row r="1019" spans="61:61">
      <c r="BI1019" s="405"/>
    </row>
    <row r="1020" spans="61:61">
      <c r="BI1020" s="405"/>
    </row>
    <row r="1021" spans="61:61">
      <c r="BI1021" s="405"/>
    </row>
    <row r="1022" spans="61:61">
      <c r="BI1022" s="405"/>
    </row>
    <row r="1023" spans="61:61">
      <c r="BI1023" s="405"/>
    </row>
    <row r="1024" spans="61:61">
      <c r="BI1024" s="405"/>
    </row>
    <row r="1025" spans="61:61">
      <c r="BI1025" s="405"/>
    </row>
    <row r="1026" spans="61:61">
      <c r="BI1026" s="405"/>
    </row>
    <row r="1027" spans="61:61">
      <c r="BI1027" s="405"/>
    </row>
    <row r="1028" spans="61:61">
      <c r="BI1028" s="405"/>
    </row>
    <row r="1029" spans="61:61">
      <c r="BI1029" s="405"/>
    </row>
    <row r="1030" spans="61:61">
      <c r="BI1030" s="405"/>
    </row>
    <row r="1031" spans="61:61">
      <c r="BI1031" s="405"/>
    </row>
    <row r="1032" spans="61:61">
      <c r="BI1032" s="405"/>
    </row>
    <row r="1033" spans="61:61">
      <c r="BI1033" s="405"/>
    </row>
    <row r="1034" spans="61:61">
      <c r="BI1034" s="405"/>
    </row>
    <row r="1035" spans="61:61">
      <c r="BI1035" s="405"/>
    </row>
    <row r="1036" spans="61:61">
      <c r="BI1036" s="405"/>
    </row>
    <row r="1037" spans="61:61">
      <c r="BI1037" s="405"/>
    </row>
    <row r="1038" spans="61:61">
      <c r="BI1038" s="405"/>
    </row>
    <row r="1039" spans="61:61">
      <c r="BI1039" s="405"/>
    </row>
    <row r="1040" spans="61:61">
      <c r="BI1040" s="405"/>
    </row>
    <row r="1041" spans="61:61">
      <c r="BI1041" s="405"/>
    </row>
    <row r="1042" spans="61:61">
      <c r="BI1042" s="405"/>
    </row>
    <row r="1043" spans="61:61">
      <c r="BI1043" s="405"/>
    </row>
    <row r="1044" spans="61:61">
      <c r="BI1044" s="405"/>
    </row>
    <row r="1045" spans="61:61">
      <c r="BI1045" s="405"/>
    </row>
    <row r="1046" spans="61:61">
      <c r="BI1046" s="405"/>
    </row>
    <row r="1047" spans="61:61">
      <c r="BI1047" s="405"/>
    </row>
    <row r="1048" spans="61:61">
      <c r="BI1048" s="405"/>
    </row>
    <row r="1049" spans="61:61">
      <c r="BI1049" s="405"/>
    </row>
    <row r="1050" spans="61:61">
      <c r="BI1050" s="405"/>
    </row>
    <row r="1051" spans="61:61">
      <c r="BI1051" s="405"/>
    </row>
    <row r="1052" spans="61:61">
      <c r="BI1052" s="405"/>
    </row>
    <row r="1053" spans="61:61">
      <c r="BI1053" s="405"/>
    </row>
    <row r="1054" spans="61:61">
      <c r="BI1054" s="405"/>
    </row>
    <row r="1055" spans="61:61">
      <c r="BI1055" s="405"/>
    </row>
    <row r="1056" spans="61:61">
      <c r="BI1056" s="405"/>
    </row>
    <row r="1057" spans="61:61">
      <c r="BI1057" s="405"/>
    </row>
    <row r="1058" spans="61:61">
      <c r="BI1058" s="405"/>
    </row>
    <row r="1059" spans="61:61">
      <c r="BI1059" s="405"/>
    </row>
    <row r="1060" spans="61:61">
      <c r="BI1060" s="405"/>
    </row>
    <row r="1061" spans="61:61">
      <c r="BI1061" s="405"/>
    </row>
    <row r="1062" spans="61:61">
      <c r="BI1062" s="405"/>
    </row>
    <row r="1063" spans="61:61">
      <c r="BI1063" s="405"/>
    </row>
    <row r="1064" spans="61:61">
      <c r="BI1064" s="405"/>
    </row>
    <row r="1065" spans="61:61">
      <c r="BI1065" s="405"/>
    </row>
    <row r="1066" spans="61:61">
      <c r="BI1066" s="405"/>
    </row>
    <row r="1067" spans="61:61">
      <c r="BI1067" s="405"/>
    </row>
    <row r="1068" spans="61:61">
      <c r="BI1068" s="405"/>
    </row>
    <row r="1069" spans="61:61">
      <c r="BI1069" s="405"/>
    </row>
    <row r="1070" spans="61:61">
      <c r="BI1070" s="405"/>
    </row>
    <row r="1071" spans="61:61">
      <c r="BI1071" s="405"/>
    </row>
    <row r="1072" spans="61:61">
      <c r="BI1072" s="405"/>
    </row>
    <row r="1073" spans="61:61">
      <c r="BI1073" s="405"/>
    </row>
    <row r="1074" spans="61:61">
      <c r="BI1074" s="405"/>
    </row>
    <row r="1075" spans="61:61">
      <c r="BI1075" s="405"/>
    </row>
    <row r="1076" spans="61:61">
      <c r="BI1076" s="405"/>
    </row>
    <row r="1077" spans="61:61">
      <c r="BI1077" s="405"/>
    </row>
    <row r="1078" spans="61:61">
      <c r="BI1078" s="405"/>
    </row>
    <row r="1079" spans="61:61">
      <c r="BI1079" s="405"/>
    </row>
    <row r="1080" spans="61:61">
      <c r="BI1080" s="405"/>
    </row>
    <row r="1081" spans="61:61">
      <c r="BI1081" s="405"/>
    </row>
    <row r="1082" spans="61:61">
      <c r="BI1082" s="405"/>
    </row>
    <row r="1083" spans="61:61">
      <c r="BI1083" s="405"/>
    </row>
    <row r="1084" spans="61:61">
      <c r="BI1084" s="405"/>
    </row>
    <row r="1085" spans="61:61">
      <c r="BI1085" s="405"/>
    </row>
    <row r="1086" spans="61:61">
      <c r="BI1086" s="405"/>
    </row>
    <row r="1087" spans="61:61">
      <c r="BI1087" s="405"/>
    </row>
    <row r="1088" spans="61:61">
      <c r="BI1088" s="405"/>
    </row>
    <row r="1089" spans="61:61">
      <c r="BI1089" s="405"/>
    </row>
    <row r="1090" spans="61:61">
      <c r="BI1090" s="405"/>
    </row>
    <row r="1091" spans="61:61">
      <c r="BI1091" s="405"/>
    </row>
    <row r="1092" spans="61:61">
      <c r="BI1092" s="405"/>
    </row>
    <row r="1093" spans="61:61">
      <c r="BI1093" s="405"/>
    </row>
    <row r="1094" spans="61:61">
      <c r="BI1094" s="405"/>
    </row>
    <row r="1095" spans="61:61">
      <c r="BI1095" s="405"/>
    </row>
    <row r="1096" spans="61:61">
      <c r="BI1096" s="405"/>
    </row>
    <row r="1097" spans="61:61">
      <c r="BI1097" s="405"/>
    </row>
    <row r="1098" spans="61:61">
      <c r="BI1098" s="405"/>
    </row>
    <row r="1099" spans="61:61">
      <c r="BI1099" s="405"/>
    </row>
    <row r="1100" spans="61:61">
      <c r="BI1100" s="405"/>
    </row>
    <row r="1101" spans="61:61">
      <c r="BI1101" s="405"/>
    </row>
    <row r="1102" spans="61:61">
      <c r="BI1102" s="405"/>
    </row>
    <row r="1103" spans="61:61">
      <c r="BI1103" s="405"/>
    </row>
    <row r="1104" spans="61:61">
      <c r="BI1104" s="405"/>
    </row>
    <row r="1105" spans="61:61">
      <c r="BI1105" s="405"/>
    </row>
    <row r="1106" spans="61:61">
      <c r="BI1106" s="405"/>
    </row>
    <row r="1107" spans="61:61">
      <c r="BI1107" s="405"/>
    </row>
    <row r="1108" spans="61:61">
      <c r="BI1108" s="405"/>
    </row>
    <row r="1109" spans="61:61">
      <c r="BI1109" s="405"/>
    </row>
    <row r="1110" spans="61:61">
      <c r="BI1110" s="405"/>
    </row>
    <row r="1111" spans="61:61">
      <c r="BI1111" s="405"/>
    </row>
    <row r="1112" spans="61:61">
      <c r="BI1112" s="405"/>
    </row>
    <row r="1113" spans="61:61">
      <c r="BI1113" s="405"/>
    </row>
    <row r="1114" spans="61:61">
      <c r="BI1114" s="405"/>
    </row>
    <row r="1115" spans="61:61">
      <c r="BI1115" s="405"/>
    </row>
    <row r="1116" spans="61:61">
      <c r="BI1116" s="405"/>
    </row>
    <row r="1117" spans="61:61">
      <c r="BI1117" s="405"/>
    </row>
    <row r="1118" spans="61:61">
      <c r="BI1118" s="405"/>
    </row>
    <row r="1119" spans="61:61">
      <c r="BI1119" s="405"/>
    </row>
    <row r="1120" spans="61:61">
      <c r="BI1120" s="405"/>
    </row>
    <row r="1121" spans="61:61">
      <c r="BI1121" s="405"/>
    </row>
    <row r="1122" spans="61:61">
      <c r="BI1122" s="405"/>
    </row>
    <row r="1123" spans="61:61">
      <c r="BI1123" s="405"/>
    </row>
    <row r="1124" spans="61:61">
      <c r="BI1124" s="405"/>
    </row>
    <row r="1125" spans="61:61">
      <c r="BI1125" s="405"/>
    </row>
    <row r="1126" spans="61:61">
      <c r="BI1126" s="405"/>
    </row>
    <row r="1127" spans="61:61">
      <c r="BI1127" s="405"/>
    </row>
    <row r="1128" spans="61:61">
      <c r="BI1128" s="405"/>
    </row>
    <row r="1129" spans="61:61">
      <c r="BI1129" s="405"/>
    </row>
    <row r="1130" spans="61:61">
      <c r="BI1130" s="405"/>
    </row>
    <row r="1131" spans="61:61">
      <c r="BI1131" s="405"/>
    </row>
    <row r="1132" spans="61:61">
      <c r="BI1132" s="405"/>
    </row>
    <row r="1133" spans="61:61">
      <c r="BI1133" s="405"/>
    </row>
    <row r="1134" spans="61:61">
      <c r="BI1134" s="405"/>
    </row>
    <row r="1135" spans="61:61">
      <c r="BI1135" s="405"/>
    </row>
    <row r="1136" spans="61:61">
      <c r="BI1136" s="405"/>
    </row>
    <row r="1137" spans="61:61">
      <c r="BI1137" s="405"/>
    </row>
    <row r="1138" spans="61:61">
      <c r="BI1138" s="405"/>
    </row>
    <row r="1139" spans="61:61">
      <c r="BI1139" s="405"/>
    </row>
    <row r="1140" spans="61:61">
      <c r="BI1140" s="405"/>
    </row>
    <row r="1141" spans="61:61">
      <c r="BI1141" s="405"/>
    </row>
    <row r="1142" spans="61:61">
      <c r="BI1142" s="405"/>
    </row>
    <row r="1143" spans="61:61">
      <c r="BI1143" s="405"/>
    </row>
    <row r="1144" spans="61:61">
      <c r="BI1144" s="405"/>
    </row>
    <row r="1145" spans="61:61">
      <c r="BI1145" s="405"/>
    </row>
    <row r="1146" spans="61:61">
      <c r="BI1146" s="405"/>
    </row>
    <row r="1147" spans="61:61">
      <c r="BI1147" s="405"/>
    </row>
    <row r="1148" spans="61:61">
      <c r="BI1148" s="405"/>
    </row>
    <row r="1149" spans="61:61">
      <c r="BI1149" s="405"/>
    </row>
    <row r="1150" spans="61:61">
      <c r="BI1150" s="405"/>
    </row>
    <row r="1151" spans="61:61">
      <c r="BI1151" s="405"/>
    </row>
    <row r="1152" spans="61:61">
      <c r="BI1152" s="405"/>
    </row>
    <row r="1153" spans="61:61">
      <c r="BI1153" s="405"/>
    </row>
    <row r="1154" spans="61:61">
      <c r="BI1154" s="405"/>
    </row>
    <row r="1155" spans="61:61">
      <c r="BI1155" s="405"/>
    </row>
    <row r="1156" spans="61:61">
      <c r="BI1156" s="405"/>
    </row>
    <row r="1157" spans="61:61">
      <c r="BI1157" s="405"/>
    </row>
    <row r="1158" spans="61:61">
      <c r="BI1158" s="405"/>
    </row>
    <row r="1159" spans="61:61">
      <c r="BI1159" s="405"/>
    </row>
    <row r="1160" spans="61:61">
      <c r="BI1160" s="405"/>
    </row>
    <row r="1161" spans="61:61">
      <c r="BI1161" s="405"/>
    </row>
    <row r="1162" spans="61:61">
      <c r="BI1162" s="405"/>
    </row>
    <row r="1163" spans="61:61">
      <c r="BI1163" s="405"/>
    </row>
    <row r="1164" spans="61:61">
      <c r="BI1164" s="405"/>
    </row>
    <row r="1165" spans="61:61">
      <c r="BI1165" s="405"/>
    </row>
    <row r="1166" spans="61:61">
      <c r="BI1166" s="405"/>
    </row>
    <row r="1167" spans="61:61">
      <c r="BI1167" s="405"/>
    </row>
    <row r="1168" spans="61:61">
      <c r="BI1168" s="405"/>
    </row>
    <row r="1169" spans="61:61">
      <c r="BI1169" s="405"/>
    </row>
    <row r="1170" spans="61:61">
      <c r="BI1170" s="405"/>
    </row>
    <row r="1171" spans="61:61">
      <c r="BI1171" s="405"/>
    </row>
    <row r="1172" spans="61:61">
      <c r="BI1172" s="405"/>
    </row>
    <row r="1173" spans="61:61">
      <c r="BI1173" s="405"/>
    </row>
    <row r="1174" spans="61:61">
      <c r="BI1174" s="405"/>
    </row>
    <row r="1175" spans="61:61">
      <c r="BI1175" s="405"/>
    </row>
    <row r="1176" spans="61:61">
      <c r="BI1176" s="405"/>
    </row>
    <row r="1177" spans="61:61">
      <c r="BI1177" s="405"/>
    </row>
    <row r="1178" spans="61:61">
      <c r="BI1178" s="405"/>
    </row>
    <row r="1179" spans="61:61">
      <c r="BI1179" s="405"/>
    </row>
    <row r="1180" spans="61:61">
      <c r="BI1180" s="405"/>
    </row>
    <row r="1181" spans="61:61">
      <c r="BI1181" s="405"/>
    </row>
    <row r="1182" spans="61:61">
      <c r="BI1182" s="405"/>
    </row>
    <row r="1183" spans="61:61">
      <c r="BI1183" s="405"/>
    </row>
    <row r="1184" spans="61:61">
      <c r="BI1184" s="405"/>
    </row>
    <row r="1185" spans="61:61">
      <c r="BI1185" s="405"/>
    </row>
    <row r="1186" spans="61:61">
      <c r="BI1186" s="405"/>
    </row>
    <row r="1187" spans="61:61">
      <c r="BI1187" s="405"/>
    </row>
    <row r="1188" spans="61:61">
      <c r="BI1188" s="405"/>
    </row>
    <row r="1189" spans="61:61">
      <c r="BI1189" s="405"/>
    </row>
    <row r="1190" spans="61:61">
      <c r="BI1190" s="405"/>
    </row>
    <row r="1191" spans="61:61">
      <c r="BI1191" s="405"/>
    </row>
    <row r="1192" spans="61:61">
      <c r="BI1192" s="405"/>
    </row>
    <row r="1193" spans="61:61">
      <c r="BI1193" s="405"/>
    </row>
    <row r="1194" spans="61:61">
      <c r="BI1194" s="405"/>
    </row>
    <row r="1195" spans="61:61">
      <c r="BI1195" s="405"/>
    </row>
    <row r="1196" spans="61:61">
      <c r="BI1196" s="405"/>
    </row>
    <row r="1197" spans="61:61">
      <c r="BI1197" s="405"/>
    </row>
    <row r="1198" spans="61:61">
      <c r="BI1198" s="405"/>
    </row>
    <row r="1199" spans="61:61">
      <c r="BI1199" s="405"/>
    </row>
    <row r="1200" spans="61:61">
      <c r="BI1200" s="405"/>
    </row>
    <row r="1201" spans="61:61">
      <c r="BI1201" s="405"/>
    </row>
    <row r="1202" spans="61:61">
      <c r="BI1202" s="405"/>
    </row>
    <row r="1203" spans="61:61">
      <c r="BI1203" s="405"/>
    </row>
    <row r="1204" spans="61:61">
      <c r="BI1204" s="405"/>
    </row>
    <row r="1205" spans="61:61">
      <c r="BI1205" s="405"/>
    </row>
    <row r="1206" spans="61:61">
      <c r="BI1206" s="405"/>
    </row>
    <row r="1207" spans="61:61">
      <c r="BI1207" s="405"/>
    </row>
    <row r="1208" spans="61:61">
      <c r="BI1208" s="405"/>
    </row>
    <row r="1209" spans="61:61">
      <c r="BI1209" s="405"/>
    </row>
    <row r="1210" spans="61:61">
      <c r="BI1210" s="405"/>
    </row>
    <row r="1211" spans="61:61">
      <c r="BI1211" s="405"/>
    </row>
    <row r="1212" spans="61:61">
      <c r="BI1212" s="405"/>
    </row>
    <row r="1213" spans="61:61">
      <c r="BI1213" s="405"/>
    </row>
    <row r="1214" spans="61:61">
      <c r="BI1214" s="405"/>
    </row>
    <row r="1215" spans="61:61">
      <c r="BI1215" s="405"/>
    </row>
    <row r="1216" spans="61:61">
      <c r="BI1216" s="405"/>
    </row>
    <row r="1217" spans="61:61">
      <c r="BI1217" s="405"/>
    </row>
    <row r="1218" spans="61:61">
      <c r="BI1218" s="405"/>
    </row>
    <row r="1219" spans="61:61">
      <c r="BI1219" s="405"/>
    </row>
    <row r="1220" spans="61:61">
      <c r="BI1220" s="405"/>
    </row>
    <row r="1221" spans="61:61">
      <c r="BI1221" s="405"/>
    </row>
    <row r="1222" spans="61:61">
      <c r="BI1222" s="405"/>
    </row>
    <row r="1223" spans="61:61">
      <c r="BI1223" s="405"/>
    </row>
    <row r="1224" spans="61:61">
      <c r="BI1224" s="405"/>
    </row>
    <row r="1225" spans="61:61">
      <c r="BI1225" s="405"/>
    </row>
    <row r="1226" spans="61:61">
      <c r="BI1226" s="405"/>
    </row>
    <row r="1227" spans="61:61">
      <c r="BI1227" s="405"/>
    </row>
    <row r="1228" spans="61:61">
      <c r="BI1228" s="405"/>
    </row>
    <row r="1229" spans="61:61">
      <c r="BI1229" s="405"/>
    </row>
    <row r="1230" spans="61:61">
      <c r="BI1230" s="405"/>
    </row>
    <row r="1231" spans="61:61">
      <c r="BI1231" s="405"/>
    </row>
    <row r="1232" spans="61:61">
      <c r="BI1232" s="405"/>
    </row>
    <row r="1233" spans="61:61">
      <c r="BI1233" s="405"/>
    </row>
    <row r="1234" spans="61:61">
      <c r="BI1234" s="405"/>
    </row>
    <row r="1235" spans="61:61">
      <c r="BI1235" s="405"/>
    </row>
    <row r="1236" spans="61:61">
      <c r="BI1236" s="405"/>
    </row>
    <row r="1237" spans="61:61">
      <c r="BI1237" s="405"/>
    </row>
    <row r="1238" spans="61:61">
      <c r="BI1238" s="405"/>
    </row>
    <row r="1239" spans="61:61">
      <c r="BI1239" s="405"/>
    </row>
    <row r="1240" spans="61:61">
      <c r="BI1240" s="405"/>
    </row>
    <row r="1241" spans="61:61">
      <c r="BI1241" s="405"/>
    </row>
    <row r="1242" spans="61:61">
      <c r="BI1242" s="405"/>
    </row>
    <row r="1243" spans="61:61">
      <c r="BI1243" s="405"/>
    </row>
    <row r="1244" spans="61:61">
      <c r="BI1244" s="405"/>
    </row>
    <row r="1245" spans="61:61">
      <c r="BI1245" s="405"/>
    </row>
    <row r="1246" spans="61:61">
      <c r="BI1246" s="405"/>
    </row>
    <row r="1247" spans="61:61">
      <c r="BI1247" s="405"/>
    </row>
    <row r="1248" spans="61:61">
      <c r="BI1248" s="405"/>
    </row>
    <row r="1249" spans="61:61">
      <c r="BI1249" s="405"/>
    </row>
    <row r="1250" spans="61:61">
      <c r="BI1250" s="405"/>
    </row>
    <row r="1251" spans="61:61">
      <c r="BI1251" s="405"/>
    </row>
    <row r="1252" spans="61:61">
      <c r="BI1252" s="405"/>
    </row>
    <row r="1253" spans="61:61">
      <c r="BI1253" s="405"/>
    </row>
    <row r="1254" spans="61:61">
      <c r="BI1254" s="405"/>
    </row>
    <row r="1255" spans="61:61">
      <c r="BI1255" s="405"/>
    </row>
    <row r="1256" spans="61:61">
      <c r="BI1256" s="405"/>
    </row>
    <row r="1257" spans="61:61">
      <c r="BI1257" s="405"/>
    </row>
    <row r="1258" spans="61:61">
      <c r="BI1258" s="405"/>
    </row>
    <row r="1259" spans="61:61">
      <c r="BI1259" s="405"/>
    </row>
    <row r="1260" spans="61:61">
      <c r="BI1260" s="405"/>
    </row>
    <row r="1261" spans="61:61">
      <c r="BI1261" s="405"/>
    </row>
    <row r="1262" spans="61:61">
      <c r="BI1262" s="405"/>
    </row>
    <row r="1263" spans="61:61">
      <c r="BI1263" s="405"/>
    </row>
    <row r="1264" spans="61:61">
      <c r="BI1264" s="405"/>
    </row>
    <row r="1265" spans="61:61">
      <c r="BI1265" s="405"/>
    </row>
    <row r="1266" spans="61:61">
      <c r="BI1266" s="405"/>
    </row>
    <row r="1267" spans="61:61">
      <c r="BI1267" s="405"/>
    </row>
    <row r="1268" spans="61:61">
      <c r="BI1268" s="405"/>
    </row>
    <row r="1269" spans="61:61">
      <c r="BI1269" s="405"/>
    </row>
    <row r="1270" spans="61:61">
      <c r="BI1270" s="405"/>
    </row>
    <row r="1271" spans="61:61">
      <c r="BI1271" s="405"/>
    </row>
    <row r="1272" spans="61:61">
      <c r="BI1272" s="405"/>
    </row>
    <row r="1273" spans="61:61">
      <c r="BI1273" s="405"/>
    </row>
    <row r="1274" spans="61:61">
      <c r="BI1274" s="405"/>
    </row>
    <row r="1275" spans="61:61">
      <c r="BI1275" s="405"/>
    </row>
    <row r="1276" spans="61:61">
      <c r="BI1276" s="405"/>
    </row>
    <row r="1277" spans="61:61">
      <c r="BI1277" s="405"/>
    </row>
    <row r="1278" spans="61:61">
      <c r="BI1278" s="405"/>
    </row>
    <row r="1279" spans="61:61">
      <c r="BI1279" s="405"/>
    </row>
    <row r="1280" spans="61:61">
      <c r="BI1280" s="405"/>
    </row>
    <row r="1281" spans="61:61">
      <c r="BI1281" s="405"/>
    </row>
    <row r="1282" spans="61:61">
      <c r="BI1282" s="405"/>
    </row>
    <row r="1283" spans="61:61">
      <c r="BI1283" s="405"/>
    </row>
    <row r="1284" spans="61:61">
      <c r="BI1284" s="405"/>
    </row>
    <row r="1285" spans="61:61">
      <c r="BI1285" s="405"/>
    </row>
    <row r="1286" spans="61:61">
      <c r="BI1286" s="405"/>
    </row>
    <row r="1287" spans="61:61">
      <c r="BI1287" s="405"/>
    </row>
    <row r="1288" spans="61:61">
      <c r="BI1288" s="405"/>
    </row>
    <row r="1289" spans="61:61">
      <c r="BI1289" s="405"/>
    </row>
    <row r="1290" spans="61:61">
      <c r="BI1290" s="405"/>
    </row>
    <row r="1291" spans="61:61">
      <c r="BI1291" s="405"/>
    </row>
    <row r="1292" spans="61:61">
      <c r="BI1292" s="405"/>
    </row>
    <row r="1293" spans="61:61">
      <c r="BI1293" s="405"/>
    </row>
    <row r="1294" spans="61:61">
      <c r="BI1294" s="405"/>
    </row>
    <row r="1295" spans="61:61">
      <c r="BI1295" s="405"/>
    </row>
    <row r="1296" spans="61:61">
      <c r="BI1296" s="405"/>
    </row>
    <row r="1297" spans="61:61">
      <c r="BI1297" s="405"/>
    </row>
    <row r="1298" spans="61:61">
      <c r="BI1298" s="405"/>
    </row>
    <row r="1299" spans="61:61">
      <c r="BI1299" s="405"/>
    </row>
    <row r="1300" spans="61:61">
      <c r="BI1300" s="405"/>
    </row>
    <row r="1301" spans="61:61">
      <c r="BI1301" s="405"/>
    </row>
    <row r="1302" spans="61:61">
      <c r="BI1302" s="405"/>
    </row>
    <row r="1303" spans="61:61">
      <c r="BI1303" s="405"/>
    </row>
    <row r="1304" spans="61:61">
      <c r="BI1304" s="405"/>
    </row>
    <row r="1305" spans="61:61">
      <c r="BI1305" s="405"/>
    </row>
    <row r="1306" spans="61:61">
      <c r="BI1306" s="405"/>
    </row>
    <row r="1307" spans="61:61">
      <c r="BI1307" s="405"/>
    </row>
    <row r="1308" spans="61:61">
      <c r="BI1308" s="405"/>
    </row>
    <row r="1309" spans="61:61">
      <c r="BI1309" s="405"/>
    </row>
    <row r="1310" spans="61:61">
      <c r="BI1310" s="405"/>
    </row>
    <row r="1311" spans="61:61">
      <c r="BI1311" s="405"/>
    </row>
    <row r="1312" spans="61:61">
      <c r="BI1312" s="405"/>
    </row>
    <row r="1313" spans="61:61">
      <c r="BI1313" s="405"/>
    </row>
    <row r="1314" spans="61:61">
      <c r="BI1314" s="405"/>
    </row>
    <row r="1315" spans="61:61">
      <c r="BI1315" s="405"/>
    </row>
    <row r="1316" spans="61:61">
      <c r="BI1316" s="405"/>
    </row>
    <row r="1317" spans="61:61">
      <c r="BI1317" s="405"/>
    </row>
    <row r="1318" spans="61:61">
      <c r="BI1318" s="405"/>
    </row>
    <row r="1319" spans="61:61">
      <c r="BI1319" s="405"/>
    </row>
    <row r="1320" spans="61:61">
      <c r="BI1320" s="405"/>
    </row>
    <row r="1321" spans="61:61">
      <c r="BI1321" s="405"/>
    </row>
    <row r="1322" spans="61:61">
      <c r="BI1322" s="405"/>
    </row>
    <row r="1323" spans="61:61">
      <c r="BI1323" s="405"/>
    </row>
    <row r="1324" spans="61:61">
      <c r="BI1324" s="405"/>
    </row>
    <row r="1325" spans="61:61">
      <c r="BI1325" s="405"/>
    </row>
    <row r="1326" spans="61:61">
      <c r="BI1326" s="405"/>
    </row>
    <row r="1327" spans="61:61">
      <c r="BI1327" s="405"/>
    </row>
    <row r="1328" spans="61:61">
      <c r="BI1328" s="405"/>
    </row>
    <row r="1329" spans="61:61">
      <c r="BI1329" s="405"/>
    </row>
    <row r="1330" spans="61:61">
      <c r="BI1330" s="405"/>
    </row>
    <row r="1331" spans="61:61">
      <c r="BI1331" s="405"/>
    </row>
    <row r="1332" spans="61:61">
      <c r="BI1332" s="405"/>
    </row>
    <row r="1333" spans="61:61">
      <c r="BI1333" s="405"/>
    </row>
    <row r="1334" spans="61:61">
      <c r="BI1334" s="405"/>
    </row>
    <row r="1335" spans="61:61">
      <c r="BI1335" s="405"/>
    </row>
    <row r="1336" spans="61:61">
      <c r="BI1336" s="405"/>
    </row>
    <row r="1337" spans="61:61">
      <c r="BI1337" s="405"/>
    </row>
    <row r="1338" spans="61:61">
      <c r="BI1338" s="405"/>
    </row>
    <row r="1339" spans="61:61">
      <c r="BI1339" s="405"/>
    </row>
    <row r="1340" spans="61:61">
      <c r="BI1340" s="405"/>
    </row>
    <row r="1341" spans="61:61">
      <c r="BI1341" s="405"/>
    </row>
    <row r="1342" spans="61:61">
      <c r="BI1342" s="405"/>
    </row>
    <row r="1343" spans="61:61">
      <c r="BI1343" s="405"/>
    </row>
    <row r="1344" spans="61:61">
      <c r="BI1344" s="405"/>
    </row>
    <row r="1345" spans="61:61">
      <c r="BI1345" s="405"/>
    </row>
    <row r="1346" spans="61:61">
      <c r="BI1346" s="405"/>
    </row>
    <row r="1347" spans="61:61">
      <c r="BI1347" s="405"/>
    </row>
    <row r="1348" spans="61:61">
      <c r="BI1348" s="405"/>
    </row>
    <row r="1349" spans="61:61">
      <c r="BI1349" s="405"/>
    </row>
    <row r="1350" spans="61:61">
      <c r="BI1350" s="405"/>
    </row>
    <row r="1351" spans="61:61">
      <c r="BI1351" s="405"/>
    </row>
    <row r="1352" spans="61:61">
      <c r="BI1352" s="405"/>
    </row>
    <row r="1353" spans="61:61">
      <c r="BI1353" s="405"/>
    </row>
    <row r="1354" spans="61:61">
      <c r="BI1354" s="405"/>
    </row>
    <row r="1355" spans="61:61">
      <c r="BI1355" s="405"/>
    </row>
    <row r="1356" spans="61:61">
      <c r="BI1356" s="405"/>
    </row>
    <row r="1357" spans="61:61">
      <c r="BI1357" s="405"/>
    </row>
    <row r="1358" spans="61:61">
      <c r="BI1358" s="405"/>
    </row>
    <row r="1359" spans="61:61">
      <c r="BI1359" s="405"/>
    </row>
    <row r="1360" spans="61:61">
      <c r="BI1360" s="405"/>
    </row>
    <row r="1361" spans="61:61">
      <c r="BI1361" s="405"/>
    </row>
    <row r="1362" spans="61:61">
      <c r="BI1362" s="405"/>
    </row>
    <row r="1363" spans="61:61">
      <c r="BI1363" s="405"/>
    </row>
    <row r="1364" spans="61:61">
      <c r="BI1364" s="405"/>
    </row>
    <row r="1365" spans="61:61">
      <c r="BI1365" s="405"/>
    </row>
    <row r="1366" spans="61:61">
      <c r="BI1366" s="405"/>
    </row>
    <row r="1367" spans="61:61">
      <c r="BI1367" s="405"/>
    </row>
    <row r="1368" spans="61:61">
      <c r="BI1368" s="405"/>
    </row>
    <row r="1369" spans="61:61">
      <c r="BI1369" s="405"/>
    </row>
    <row r="1370" spans="61:61">
      <c r="BI1370" s="405"/>
    </row>
    <row r="1371" spans="61:61">
      <c r="BI1371" s="405"/>
    </row>
    <row r="1372" spans="61:61">
      <c r="BI1372" s="405"/>
    </row>
    <row r="1373" spans="61:61">
      <c r="BI1373" s="405"/>
    </row>
    <row r="1374" spans="61:61">
      <c r="BI1374" s="405"/>
    </row>
    <row r="1375" spans="61:61">
      <c r="BI1375" s="405"/>
    </row>
    <row r="1376" spans="61:61">
      <c r="BI1376" s="405"/>
    </row>
    <row r="1377" spans="61:61">
      <c r="BI1377" s="405"/>
    </row>
    <row r="1378" spans="61:61">
      <c r="BI1378" s="405"/>
    </row>
    <row r="1379" spans="61:61">
      <c r="BI1379" s="405"/>
    </row>
    <row r="1380" spans="61:61">
      <c r="BI1380" s="405"/>
    </row>
    <row r="1381" spans="61:61">
      <c r="BI1381" s="405"/>
    </row>
    <row r="1382" spans="61:61">
      <c r="BI1382" s="405"/>
    </row>
    <row r="1383" spans="61:61">
      <c r="BI1383" s="405"/>
    </row>
    <row r="1384" spans="61:61">
      <c r="BI1384" s="405"/>
    </row>
    <row r="1385" spans="61:61">
      <c r="BI1385" s="405"/>
    </row>
    <row r="1386" spans="61:61">
      <c r="BI1386" s="405"/>
    </row>
    <row r="1387" spans="61:61">
      <c r="BI1387" s="405"/>
    </row>
    <row r="1388" spans="61:61">
      <c r="BI1388" s="405"/>
    </row>
    <row r="1389" spans="61:61">
      <c r="BI1389" s="405"/>
    </row>
    <row r="1390" spans="61:61">
      <c r="BI1390" s="405"/>
    </row>
    <row r="1391" spans="61:61">
      <c r="BI1391" s="405"/>
    </row>
    <row r="1392" spans="61:61">
      <c r="BI1392" s="405"/>
    </row>
    <row r="1393" spans="61:61">
      <c r="BI1393" s="405"/>
    </row>
    <row r="1394" spans="61:61">
      <c r="BI1394" s="405"/>
    </row>
    <row r="1395" spans="61:61">
      <c r="BI1395" s="405"/>
    </row>
    <row r="1396" spans="61:61">
      <c r="BI1396" s="405"/>
    </row>
    <row r="1397" spans="61:61">
      <c r="BI1397" s="405"/>
    </row>
    <row r="1398" spans="61:61">
      <c r="BI1398" s="405"/>
    </row>
    <row r="1399" spans="61:61">
      <c r="BI1399" s="405"/>
    </row>
    <row r="1400" spans="61:61">
      <c r="BI1400" s="405"/>
    </row>
    <row r="1401" spans="61:61">
      <c r="BI1401" s="405"/>
    </row>
    <row r="1402" spans="61:61">
      <c r="BI1402" s="405"/>
    </row>
    <row r="1403" spans="61:61">
      <c r="BI1403" s="405"/>
    </row>
    <row r="1404" spans="61:61">
      <c r="BI1404" s="405"/>
    </row>
    <row r="1405" spans="61:61">
      <c r="BI1405" s="405"/>
    </row>
    <row r="1406" spans="61:61">
      <c r="BI1406" s="405"/>
    </row>
    <row r="1407" spans="61:61">
      <c r="BI1407" s="405"/>
    </row>
    <row r="1408" spans="61:61">
      <c r="BI1408" s="405"/>
    </row>
    <row r="1409" spans="61:61">
      <c r="BI1409" s="405"/>
    </row>
    <row r="1410" spans="61:61">
      <c r="BI1410" s="405"/>
    </row>
    <row r="1411" spans="61:61">
      <c r="BI1411" s="405"/>
    </row>
    <row r="1412" spans="61:61">
      <c r="BI1412" s="405"/>
    </row>
    <row r="1413" spans="61:61">
      <c r="BI1413" s="405"/>
    </row>
    <row r="1414" spans="61:61">
      <c r="BI1414" s="405"/>
    </row>
    <row r="1415" spans="61:61">
      <c r="BI1415" s="405"/>
    </row>
    <row r="1416" spans="61:61">
      <c r="BI1416" s="405"/>
    </row>
    <row r="1417" spans="61:61">
      <c r="BI1417" s="405"/>
    </row>
    <row r="1418" spans="61:61">
      <c r="BI1418" s="405"/>
    </row>
    <row r="1419" spans="61:61">
      <c r="BI1419" s="405"/>
    </row>
    <row r="1420" spans="61:61">
      <c r="BI1420" s="405"/>
    </row>
    <row r="1421" spans="61:61">
      <c r="BI1421" s="405"/>
    </row>
    <row r="1422" spans="61:61">
      <c r="BI1422" s="405"/>
    </row>
    <row r="1423" spans="61:61">
      <c r="BI1423" s="405"/>
    </row>
    <row r="1424" spans="61:61">
      <c r="BI1424" s="405"/>
    </row>
    <row r="1425" spans="61:61">
      <c r="BI1425" s="405"/>
    </row>
    <row r="1426" spans="61:61">
      <c r="BI1426" s="405"/>
    </row>
    <row r="1427" spans="61:61">
      <c r="BI1427" s="405"/>
    </row>
    <row r="1428" spans="61:61">
      <c r="BI1428" s="405"/>
    </row>
    <row r="1429" spans="61:61">
      <c r="BI1429" s="405"/>
    </row>
    <row r="1430" spans="61:61">
      <c r="BI1430" s="405"/>
    </row>
    <row r="1431" spans="61:61">
      <c r="BI1431" s="405"/>
    </row>
    <row r="1432" spans="61:61">
      <c r="BI1432" s="405"/>
    </row>
    <row r="1433" spans="61:61">
      <c r="BI1433" s="405"/>
    </row>
    <row r="1434" spans="61:61">
      <c r="BI1434" s="405"/>
    </row>
    <row r="1435" spans="61:61">
      <c r="BI1435" s="405"/>
    </row>
    <row r="1436" spans="61:61">
      <c r="BI1436" s="405"/>
    </row>
    <row r="1437" spans="61:61">
      <c r="BI1437" s="405"/>
    </row>
    <row r="1438" spans="61:61">
      <c r="BI1438" s="405"/>
    </row>
    <row r="1439" spans="61:61">
      <c r="BI1439" s="405"/>
    </row>
    <row r="1440" spans="61:61">
      <c r="BI1440" s="405"/>
    </row>
    <row r="1441" spans="61:61">
      <c r="BI1441" s="405"/>
    </row>
    <row r="1442" spans="61:61">
      <c r="BI1442" s="405"/>
    </row>
    <row r="1443" spans="61:61">
      <c r="BI1443" s="405"/>
    </row>
    <row r="1444" spans="61:61">
      <c r="BI1444" s="405"/>
    </row>
    <row r="1445" spans="61:61">
      <c r="BI1445" s="405"/>
    </row>
    <row r="1446" spans="61:61">
      <c r="BI1446" s="405"/>
    </row>
    <row r="1447" spans="61:61">
      <c r="BI1447" s="405"/>
    </row>
    <row r="1448" spans="61:61">
      <c r="BI1448" s="405"/>
    </row>
    <row r="1449" spans="61:61">
      <c r="BI1449" s="405"/>
    </row>
    <row r="1450" spans="61:61">
      <c r="BI1450" s="405"/>
    </row>
    <row r="1451" spans="61:61">
      <c r="BI1451" s="405"/>
    </row>
    <row r="1452" spans="61:61">
      <c r="BI1452" s="405"/>
    </row>
    <row r="1453" spans="61:61">
      <c r="BI1453" s="405"/>
    </row>
    <row r="1454" spans="61:61">
      <c r="BI1454" s="405"/>
    </row>
    <row r="1455" spans="61:61">
      <c r="BI1455" s="405"/>
    </row>
    <row r="1456" spans="61:61">
      <c r="BI1456" s="405"/>
    </row>
    <row r="1457" spans="61:61">
      <c r="BI1457" s="405"/>
    </row>
    <row r="1458" spans="61:61">
      <c r="BI1458" s="405"/>
    </row>
    <row r="1459" spans="61:61">
      <c r="BI1459" s="405"/>
    </row>
    <row r="1460" spans="61:61">
      <c r="BI1460" s="405"/>
    </row>
    <row r="1461" spans="61:61">
      <c r="BI1461" s="405"/>
    </row>
    <row r="1462" spans="61:61">
      <c r="BI1462" s="405"/>
    </row>
    <row r="1463" spans="61:61">
      <c r="BI1463" s="405"/>
    </row>
    <row r="1464" spans="61:61">
      <c r="BI1464" s="405"/>
    </row>
    <row r="1465" spans="61:61">
      <c r="BI1465" s="405"/>
    </row>
    <row r="1466" spans="61:61">
      <c r="BI1466" s="405"/>
    </row>
    <row r="1467" spans="61:61">
      <c r="BI1467" s="405"/>
    </row>
    <row r="1468" spans="61:61">
      <c r="BI1468" s="405"/>
    </row>
    <row r="1469" spans="61:61">
      <c r="BI1469" s="405"/>
    </row>
    <row r="1470" spans="61:61">
      <c r="BI1470" s="405"/>
    </row>
    <row r="1471" spans="61:61">
      <c r="BI1471" s="405"/>
    </row>
    <row r="1472" spans="61:61">
      <c r="BI1472" s="405"/>
    </row>
    <row r="1473" spans="61:61">
      <c r="BI1473" s="405"/>
    </row>
    <row r="1474" spans="61:61">
      <c r="BI1474" s="405"/>
    </row>
    <row r="1475" spans="61:61">
      <c r="BI1475" s="405"/>
    </row>
    <row r="1476" spans="61:61">
      <c r="BI1476" s="405"/>
    </row>
    <row r="1477" spans="61:61">
      <c r="BI1477" s="405"/>
    </row>
    <row r="1478" spans="61:61">
      <c r="BI1478" s="405"/>
    </row>
    <row r="1479" spans="61:61">
      <c r="BI1479" s="405"/>
    </row>
    <row r="1480" spans="61:61">
      <c r="BI1480" s="405"/>
    </row>
    <row r="1481" spans="61:61">
      <c r="BI1481" s="405"/>
    </row>
    <row r="1482" spans="61:61">
      <c r="BI1482" s="405"/>
    </row>
    <row r="1483" spans="61:61">
      <c r="BI1483" s="405"/>
    </row>
    <row r="1484" spans="61:61">
      <c r="BI1484" s="405"/>
    </row>
    <row r="1485" spans="61:61">
      <c r="BI1485" s="405"/>
    </row>
    <row r="1486" spans="61:61">
      <c r="BI1486" s="405"/>
    </row>
    <row r="1487" spans="61:61">
      <c r="BI1487" s="405"/>
    </row>
    <row r="1488" spans="61:61">
      <c r="BI1488" s="405"/>
    </row>
    <row r="1489" spans="61:61">
      <c r="BI1489" s="405"/>
    </row>
    <row r="1490" spans="61:61">
      <c r="BI1490" s="405"/>
    </row>
    <row r="1491" spans="61:61">
      <c r="BI1491" s="405"/>
    </row>
    <row r="1492" spans="61:61">
      <c r="BI1492" s="405"/>
    </row>
    <row r="1493" spans="61:61">
      <c r="BI1493" s="405"/>
    </row>
    <row r="1494" spans="61:61">
      <c r="BI1494" s="405"/>
    </row>
    <row r="1495" spans="61:61">
      <c r="BI1495" s="405"/>
    </row>
    <row r="1496" spans="61:61">
      <c r="BI1496" s="405"/>
    </row>
    <row r="1497" spans="61:61">
      <c r="BI1497" s="405"/>
    </row>
    <row r="1498" spans="61:61">
      <c r="BI1498" s="405"/>
    </row>
    <row r="1499" spans="61:61">
      <c r="BI1499" s="405"/>
    </row>
    <row r="1500" spans="61:61">
      <c r="BI1500" s="405"/>
    </row>
    <row r="1501" spans="61:61">
      <c r="BI1501" s="405"/>
    </row>
    <row r="1502" spans="61:61">
      <c r="BI1502" s="405"/>
    </row>
    <row r="1503" spans="61:61">
      <c r="BI1503" s="405"/>
    </row>
    <row r="1504" spans="61:61">
      <c r="BI1504" s="405"/>
    </row>
    <row r="1505" spans="61:61">
      <c r="BI1505" s="405"/>
    </row>
    <row r="1506" spans="61:61">
      <c r="BI1506" s="405"/>
    </row>
    <row r="1507" spans="61:61">
      <c r="BI1507" s="405"/>
    </row>
    <row r="1508" spans="61:61">
      <c r="BI1508" s="405"/>
    </row>
    <row r="1509" spans="61:61">
      <c r="BI1509" s="405"/>
    </row>
    <row r="1510" spans="61:61">
      <c r="BI1510" s="405"/>
    </row>
    <row r="1511" spans="61:61">
      <c r="BI1511" s="405"/>
    </row>
    <row r="1512" spans="61:61">
      <c r="BI1512" s="405"/>
    </row>
    <row r="1513" spans="61:61">
      <c r="BI1513" s="405"/>
    </row>
    <row r="1514" spans="61:61">
      <c r="BI1514" s="405"/>
    </row>
    <row r="1515" spans="61:61">
      <c r="BI1515" s="405"/>
    </row>
    <row r="1516" spans="61:61">
      <c r="BI1516" s="405"/>
    </row>
    <row r="1517" spans="61:61">
      <c r="BI1517" s="405"/>
    </row>
    <row r="1518" spans="61:61">
      <c r="BI1518" s="405"/>
    </row>
    <row r="1519" spans="61:61">
      <c r="BI1519" s="405"/>
    </row>
    <row r="1520" spans="61:61">
      <c r="BI1520" s="405"/>
    </row>
    <row r="1521" spans="61:61">
      <c r="BI1521" s="405"/>
    </row>
    <row r="1522" spans="61:61">
      <c r="BI1522" s="405"/>
    </row>
    <row r="1523" spans="61:61">
      <c r="BI1523" s="405"/>
    </row>
    <row r="1524" spans="61:61">
      <c r="BI1524" s="405"/>
    </row>
    <row r="1525" spans="61:61">
      <c r="BI1525" s="405"/>
    </row>
    <row r="1526" spans="61:61">
      <c r="BI1526" s="405"/>
    </row>
    <row r="1527" spans="61:61">
      <c r="BI1527" s="405"/>
    </row>
    <row r="1528" spans="61:61">
      <c r="BI1528" s="405"/>
    </row>
    <row r="1529" spans="61:61">
      <c r="BI1529" s="405"/>
    </row>
    <row r="1530" spans="61:61">
      <c r="BI1530" s="405"/>
    </row>
    <row r="1531" spans="61:61">
      <c r="BI1531" s="405"/>
    </row>
    <row r="1532" spans="61:61">
      <c r="BI1532" s="405"/>
    </row>
    <row r="1533" spans="61:61">
      <c r="BI1533" s="405"/>
    </row>
    <row r="1534" spans="61:61">
      <c r="BI1534" s="405"/>
    </row>
    <row r="1535" spans="61:61">
      <c r="BI1535" s="405"/>
    </row>
    <row r="1536" spans="61:61">
      <c r="BI1536" s="405"/>
    </row>
    <row r="1537" spans="61:61">
      <c r="BI1537" s="405"/>
    </row>
    <row r="1538" spans="61:61">
      <c r="BI1538" s="405"/>
    </row>
    <row r="1539" spans="61:61">
      <c r="BI1539" s="405"/>
    </row>
    <row r="1540" spans="61:61">
      <c r="BI1540" s="405"/>
    </row>
    <row r="1541" spans="61:61">
      <c r="BI1541" s="405"/>
    </row>
    <row r="1542" spans="61:61">
      <c r="BI1542" s="405"/>
    </row>
    <row r="1543" spans="61:61">
      <c r="BI1543" s="405"/>
    </row>
    <row r="1544" spans="61:61">
      <c r="BI1544" s="405"/>
    </row>
    <row r="1545" spans="61:61">
      <c r="BI1545" s="405"/>
    </row>
    <row r="1546" spans="61:61">
      <c r="BI1546" s="405"/>
    </row>
    <row r="1547" spans="61:61">
      <c r="BI1547" s="405"/>
    </row>
    <row r="1548" spans="61:61">
      <c r="BI1548" s="405"/>
    </row>
    <row r="1549" spans="61:61">
      <c r="BI1549" s="405"/>
    </row>
    <row r="1550" spans="61:61">
      <c r="BI1550" s="405"/>
    </row>
    <row r="1551" spans="61:61">
      <c r="BI1551" s="405"/>
    </row>
    <row r="1552" spans="61:61">
      <c r="BI1552" s="405"/>
    </row>
    <row r="1553" spans="61:61">
      <c r="BI1553" s="405"/>
    </row>
    <row r="1554" spans="61:61">
      <c r="BI1554" s="405"/>
    </row>
    <row r="1555" spans="61:61">
      <c r="BI1555" s="405"/>
    </row>
    <row r="1556" spans="61:61">
      <c r="BI1556" s="405"/>
    </row>
    <row r="1557" spans="61:61">
      <c r="BI1557" s="405"/>
    </row>
    <row r="1558" spans="61:61">
      <c r="BI1558" s="405"/>
    </row>
    <row r="1559" spans="61:61">
      <c r="BI1559" s="405"/>
    </row>
    <row r="1560" spans="61:61">
      <c r="BI1560" s="405"/>
    </row>
    <row r="1561" spans="61:61">
      <c r="BI1561" s="405"/>
    </row>
    <row r="1562" spans="61:61">
      <c r="BI1562" s="405"/>
    </row>
    <row r="1563" spans="61:61">
      <c r="BI1563" s="405"/>
    </row>
    <row r="1564" spans="61:61">
      <c r="BI1564" s="405"/>
    </row>
    <row r="1565" spans="61:61">
      <c r="BI1565" s="405"/>
    </row>
    <row r="1566" spans="61:61">
      <c r="BI1566" s="405"/>
    </row>
    <row r="1567" spans="61:61">
      <c r="BI1567" s="405"/>
    </row>
    <row r="1568" spans="61:61">
      <c r="BI1568" s="405"/>
    </row>
    <row r="1569" spans="61:61">
      <c r="BI1569" s="405"/>
    </row>
    <row r="1570" spans="61:61">
      <c r="BI1570" s="405"/>
    </row>
    <row r="1571" spans="61:61">
      <c r="BI1571" s="405"/>
    </row>
    <row r="1572" spans="61:61">
      <c r="BI1572" s="405"/>
    </row>
    <row r="1573" spans="61:61">
      <c r="BI1573" s="405"/>
    </row>
    <row r="1574" spans="61:61">
      <c r="BI1574" s="405"/>
    </row>
    <row r="1575" spans="61:61">
      <c r="BI1575" s="405"/>
    </row>
    <row r="1576" spans="61:61">
      <c r="BI1576" s="405"/>
    </row>
    <row r="1577" spans="61:61">
      <c r="BI1577" s="405"/>
    </row>
    <row r="1578" spans="61:61">
      <c r="BI1578" s="405"/>
    </row>
    <row r="1579" spans="61:61">
      <c r="BI1579" s="405"/>
    </row>
    <row r="1580" spans="61:61">
      <c r="BI1580" s="405"/>
    </row>
    <row r="1581" spans="61:61">
      <c r="BI1581" s="405"/>
    </row>
    <row r="1582" spans="61:61">
      <c r="BI1582" s="405"/>
    </row>
    <row r="1583" spans="61:61">
      <c r="BI1583" s="405"/>
    </row>
    <row r="1584" spans="61:61">
      <c r="BI1584" s="405"/>
    </row>
    <row r="1585" spans="61:61">
      <c r="BI1585" s="405"/>
    </row>
    <row r="1586" spans="61:61">
      <c r="BI1586" s="405"/>
    </row>
    <row r="1587" spans="61:61">
      <c r="BI1587" s="405"/>
    </row>
    <row r="1588" spans="61:61">
      <c r="BI1588" s="405"/>
    </row>
    <row r="1589" spans="61:61">
      <c r="BI1589" s="405"/>
    </row>
    <row r="1590" spans="61:61">
      <c r="BI1590" s="405"/>
    </row>
    <row r="1591" spans="61:61">
      <c r="BI1591" s="405"/>
    </row>
    <row r="1592" spans="61:61">
      <c r="BI1592" s="405"/>
    </row>
    <row r="1593" spans="61:61">
      <c r="BI1593" s="405"/>
    </row>
    <row r="1594" spans="61:61">
      <c r="BI1594" s="405"/>
    </row>
    <row r="1595" spans="61:61">
      <c r="BI1595" s="405"/>
    </row>
    <row r="1596" spans="61:61">
      <c r="BI1596" s="405"/>
    </row>
    <row r="1597" spans="61:61">
      <c r="BI1597" s="405"/>
    </row>
    <row r="1598" spans="61:61">
      <c r="BI1598" s="405"/>
    </row>
    <row r="1599" spans="61:61">
      <c r="BI1599" s="405"/>
    </row>
    <row r="1600" spans="61:61">
      <c r="BI1600" s="405"/>
    </row>
    <row r="1601" spans="61:61">
      <c r="BI1601" s="405"/>
    </row>
    <row r="1602" spans="61:61">
      <c r="BI1602" s="405"/>
    </row>
    <row r="1603" spans="61:61">
      <c r="BI1603" s="405"/>
    </row>
    <row r="1604" spans="61:61">
      <c r="BI1604" s="405"/>
    </row>
    <row r="1605" spans="61:61">
      <c r="BI1605" s="405"/>
    </row>
    <row r="1606" spans="61:61">
      <c r="BI1606" s="405"/>
    </row>
    <row r="1607" spans="61:61">
      <c r="BI1607" s="405"/>
    </row>
    <row r="1608" spans="61:61">
      <c r="BI1608" s="405"/>
    </row>
    <row r="1609" spans="61:61">
      <c r="BI1609" s="405"/>
    </row>
    <row r="1610" spans="61:61">
      <c r="BI1610" s="405"/>
    </row>
    <row r="1611" spans="61:61">
      <c r="BI1611" s="405"/>
    </row>
    <row r="1612" spans="61:61">
      <c r="BI1612" s="405"/>
    </row>
    <row r="1613" spans="61:61">
      <c r="BI1613" s="405"/>
    </row>
    <row r="1614" spans="61:61">
      <c r="BI1614" s="405"/>
    </row>
    <row r="1615" spans="61:61">
      <c r="BI1615" s="405"/>
    </row>
    <row r="1616" spans="61:61">
      <c r="BI1616" s="405"/>
    </row>
    <row r="1617" spans="61:61">
      <c r="BI1617" s="405"/>
    </row>
    <row r="1618" spans="61:61">
      <c r="BI1618" s="405"/>
    </row>
    <row r="1619" spans="61:61">
      <c r="BI1619" s="405"/>
    </row>
    <row r="1620" spans="61:61">
      <c r="BI1620" s="405"/>
    </row>
    <row r="1621" spans="61:61">
      <c r="BI1621" s="405"/>
    </row>
    <row r="1622" spans="61:61">
      <c r="BI1622" s="405"/>
    </row>
    <row r="1623" spans="61:61">
      <c r="BI1623" s="405"/>
    </row>
    <row r="1624" spans="61:61">
      <c r="BI1624" s="405"/>
    </row>
    <row r="1625" spans="61:61">
      <c r="BI1625" s="405"/>
    </row>
    <row r="1626" spans="61:61">
      <c r="BI1626" s="405"/>
    </row>
    <row r="1627" spans="61:61">
      <c r="BI1627" s="405"/>
    </row>
    <row r="1628" spans="61:61">
      <c r="BI1628" s="405"/>
    </row>
    <row r="1629" spans="61:61">
      <c r="BI1629" s="405"/>
    </row>
    <row r="1630" spans="61:61">
      <c r="BI1630" s="405"/>
    </row>
    <row r="1631" spans="61:61">
      <c r="BI1631" s="405"/>
    </row>
    <row r="1632" spans="61:61">
      <c r="BI1632" s="405"/>
    </row>
    <row r="1633" spans="61:61">
      <c r="BI1633" s="405"/>
    </row>
    <row r="1634" spans="61:61">
      <c r="BI1634" s="405"/>
    </row>
    <row r="1635" spans="61:61">
      <c r="BI1635" s="405"/>
    </row>
    <row r="1636" spans="61:61">
      <c r="BI1636" s="405"/>
    </row>
    <row r="1637" spans="61:61">
      <c r="BI1637" s="405"/>
    </row>
    <row r="1638" spans="61:61">
      <c r="BI1638" s="405"/>
    </row>
    <row r="1639" spans="61:61">
      <c r="BI1639" s="405"/>
    </row>
    <row r="1640" spans="61:61">
      <c r="BI1640" s="405"/>
    </row>
    <row r="1641" spans="61:61">
      <c r="BI1641" s="405"/>
    </row>
    <row r="1642" spans="61:61">
      <c r="BI1642" s="405"/>
    </row>
    <row r="1643" spans="61:61">
      <c r="BI1643" s="405"/>
    </row>
    <row r="1644" spans="61:61">
      <c r="BI1644" s="405"/>
    </row>
    <row r="1645" spans="61:61">
      <c r="BI1645" s="405"/>
    </row>
    <row r="1646" spans="61:61">
      <c r="BI1646" s="405"/>
    </row>
    <row r="1647" spans="61:61">
      <c r="BI1647" s="405"/>
    </row>
    <row r="1648" spans="61:61">
      <c r="BI1648" s="405"/>
    </row>
    <row r="1649" spans="61:61">
      <c r="BI1649" s="405"/>
    </row>
    <row r="1650" spans="61:61">
      <c r="BI1650" s="405"/>
    </row>
    <row r="1651" spans="61:61">
      <c r="BI1651" s="405"/>
    </row>
    <row r="1652" spans="61:61">
      <c r="BI1652" s="405"/>
    </row>
    <row r="1653" spans="61:61">
      <c r="BI1653" s="405"/>
    </row>
    <row r="1654" spans="61:61">
      <c r="BI1654" s="405"/>
    </row>
    <row r="1655" spans="61:61">
      <c r="BI1655" s="405"/>
    </row>
    <row r="1656" spans="61:61">
      <c r="BI1656" s="405"/>
    </row>
    <row r="1657" spans="61:61">
      <c r="BI1657" s="405"/>
    </row>
    <row r="1658" spans="61:61">
      <c r="BI1658" s="405"/>
    </row>
    <row r="1659" spans="61:61">
      <c r="BI1659" s="405"/>
    </row>
    <row r="1660" spans="61:61">
      <c r="BI1660" s="405"/>
    </row>
    <row r="1661" spans="61:61">
      <c r="BI1661" s="405"/>
    </row>
    <row r="1662" spans="61:61">
      <c r="BI1662" s="405"/>
    </row>
    <row r="1663" spans="61:61">
      <c r="BI1663" s="405"/>
    </row>
    <row r="1664" spans="61:61">
      <c r="BI1664" s="405"/>
    </row>
    <row r="1665" spans="61:61">
      <c r="BI1665" s="405"/>
    </row>
    <row r="1666" spans="61:61">
      <c r="BI1666" s="405"/>
    </row>
    <row r="1667" spans="61:61">
      <c r="BI1667" s="405"/>
    </row>
    <row r="1668" spans="61:61">
      <c r="BI1668" s="405"/>
    </row>
    <row r="1669" spans="61:61">
      <c r="BI1669" s="405"/>
    </row>
    <row r="1670" spans="61:61">
      <c r="BI1670" s="405"/>
    </row>
    <row r="1671" spans="61:61">
      <c r="BI1671" s="405"/>
    </row>
    <row r="1672" spans="61:61">
      <c r="BI1672" s="405"/>
    </row>
    <row r="1673" spans="61:61">
      <c r="BI1673" s="405"/>
    </row>
    <row r="1674" spans="61:61">
      <c r="BI1674" s="405"/>
    </row>
    <row r="1675" spans="61:61">
      <c r="BI1675" s="405"/>
    </row>
    <row r="1676" spans="61:61">
      <c r="BI1676" s="405"/>
    </row>
    <row r="1677" spans="61:61">
      <c r="BI1677" s="405"/>
    </row>
    <row r="1678" spans="61:61">
      <c r="BI1678" s="405"/>
    </row>
    <row r="1679" spans="61:61">
      <c r="BI1679" s="405"/>
    </row>
    <row r="1680" spans="61:61">
      <c r="BI1680" s="405"/>
    </row>
    <row r="1681" spans="61:61">
      <c r="BI1681" s="405"/>
    </row>
    <row r="1682" spans="61:61">
      <c r="BI1682" s="405"/>
    </row>
    <row r="1683" spans="61:61">
      <c r="BI1683" s="405"/>
    </row>
    <row r="1684" spans="61:61">
      <c r="BI1684" s="405"/>
    </row>
    <row r="1685" spans="61:61">
      <c r="BI1685" s="405"/>
    </row>
    <row r="1686" spans="61:61">
      <c r="BI1686" s="405"/>
    </row>
    <row r="1687" spans="61:61">
      <c r="BI1687" s="405"/>
    </row>
    <row r="1688" spans="61:61">
      <c r="BI1688" s="405"/>
    </row>
    <row r="1689" spans="61:61">
      <c r="BI1689" s="405"/>
    </row>
    <row r="1690" spans="61:61">
      <c r="BI1690" s="405"/>
    </row>
    <row r="1691" spans="61:61">
      <c r="BI1691" s="405"/>
    </row>
    <row r="1692" spans="61:61">
      <c r="BI1692" s="405"/>
    </row>
    <row r="1693" spans="61:61">
      <c r="BI1693" s="405"/>
    </row>
    <row r="1694" spans="61:61">
      <c r="BI1694" s="405"/>
    </row>
    <row r="1695" spans="61:61">
      <c r="BI1695" s="405"/>
    </row>
    <row r="1696" spans="61:61">
      <c r="BI1696" s="405"/>
    </row>
    <row r="1697" spans="61:61">
      <c r="BI1697" s="405"/>
    </row>
    <row r="1698" spans="61:61">
      <c r="BI1698" s="405"/>
    </row>
    <row r="1699" spans="61:61">
      <c r="BI1699" s="405"/>
    </row>
    <row r="1700" spans="61:61">
      <c r="BI1700" s="405"/>
    </row>
    <row r="1701" spans="61:61">
      <c r="BI1701" s="405"/>
    </row>
    <row r="1702" spans="61:61">
      <c r="BI1702" s="405"/>
    </row>
    <row r="1703" spans="61:61">
      <c r="BI1703" s="405"/>
    </row>
    <row r="1704" spans="61:61">
      <c r="BI1704" s="405"/>
    </row>
    <row r="1705" spans="61:61">
      <c r="BI1705" s="405"/>
    </row>
    <row r="1706" spans="61:61">
      <c r="BI1706" s="405"/>
    </row>
    <row r="1707" spans="61:61">
      <c r="BI1707" s="405"/>
    </row>
    <row r="1708" spans="61:61">
      <c r="BI1708" s="405"/>
    </row>
    <row r="1709" spans="61:61">
      <c r="BI1709" s="405"/>
    </row>
    <row r="1710" spans="61:61">
      <c r="BI1710" s="405"/>
    </row>
    <row r="1711" spans="61:61">
      <c r="BI1711" s="405"/>
    </row>
    <row r="1712" spans="61:61">
      <c r="BI1712" s="405"/>
    </row>
    <row r="1713" spans="61:61">
      <c r="BI1713" s="405"/>
    </row>
    <row r="1714" spans="61:61">
      <c r="BI1714" s="405"/>
    </row>
    <row r="1715" spans="61:61">
      <c r="BI1715" s="405"/>
    </row>
    <row r="1716" spans="61:61">
      <c r="BI1716" s="405"/>
    </row>
    <row r="1717" spans="61:61">
      <c r="BI1717" s="405"/>
    </row>
    <row r="1718" spans="61:61">
      <c r="BI1718" s="405"/>
    </row>
    <row r="1719" spans="61:61">
      <c r="BI1719" s="405"/>
    </row>
    <row r="1720" spans="61:61">
      <c r="BI1720" s="405"/>
    </row>
    <row r="1721" spans="61:61">
      <c r="BI1721" s="405"/>
    </row>
    <row r="1722" spans="61:61">
      <c r="BI1722" s="405"/>
    </row>
    <row r="1723" spans="61:61">
      <c r="BI1723" s="405"/>
    </row>
    <row r="1724" spans="61:61">
      <c r="BI1724" s="405"/>
    </row>
    <row r="1725" spans="61:61">
      <c r="BI1725" s="405"/>
    </row>
    <row r="1726" spans="61:61">
      <c r="BI1726" s="405"/>
    </row>
    <row r="1727" spans="61:61">
      <c r="BI1727" s="405"/>
    </row>
    <row r="1728" spans="61:61">
      <c r="BI1728" s="405"/>
    </row>
    <row r="1729" spans="61:61">
      <c r="BI1729" s="405"/>
    </row>
    <row r="1730" spans="61:61">
      <c r="BI1730" s="405"/>
    </row>
    <row r="1731" spans="61:61">
      <c r="BI1731" s="405"/>
    </row>
    <row r="1732" spans="61:61">
      <c r="BI1732" s="405"/>
    </row>
    <row r="1733" spans="61:61">
      <c r="BI1733" s="405"/>
    </row>
    <row r="1734" spans="61:61">
      <c r="BI1734" s="405"/>
    </row>
    <row r="1735" spans="61:61">
      <c r="BI1735" s="405"/>
    </row>
    <row r="1736" spans="61:61">
      <c r="BI1736" s="405"/>
    </row>
    <row r="1737" spans="61:61">
      <c r="BI1737" s="405"/>
    </row>
    <row r="1738" spans="61:61">
      <c r="BI1738" s="405"/>
    </row>
    <row r="1739" spans="61:61">
      <c r="BI1739" s="405"/>
    </row>
    <row r="1740" spans="61:61">
      <c r="BI1740" s="405"/>
    </row>
    <row r="1741" spans="61:61">
      <c r="BI1741" s="405"/>
    </row>
    <row r="1742" spans="61:61">
      <c r="BI1742" s="405"/>
    </row>
    <row r="1743" spans="61:61">
      <c r="BI1743" s="405"/>
    </row>
    <row r="1744" spans="61:61">
      <c r="BI1744" s="405"/>
    </row>
    <row r="1745" spans="61:61">
      <c r="BI1745" s="405"/>
    </row>
    <row r="1746" spans="61:61">
      <c r="BI1746" s="405"/>
    </row>
    <row r="1747" spans="61:61">
      <c r="BI1747" s="405"/>
    </row>
    <row r="1748" spans="61:61">
      <c r="BI1748" s="405"/>
    </row>
    <row r="1749" spans="61:61">
      <c r="BI1749" s="405"/>
    </row>
    <row r="1750" spans="61:61">
      <c r="BI1750" s="405"/>
    </row>
    <row r="1751" spans="61:61">
      <c r="BI1751" s="405"/>
    </row>
    <row r="1752" spans="61:61">
      <c r="BI1752" s="405"/>
    </row>
    <row r="1753" spans="61:61">
      <c r="BI1753" s="405"/>
    </row>
    <row r="1754" spans="61:61">
      <c r="BI1754" s="405"/>
    </row>
    <row r="1755" spans="61:61">
      <c r="BI1755" s="405"/>
    </row>
    <row r="1756" spans="61:61">
      <c r="BI1756" s="405"/>
    </row>
    <row r="1757" spans="61:61">
      <c r="BI1757" s="405"/>
    </row>
    <row r="1758" spans="61:61">
      <c r="BI1758" s="405"/>
    </row>
    <row r="1759" spans="61:61">
      <c r="BI1759" s="405"/>
    </row>
    <row r="1760" spans="61:61">
      <c r="BI1760" s="405"/>
    </row>
    <row r="1761" spans="61:61">
      <c r="BI1761" s="405"/>
    </row>
    <row r="1762" spans="61:61">
      <c r="BI1762" s="405"/>
    </row>
    <row r="1763" spans="61:61">
      <c r="BI1763" s="405"/>
    </row>
    <row r="1764" spans="61:61">
      <c r="BI1764" s="405"/>
    </row>
    <row r="1765" spans="61:61">
      <c r="BI1765" s="405"/>
    </row>
    <row r="1766" spans="61:61">
      <c r="BI1766" s="405"/>
    </row>
    <row r="1767" spans="61:61">
      <c r="BI1767" s="405"/>
    </row>
    <row r="1768" spans="61:61">
      <c r="BI1768" s="405"/>
    </row>
    <row r="1769" spans="61:61">
      <c r="BI1769" s="405"/>
    </row>
    <row r="1770" spans="61:61">
      <c r="BI1770" s="405"/>
    </row>
    <row r="1771" spans="61:61">
      <c r="BI1771" s="405"/>
    </row>
    <row r="1772" spans="61:61">
      <c r="BI1772" s="405"/>
    </row>
    <row r="1773" spans="61:61">
      <c r="BI1773" s="405"/>
    </row>
    <row r="1774" spans="61:61">
      <c r="BI1774" s="405"/>
    </row>
    <row r="1775" spans="61:61">
      <c r="BI1775" s="405"/>
    </row>
    <row r="1776" spans="61:61">
      <c r="BI1776" s="405"/>
    </row>
    <row r="1777" spans="61:61">
      <c r="BI1777" s="405"/>
    </row>
    <row r="1778" spans="61:61">
      <c r="BI1778" s="405"/>
    </row>
    <row r="1779" spans="61:61">
      <c r="BI1779" s="405"/>
    </row>
    <row r="1780" spans="61:61">
      <c r="BI1780" s="405"/>
    </row>
    <row r="1781" spans="61:61">
      <c r="BI1781" s="405"/>
    </row>
    <row r="1782" spans="61:61">
      <c r="BI1782" s="405"/>
    </row>
    <row r="1783" spans="61:61">
      <c r="BI1783" s="405"/>
    </row>
    <row r="1784" spans="61:61">
      <c r="BI1784" s="405"/>
    </row>
    <row r="1785" spans="61:61">
      <c r="BI1785" s="405"/>
    </row>
    <row r="1786" spans="61:61">
      <c r="BI1786" s="405"/>
    </row>
    <row r="1787" spans="61:61">
      <c r="BI1787" s="405"/>
    </row>
    <row r="1788" spans="61:61">
      <c r="BI1788" s="405"/>
    </row>
    <row r="1789" spans="61:61">
      <c r="BI1789" s="405"/>
    </row>
    <row r="1790" spans="61:61">
      <c r="BI1790" s="405"/>
    </row>
    <row r="1791" spans="61:61">
      <c r="BI1791" s="405"/>
    </row>
    <row r="1792" spans="61:61">
      <c r="BI1792" s="405"/>
    </row>
    <row r="1793" spans="61:61">
      <c r="BI1793" s="405"/>
    </row>
    <row r="1794" spans="61:61">
      <c r="BI1794" s="405"/>
    </row>
    <row r="1795" spans="61:61">
      <c r="BI1795" s="405"/>
    </row>
    <row r="1796" spans="61:61">
      <c r="BI1796" s="405"/>
    </row>
    <row r="1797" spans="61:61">
      <c r="BI1797" s="405"/>
    </row>
    <row r="1798" spans="61:61">
      <c r="BI1798" s="405"/>
    </row>
    <row r="1799" spans="61:61">
      <c r="BI1799" s="405"/>
    </row>
    <row r="1800" spans="61:61">
      <c r="BI1800" s="405"/>
    </row>
    <row r="1801" spans="61:61">
      <c r="BI1801" s="405"/>
    </row>
    <row r="1802" spans="61:61">
      <c r="BI1802" s="405"/>
    </row>
    <row r="1803" spans="61:61">
      <c r="BI1803" s="405"/>
    </row>
    <row r="1804" spans="61:61">
      <c r="BI1804" s="405"/>
    </row>
    <row r="1805" spans="61:61">
      <c r="BI1805" s="405"/>
    </row>
    <row r="1806" spans="61:61">
      <c r="BI1806" s="405"/>
    </row>
    <row r="1807" spans="61:61">
      <c r="BI1807" s="405"/>
    </row>
    <row r="1808" spans="61:61">
      <c r="BI1808" s="405"/>
    </row>
    <row r="1809" spans="61:61">
      <c r="BI1809" s="405"/>
    </row>
    <row r="1810" spans="61:61">
      <c r="BI1810" s="405"/>
    </row>
    <row r="1811" spans="61:61">
      <c r="BI1811" s="405"/>
    </row>
    <row r="1812" spans="61:61">
      <c r="BI1812" s="405"/>
    </row>
    <row r="1813" spans="61:61">
      <c r="BI1813" s="405"/>
    </row>
    <row r="1814" spans="61:61">
      <c r="BI1814" s="405"/>
    </row>
    <row r="1815" spans="61:61">
      <c r="BI1815" s="405"/>
    </row>
    <row r="1816" spans="61:61">
      <c r="BI1816" s="405"/>
    </row>
    <row r="1817" spans="61:61">
      <c r="BI1817" s="405"/>
    </row>
    <row r="1818" spans="61:61">
      <c r="BI1818" s="405"/>
    </row>
    <row r="1819" spans="61:61">
      <c r="BI1819" s="405"/>
    </row>
    <row r="1820" spans="61:61">
      <c r="BI1820" s="405"/>
    </row>
    <row r="1821" spans="61:61">
      <c r="BI1821" s="405"/>
    </row>
    <row r="1822" spans="61:61">
      <c r="BI1822" s="405"/>
    </row>
    <row r="1823" spans="61:61">
      <c r="BI1823" s="405"/>
    </row>
    <row r="1824" spans="61:61">
      <c r="BI1824" s="405"/>
    </row>
    <row r="1825" spans="61:61">
      <c r="BI1825" s="405"/>
    </row>
    <row r="1826" spans="61:61">
      <c r="BI1826" s="405"/>
    </row>
    <row r="1827" spans="61:61">
      <c r="BI1827" s="405"/>
    </row>
    <row r="1828" spans="61:61">
      <c r="BI1828" s="405"/>
    </row>
    <row r="1829" spans="61:61">
      <c r="BI1829" s="405"/>
    </row>
    <row r="1830" spans="61:61">
      <c r="BI1830" s="405"/>
    </row>
    <row r="1831" spans="61:61">
      <c r="BI1831" s="405"/>
    </row>
    <row r="1832" spans="61:61">
      <c r="BI1832" s="405"/>
    </row>
    <row r="1833" spans="61:61">
      <c r="BI1833" s="405"/>
    </row>
    <row r="1834" spans="61:61">
      <c r="BI1834" s="405"/>
    </row>
    <row r="1835" spans="61:61">
      <c r="BI1835" s="405"/>
    </row>
    <row r="1836" spans="61:61">
      <c r="BI1836" s="405"/>
    </row>
    <row r="1837" spans="61:61">
      <c r="BI1837" s="405"/>
    </row>
    <row r="1838" spans="61:61">
      <c r="BI1838" s="405"/>
    </row>
    <row r="1839" spans="61:61">
      <c r="BI1839" s="405"/>
    </row>
    <row r="1840" spans="61:61">
      <c r="BI1840" s="405"/>
    </row>
    <row r="1841" spans="61:61">
      <c r="BI1841" s="405"/>
    </row>
    <row r="1842" spans="61:61">
      <c r="BI1842" s="405"/>
    </row>
    <row r="1843" spans="61:61">
      <c r="BI1843" s="405"/>
    </row>
    <row r="1844" spans="61:61">
      <c r="BI1844" s="405"/>
    </row>
    <row r="1845" spans="61:61">
      <c r="BI1845" s="405"/>
    </row>
    <row r="1846" spans="61:61">
      <c r="BI1846" s="405"/>
    </row>
    <row r="1847" spans="61:61">
      <c r="BI1847" s="405"/>
    </row>
    <row r="1848" spans="61:61">
      <c r="BI1848" s="405"/>
    </row>
    <row r="1849" spans="61:61">
      <c r="BI1849" s="405"/>
    </row>
    <row r="1850" spans="61:61">
      <c r="BI1850" s="405"/>
    </row>
    <row r="1851" spans="61:61">
      <c r="BI1851" s="405"/>
    </row>
    <row r="1852" spans="61:61">
      <c r="BI1852" s="405"/>
    </row>
    <row r="1853" spans="61:61">
      <c r="BI1853" s="405"/>
    </row>
    <row r="1854" spans="61:61">
      <c r="BI1854" s="405"/>
    </row>
    <row r="1855" spans="61:61">
      <c r="BI1855" s="405"/>
    </row>
    <row r="1856" spans="61:61">
      <c r="BI1856" s="405"/>
    </row>
    <row r="1857" spans="61:61">
      <c r="BI1857" s="405"/>
    </row>
    <row r="1858" spans="61:61">
      <c r="BI1858" s="405"/>
    </row>
    <row r="1859" spans="61:61">
      <c r="BI1859" s="405"/>
    </row>
    <row r="1860" spans="61:61">
      <c r="BI1860" s="405"/>
    </row>
    <row r="1861" spans="61:61">
      <c r="BI1861" s="405"/>
    </row>
    <row r="1862" spans="61:61">
      <c r="BI1862" s="405"/>
    </row>
    <row r="1863" spans="61:61">
      <c r="BI1863" s="405"/>
    </row>
    <row r="1864" spans="61:61">
      <c r="BI1864" s="405"/>
    </row>
    <row r="1865" spans="61:61">
      <c r="BI1865" s="405"/>
    </row>
    <row r="1866" spans="61:61">
      <c r="BI1866" s="405"/>
    </row>
    <row r="1867" spans="61:61">
      <c r="BI1867" s="405"/>
    </row>
    <row r="1868" spans="61:61">
      <c r="BI1868" s="405"/>
    </row>
    <row r="1869" spans="61:61">
      <c r="BI1869" s="405"/>
    </row>
    <row r="1870" spans="61:61">
      <c r="BI1870" s="405"/>
    </row>
    <row r="1871" spans="61:61">
      <c r="BI1871" s="405"/>
    </row>
    <row r="1872" spans="61:61">
      <c r="BI1872" s="405"/>
    </row>
    <row r="1873" spans="61:61">
      <c r="BI1873" s="405"/>
    </row>
    <row r="1874" spans="61:61">
      <c r="BI1874" s="405"/>
    </row>
    <row r="1875" spans="61:61">
      <c r="BI1875" s="405"/>
    </row>
    <row r="1876" spans="61:61">
      <c r="BI1876" s="405"/>
    </row>
    <row r="1877" spans="61:61">
      <c r="BI1877" s="405"/>
    </row>
    <row r="1878" spans="61:61">
      <c r="BI1878" s="405"/>
    </row>
    <row r="1879" spans="61:61">
      <c r="BI1879" s="405"/>
    </row>
    <row r="1880" spans="61:61">
      <c r="BI1880" s="405"/>
    </row>
    <row r="1881" spans="61:61">
      <c r="BI1881" s="405"/>
    </row>
    <row r="1882" spans="61:61">
      <c r="BI1882" s="405"/>
    </row>
    <row r="1883" spans="61:61">
      <c r="BI1883" s="405"/>
    </row>
    <row r="1884" spans="61:61">
      <c r="BI1884" s="405"/>
    </row>
    <row r="1885" spans="61:61">
      <c r="BI1885" s="405"/>
    </row>
    <row r="1886" spans="61:61">
      <c r="BI1886" s="405"/>
    </row>
    <row r="1887" spans="61:61">
      <c r="BI1887" s="405"/>
    </row>
    <row r="1888" spans="61:61">
      <c r="BI1888" s="405"/>
    </row>
    <row r="1889" spans="61:61">
      <c r="BI1889" s="405"/>
    </row>
    <row r="1890" spans="61:61">
      <c r="BI1890" s="405"/>
    </row>
    <row r="1891" spans="61:61">
      <c r="BI1891" s="405"/>
    </row>
    <row r="1892" spans="61:61">
      <c r="BI1892" s="405"/>
    </row>
    <row r="1893" spans="61:61">
      <c r="BI1893" s="405"/>
    </row>
    <row r="1894" spans="61:61">
      <c r="BI1894" s="405"/>
    </row>
    <row r="1895" spans="61:61">
      <c r="BI1895" s="405"/>
    </row>
    <row r="1896" spans="61:61">
      <c r="BI1896" s="405"/>
    </row>
    <row r="1897" spans="61:61">
      <c r="BI1897" s="405"/>
    </row>
    <row r="1898" spans="61:61">
      <c r="BI1898" s="405"/>
    </row>
    <row r="1899" spans="61:61">
      <c r="BI1899" s="405"/>
    </row>
    <row r="1900" spans="61:61">
      <c r="BI1900" s="405"/>
    </row>
    <row r="1901" spans="61:61">
      <c r="BI1901" s="405"/>
    </row>
    <row r="1902" spans="61:61">
      <c r="BI1902" s="405"/>
    </row>
    <row r="1903" spans="61:61">
      <c r="BI1903" s="405"/>
    </row>
    <row r="1904" spans="61:61">
      <c r="BI1904" s="405"/>
    </row>
    <row r="1905" spans="61:61">
      <c r="BI1905" s="405"/>
    </row>
    <row r="1906" spans="61:61">
      <c r="BI1906" s="405"/>
    </row>
    <row r="1907" spans="61:61">
      <c r="BI1907" s="405"/>
    </row>
    <row r="1908" spans="61:61">
      <c r="BI1908" s="405"/>
    </row>
    <row r="1909" spans="61:61">
      <c r="BI1909" s="405"/>
    </row>
    <row r="1910" spans="61:61">
      <c r="BI1910" s="405"/>
    </row>
    <row r="1911" spans="61:61">
      <c r="BI1911" s="405"/>
    </row>
    <row r="1912" spans="61:61">
      <c r="BI1912" s="405"/>
    </row>
    <row r="1913" spans="61:61">
      <c r="BI1913" s="405"/>
    </row>
    <row r="1914" spans="61:61">
      <c r="BI1914" s="405"/>
    </row>
    <row r="1915" spans="61:61">
      <c r="BI1915" s="405"/>
    </row>
    <row r="1916" spans="61:61">
      <c r="BI1916" s="405"/>
    </row>
    <row r="1917" spans="61:61">
      <c r="BI1917" s="405"/>
    </row>
    <row r="1918" spans="61:61">
      <c r="BI1918" s="405"/>
    </row>
    <row r="1919" spans="61:61">
      <c r="BI1919" s="405"/>
    </row>
    <row r="1920" spans="61:61">
      <c r="BI1920" s="405"/>
    </row>
    <row r="1921" spans="61:61">
      <c r="BI1921" s="405"/>
    </row>
    <row r="1922" spans="61:61">
      <c r="BI1922" s="405"/>
    </row>
    <row r="1923" spans="61:61">
      <c r="BI1923" s="405"/>
    </row>
    <row r="1924" spans="61:61">
      <c r="BI1924" s="405"/>
    </row>
    <row r="1925" spans="61:61">
      <c r="BI1925" s="405"/>
    </row>
    <row r="1926" spans="61:61">
      <c r="BI1926" s="405"/>
    </row>
    <row r="1927" spans="61:61">
      <c r="BI1927" s="405"/>
    </row>
    <row r="1928" spans="61:61">
      <c r="BI1928" s="405"/>
    </row>
    <row r="1929" spans="61:61">
      <c r="BI1929" s="405"/>
    </row>
    <row r="1930" spans="61:61">
      <c r="BI1930" s="405"/>
    </row>
    <row r="1931" spans="61:61">
      <c r="BI1931" s="405"/>
    </row>
    <row r="1932" spans="61:61">
      <c r="BI1932" s="405"/>
    </row>
    <row r="1933" spans="61:61">
      <c r="BI1933" s="405"/>
    </row>
    <row r="1934" spans="61:61">
      <c r="BI1934" s="405"/>
    </row>
    <row r="1935" spans="61:61">
      <c r="BI1935" s="405"/>
    </row>
    <row r="1936" spans="61:61">
      <c r="BI1936" s="405"/>
    </row>
    <row r="1937" spans="61:61">
      <c r="BI1937" s="405"/>
    </row>
    <row r="1938" spans="61:61">
      <c r="BI1938" s="405"/>
    </row>
    <row r="1939" spans="61:61">
      <c r="BI1939" s="405"/>
    </row>
    <row r="1940" spans="61:61">
      <c r="BI1940" s="405"/>
    </row>
    <row r="1941" spans="61:61">
      <c r="BI1941" s="405"/>
    </row>
    <row r="1942" spans="61:61">
      <c r="BI1942" s="405"/>
    </row>
    <row r="1943" spans="61:61">
      <c r="BI1943" s="405"/>
    </row>
    <row r="1944" spans="61:61">
      <c r="BI1944" s="405"/>
    </row>
    <row r="1945" spans="61:61">
      <c r="BI1945" s="405"/>
    </row>
    <row r="1946" spans="61:61">
      <c r="BI1946" s="405"/>
    </row>
    <row r="1947" spans="61:61">
      <c r="BI1947" s="405"/>
    </row>
    <row r="1948" spans="61:61">
      <c r="BI1948" s="405"/>
    </row>
    <row r="1949" spans="61:61">
      <c r="BI1949" s="405"/>
    </row>
    <row r="1950" spans="61:61">
      <c r="BI1950" s="405"/>
    </row>
    <row r="1951" spans="61:61">
      <c r="BI1951" s="405"/>
    </row>
    <row r="1952" spans="61:61">
      <c r="BI1952" s="405"/>
    </row>
    <row r="1953" spans="61:61">
      <c r="BI1953" s="405"/>
    </row>
    <row r="1954" spans="61:61">
      <c r="BI1954" s="405"/>
    </row>
    <row r="1955" spans="61:61">
      <c r="BI1955" s="405"/>
    </row>
    <row r="1956" spans="61:61">
      <c r="BI1956" s="405"/>
    </row>
    <row r="1957" spans="61:61">
      <c r="BI1957" s="405"/>
    </row>
    <row r="1958" spans="61:61">
      <c r="BI1958" s="405"/>
    </row>
    <row r="1959" spans="61:61">
      <c r="BI1959" s="405"/>
    </row>
    <row r="1960" spans="61:61">
      <c r="BI1960" s="405"/>
    </row>
    <row r="1961" spans="61:61">
      <c r="BI1961" s="405"/>
    </row>
    <row r="1962" spans="61:61">
      <c r="BI1962" s="405"/>
    </row>
    <row r="1963" spans="61:61">
      <c r="BI1963" s="405"/>
    </row>
    <row r="1964" spans="61:61">
      <c r="BI1964" s="405"/>
    </row>
    <row r="1965" spans="61:61">
      <c r="BI1965" s="405"/>
    </row>
    <row r="1966" spans="61:61">
      <c r="BI1966" s="405"/>
    </row>
    <row r="1967" spans="61:61">
      <c r="BI1967" s="405"/>
    </row>
    <row r="1968" spans="61:61">
      <c r="BI1968" s="405"/>
    </row>
    <row r="1969" spans="61:61">
      <c r="BI1969" s="405"/>
    </row>
    <row r="1970" spans="61:61">
      <c r="BI1970" s="405"/>
    </row>
    <row r="1971" spans="61:61">
      <c r="BI1971" s="405"/>
    </row>
    <row r="1972" spans="61:61">
      <c r="BI1972" s="405"/>
    </row>
    <row r="1973" spans="61:61">
      <c r="BI1973" s="405"/>
    </row>
    <row r="1974" spans="61:61">
      <c r="BI1974" s="405"/>
    </row>
    <row r="1975" spans="61:61">
      <c r="BI1975" s="405"/>
    </row>
    <row r="1976" spans="61:61">
      <c r="BI1976" s="405"/>
    </row>
    <row r="1977" spans="61:61">
      <c r="BI1977" s="405"/>
    </row>
    <row r="1978" spans="61:61">
      <c r="BI1978" s="405"/>
    </row>
    <row r="1979" spans="61:61">
      <c r="BI1979" s="405"/>
    </row>
    <row r="1980" spans="61:61">
      <c r="BI1980" s="405"/>
    </row>
    <row r="1981" spans="61:61">
      <c r="BI1981" s="405"/>
    </row>
    <row r="1982" spans="61:61">
      <c r="BI1982" s="405"/>
    </row>
    <row r="1983" spans="61:61">
      <c r="BI1983" s="405"/>
    </row>
    <row r="1984" spans="61:61">
      <c r="BI1984" s="405"/>
    </row>
    <row r="1985" spans="61:61">
      <c r="BI1985" s="405"/>
    </row>
    <row r="1986" spans="61:61">
      <c r="BI1986" s="405"/>
    </row>
    <row r="1987" spans="61:61">
      <c r="BI1987" s="405"/>
    </row>
    <row r="1988" spans="61:61">
      <c r="BI1988" s="405"/>
    </row>
    <row r="1989" spans="61:61">
      <c r="BI1989" s="405"/>
    </row>
    <row r="1990" spans="61:61">
      <c r="BI1990" s="405"/>
    </row>
    <row r="1991" spans="61:61">
      <c r="BI1991" s="405"/>
    </row>
    <row r="1992" spans="61:61">
      <c r="BI1992" s="405"/>
    </row>
    <row r="1993" spans="61:61">
      <c r="BI1993" s="405"/>
    </row>
    <row r="1994" spans="61:61">
      <c r="BI1994" s="405"/>
    </row>
    <row r="1995" spans="61:61">
      <c r="BI1995" s="405"/>
    </row>
    <row r="1996" spans="61:61">
      <c r="BI1996" s="405"/>
    </row>
    <row r="1997" spans="61:61">
      <c r="BI1997" s="405"/>
    </row>
    <row r="1998" spans="61:61">
      <c r="BI1998" s="405"/>
    </row>
    <row r="1999" spans="61:61">
      <c r="BI1999" s="405"/>
    </row>
    <row r="2000" spans="61:61">
      <c r="BI2000" s="405"/>
    </row>
    <row r="2001" spans="61:61">
      <c r="BI2001" s="405"/>
    </row>
    <row r="2002" spans="61:61">
      <c r="BI2002" s="405"/>
    </row>
    <row r="2003" spans="61:61">
      <c r="BI2003" s="405"/>
    </row>
    <row r="2004" spans="61:61">
      <c r="BI2004" s="405"/>
    </row>
    <row r="2005" spans="61:61">
      <c r="BI2005" s="405"/>
    </row>
    <row r="2006" spans="61:61">
      <c r="BI2006" s="405"/>
    </row>
    <row r="2007" spans="61:61">
      <c r="BI2007" s="405"/>
    </row>
    <row r="2008" spans="61:61">
      <c r="BI2008" s="405"/>
    </row>
    <row r="2009" spans="61:61">
      <c r="BI2009" s="405"/>
    </row>
    <row r="2010" spans="61:61">
      <c r="BI2010" s="405"/>
    </row>
    <row r="2011" spans="61:61">
      <c r="BI2011" s="405"/>
    </row>
    <row r="2012" spans="61:61">
      <c r="BI2012" s="405"/>
    </row>
    <row r="2013" spans="61:61">
      <c r="BI2013" s="405"/>
    </row>
    <row r="2014" spans="61:61">
      <c r="BI2014" s="405"/>
    </row>
    <row r="2015" spans="61:61">
      <c r="BI2015" s="405"/>
    </row>
    <row r="2016" spans="61:61">
      <c r="BI2016" s="405"/>
    </row>
    <row r="2017" spans="61:61">
      <c r="BI2017" s="405"/>
    </row>
    <row r="2018" spans="61:61">
      <c r="BI2018" s="405"/>
    </row>
    <row r="2019" spans="61:61">
      <c r="BI2019" s="405"/>
    </row>
    <row r="2020" spans="61:61">
      <c r="BI2020" s="405"/>
    </row>
    <row r="2021" spans="61:61">
      <c r="BI2021" s="405"/>
    </row>
    <row r="2022" spans="61:61">
      <c r="BI2022" s="405"/>
    </row>
    <row r="2023" spans="61:61">
      <c r="BI2023" s="405"/>
    </row>
    <row r="2024" spans="61:61">
      <c r="BI2024" s="405"/>
    </row>
    <row r="2025" spans="61:61">
      <c r="BI2025" s="405"/>
    </row>
    <row r="2026" spans="61:61">
      <c r="BI2026" s="405"/>
    </row>
    <row r="2027" spans="61:61">
      <c r="BI2027" s="405"/>
    </row>
    <row r="2028" spans="61:61">
      <c r="BI2028" s="405"/>
    </row>
    <row r="2029" spans="61:61">
      <c r="BI2029" s="405"/>
    </row>
    <row r="2030" spans="61:61">
      <c r="BI2030" s="405"/>
    </row>
    <row r="2031" spans="61:61">
      <c r="BI2031" s="405"/>
    </row>
    <row r="2032" spans="61:61">
      <c r="BI2032" s="405"/>
    </row>
    <row r="2033" spans="61:61">
      <c r="BI2033" s="405"/>
    </row>
    <row r="2034" spans="61:61">
      <c r="BI2034" s="405"/>
    </row>
    <row r="2035" spans="61:61">
      <c r="BI2035" s="405"/>
    </row>
    <row r="2036" spans="61:61">
      <c r="BI2036" s="405"/>
    </row>
    <row r="2037" spans="61:61">
      <c r="BI2037" s="405"/>
    </row>
    <row r="2038" spans="61:61">
      <c r="BI2038" s="405"/>
    </row>
    <row r="2039" spans="61:61">
      <c r="BI2039" s="405"/>
    </row>
    <row r="2040" spans="61:61">
      <c r="BI2040" s="405"/>
    </row>
    <row r="2041" spans="61:61">
      <c r="BI2041" s="405"/>
    </row>
    <row r="2042" spans="61:61">
      <c r="BI2042" s="405"/>
    </row>
    <row r="2043" spans="61:61">
      <c r="BI2043" s="405"/>
    </row>
    <row r="2044" spans="61:61">
      <c r="BI2044" s="405"/>
    </row>
    <row r="2045" spans="61:61">
      <c r="BI2045" s="405"/>
    </row>
    <row r="2046" spans="61:61">
      <c r="BI2046" s="405"/>
    </row>
    <row r="2047" spans="61:61">
      <c r="BI2047" s="405"/>
    </row>
    <row r="2048" spans="61:61">
      <c r="BI2048" s="405"/>
    </row>
    <row r="2049" spans="61:61">
      <c r="BI2049" s="405"/>
    </row>
    <row r="2050" spans="61:61">
      <c r="BI2050" s="405"/>
    </row>
    <row r="2051" spans="61:61">
      <c r="BI2051" s="405"/>
    </row>
    <row r="2052" spans="61:61">
      <c r="BI2052" s="405"/>
    </row>
    <row r="2053" spans="61:61">
      <c r="BI2053" s="405"/>
    </row>
    <row r="2054" spans="61:61">
      <c r="BI2054" s="405"/>
    </row>
    <row r="2055" spans="61:61">
      <c r="BI2055" s="405"/>
    </row>
    <row r="2056" spans="61:61">
      <c r="BI2056" s="405"/>
    </row>
    <row r="2057" spans="61:61">
      <c r="BI2057" s="405"/>
    </row>
    <row r="2058" spans="61:61">
      <c r="BI2058" s="405"/>
    </row>
    <row r="2059" spans="61:61">
      <c r="BI2059" s="405"/>
    </row>
    <row r="2060" spans="61:61">
      <c r="BI2060" s="405"/>
    </row>
    <row r="2061" spans="61:61">
      <c r="BI2061" s="405"/>
    </row>
    <row r="2062" spans="61:61">
      <c r="BI2062" s="405"/>
    </row>
    <row r="2063" spans="61:61">
      <c r="BI2063" s="405"/>
    </row>
    <row r="2064" spans="61:61">
      <c r="BI2064" s="405"/>
    </row>
    <row r="2065" spans="61:61">
      <c r="BI2065" s="405"/>
    </row>
    <row r="2066" spans="61:61">
      <c r="BI2066" s="405"/>
    </row>
    <row r="2067" spans="61:61">
      <c r="BI2067" s="405"/>
    </row>
    <row r="2068" spans="61:61">
      <c r="BI2068" s="405"/>
    </row>
    <row r="2069" spans="61:61">
      <c r="BI2069" s="405"/>
    </row>
    <row r="2070" spans="61:61">
      <c r="BI2070" s="405"/>
    </row>
    <row r="2071" spans="61:61">
      <c r="BI2071" s="405"/>
    </row>
    <row r="2072" spans="61:61">
      <c r="BI2072" s="405"/>
    </row>
    <row r="2073" spans="61:61">
      <c r="BI2073" s="405"/>
    </row>
    <row r="2074" spans="61:61">
      <c r="BI2074" s="405"/>
    </row>
    <row r="2075" spans="61:61">
      <c r="BI2075" s="405"/>
    </row>
    <row r="2076" spans="61:61">
      <c r="BI2076" s="405"/>
    </row>
    <row r="2077" spans="61:61">
      <c r="BI2077" s="405"/>
    </row>
    <row r="2078" spans="61:61">
      <c r="BI2078" s="405"/>
    </row>
    <row r="2079" spans="61:61">
      <c r="BI2079" s="405"/>
    </row>
    <row r="2080" spans="61:61">
      <c r="BI2080" s="405"/>
    </row>
    <row r="2081" spans="61:61">
      <c r="BI2081" s="405"/>
    </row>
    <row r="2082" spans="61:61">
      <c r="BI2082" s="405"/>
    </row>
    <row r="2083" spans="61:61">
      <c r="BI2083" s="405"/>
    </row>
    <row r="2084" spans="61:61">
      <c r="BI2084" s="405"/>
    </row>
    <row r="2085" spans="61:61">
      <c r="BI2085" s="405"/>
    </row>
    <row r="2086" spans="61:61">
      <c r="BI2086" s="405"/>
    </row>
    <row r="2087" spans="61:61">
      <c r="BI2087" s="405"/>
    </row>
    <row r="2088" spans="61:61">
      <c r="BI2088" s="405"/>
    </row>
    <row r="2089" spans="61:61">
      <c r="BI2089" s="405"/>
    </row>
    <row r="2090" spans="61:61">
      <c r="BI2090" s="405"/>
    </row>
    <row r="2091" spans="61:61">
      <c r="BI2091" s="405"/>
    </row>
    <row r="2092" spans="61:61">
      <c r="BI2092" s="405"/>
    </row>
    <row r="2093" spans="61:61">
      <c r="BI2093" s="405"/>
    </row>
    <row r="2094" spans="61:61">
      <c r="BI2094" s="405"/>
    </row>
    <row r="2095" spans="61:61">
      <c r="BI2095" s="405"/>
    </row>
    <row r="2096" spans="61:61">
      <c r="BI2096" s="405"/>
    </row>
    <row r="2097" spans="61:61">
      <c r="BI2097" s="405"/>
    </row>
    <row r="2098" spans="61:61">
      <c r="BI2098" s="405"/>
    </row>
    <row r="2099" spans="61:61">
      <c r="BI2099" s="405"/>
    </row>
    <row r="2100" spans="61:61">
      <c r="BI2100" s="405"/>
    </row>
    <row r="2101" spans="61:61">
      <c r="BI2101" s="405"/>
    </row>
    <row r="2102" spans="61:61">
      <c r="BI2102" s="405"/>
    </row>
    <row r="2103" spans="61:61">
      <c r="BI2103" s="405"/>
    </row>
    <row r="2104" spans="61:61">
      <c r="BI2104" s="405"/>
    </row>
    <row r="2105" spans="61:61">
      <c r="BI2105" s="405"/>
    </row>
    <row r="2106" spans="61:61">
      <c r="BI2106" s="405"/>
    </row>
    <row r="2107" spans="61:61">
      <c r="BI2107" s="405"/>
    </row>
    <row r="2108" spans="61:61">
      <c r="BI2108" s="405"/>
    </row>
    <row r="2109" spans="61:61">
      <c r="BI2109" s="405"/>
    </row>
    <row r="2110" spans="61:61">
      <c r="BI2110" s="405"/>
    </row>
    <row r="2111" spans="61:61">
      <c r="BI2111" s="405"/>
    </row>
    <row r="2112" spans="61:61">
      <c r="BI2112" s="405"/>
    </row>
    <row r="2113" spans="61:61">
      <c r="BI2113" s="405"/>
    </row>
    <row r="2114" spans="61:61">
      <c r="BI2114" s="405"/>
    </row>
    <row r="2115" spans="61:61">
      <c r="BI2115" s="405"/>
    </row>
    <row r="2116" spans="61:61">
      <c r="BI2116" s="405"/>
    </row>
    <row r="2117" spans="61:61">
      <c r="BI2117" s="405"/>
    </row>
    <row r="2118" spans="61:61">
      <c r="BI2118" s="405"/>
    </row>
    <row r="2119" spans="61:61">
      <c r="BI2119" s="405"/>
    </row>
    <row r="2120" spans="61:61">
      <c r="BI2120" s="405"/>
    </row>
    <row r="2121" spans="61:61">
      <c r="BI2121" s="405"/>
    </row>
    <row r="2122" spans="61:61">
      <c r="BI2122" s="405"/>
    </row>
    <row r="2123" spans="61:61">
      <c r="BI2123" s="405"/>
    </row>
    <row r="2124" spans="61:61">
      <c r="BI2124" s="405"/>
    </row>
    <row r="2125" spans="61:61">
      <c r="BI2125" s="405"/>
    </row>
    <row r="2126" spans="61:61">
      <c r="BI2126" s="405"/>
    </row>
    <row r="2127" spans="61:61">
      <c r="BI2127" s="405"/>
    </row>
    <row r="2128" spans="61:61">
      <c r="BI2128" s="405"/>
    </row>
    <row r="2129" spans="61:61">
      <c r="BI2129" s="405"/>
    </row>
    <row r="2130" spans="61:61">
      <c r="BI2130" s="405"/>
    </row>
    <row r="2131" spans="61:61">
      <c r="BI2131" s="405"/>
    </row>
    <row r="2132" spans="61:61">
      <c r="BI2132" s="405"/>
    </row>
    <row r="2133" spans="61:61">
      <c r="BI2133" s="405"/>
    </row>
    <row r="2134" spans="61:61">
      <c r="BI2134" s="405"/>
    </row>
    <row r="2135" spans="61:61">
      <c r="BI2135" s="405"/>
    </row>
    <row r="2136" spans="61:61">
      <c r="BI2136" s="405"/>
    </row>
    <row r="2137" spans="61:61">
      <c r="BI2137" s="405"/>
    </row>
    <row r="2138" spans="61:61">
      <c r="BI2138" s="405"/>
    </row>
    <row r="2139" spans="61:61">
      <c r="BI2139" s="405"/>
    </row>
    <row r="2140" spans="61:61">
      <c r="BI2140" s="405"/>
    </row>
    <row r="2141" spans="61:61">
      <c r="BI2141" s="405"/>
    </row>
    <row r="2142" spans="61:61">
      <c r="BI2142" s="405"/>
    </row>
    <row r="2143" spans="61:61">
      <c r="BI2143" s="405"/>
    </row>
    <row r="2144" spans="61:61">
      <c r="BI2144" s="405"/>
    </row>
    <row r="2145" spans="61:61">
      <c r="BI2145" s="405"/>
    </row>
    <row r="2146" spans="61:61">
      <c r="BI2146" s="405"/>
    </row>
    <row r="2147" spans="61:61">
      <c r="BI2147" s="405"/>
    </row>
    <row r="2148" spans="61:61">
      <c r="BI2148" s="405"/>
    </row>
    <row r="2149" spans="61:61">
      <c r="BI2149" s="405"/>
    </row>
    <row r="2150" spans="61:61">
      <c r="BI2150" s="405"/>
    </row>
    <row r="2151" spans="61:61">
      <c r="BI2151" s="405"/>
    </row>
    <row r="2152" spans="61:61">
      <c r="BI2152" s="405"/>
    </row>
    <row r="2153" spans="61:61">
      <c r="BI2153" s="405"/>
    </row>
    <row r="2154" spans="61:61">
      <c r="BI2154" s="405"/>
    </row>
    <row r="2155" spans="61:61">
      <c r="BI2155" s="405"/>
    </row>
    <row r="2156" spans="61:61">
      <c r="BI2156" s="405"/>
    </row>
    <row r="2157" spans="61:61">
      <c r="BI2157" s="405"/>
    </row>
    <row r="2158" spans="61:61">
      <c r="BI2158" s="405"/>
    </row>
    <row r="2159" spans="61:61">
      <c r="BI2159" s="405"/>
    </row>
    <row r="2160" spans="61:61">
      <c r="BI2160" s="405"/>
    </row>
    <row r="2161" spans="61:61">
      <c r="BI2161" s="405"/>
    </row>
    <row r="2162" spans="61:61">
      <c r="BI2162" s="405"/>
    </row>
    <row r="2163" spans="61:61">
      <c r="BI2163" s="405"/>
    </row>
    <row r="2164" spans="61:61">
      <c r="BI2164" s="405"/>
    </row>
    <row r="2165" spans="61:61">
      <c r="BI2165" s="405"/>
    </row>
    <row r="2166" spans="61:61">
      <c r="BI2166" s="405"/>
    </row>
    <row r="2167" spans="61:61">
      <c r="BI2167" s="405"/>
    </row>
    <row r="2168" spans="61:61">
      <c r="BI2168" s="405"/>
    </row>
    <row r="2169" spans="61:61">
      <c r="BI2169" s="405"/>
    </row>
    <row r="2170" spans="61:61">
      <c r="BI2170" s="405"/>
    </row>
    <row r="2171" spans="61:61">
      <c r="BI2171" s="405"/>
    </row>
    <row r="2172" spans="61:61">
      <c r="BI2172" s="405"/>
    </row>
    <row r="2173" spans="61:61">
      <c r="BI2173" s="405"/>
    </row>
    <row r="2174" spans="61:61">
      <c r="BI2174" s="405"/>
    </row>
    <row r="2175" spans="61:61">
      <c r="BI2175" s="405"/>
    </row>
    <row r="2176" spans="61:61">
      <c r="BI2176" s="405"/>
    </row>
    <row r="2177" spans="61:61">
      <c r="BI2177" s="405"/>
    </row>
    <row r="2178" spans="61:61">
      <c r="BI2178" s="405"/>
    </row>
    <row r="2179" spans="61:61">
      <c r="BI2179" s="405"/>
    </row>
    <row r="2180" spans="61:61">
      <c r="BI2180" s="405"/>
    </row>
    <row r="2181" spans="61:61">
      <c r="BI2181" s="405"/>
    </row>
    <row r="2182" spans="61:61">
      <c r="BI2182" s="405"/>
    </row>
    <row r="2183" spans="61:61">
      <c r="BI2183" s="405"/>
    </row>
    <row r="2184" spans="61:61">
      <c r="BI2184" s="405"/>
    </row>
    <row r="2185" spans="61:61">
      <c r="BI2185" s="405"/>
    </row>
    <row r="2186" spans="61:61">
      <c r="BI2186" s="405"/>
    </row>
    <row r="2187" spans="61:61">
      <c r="BI2187" s="405"/>
    </row>
    <row r="2188" spans="61:61">
      <c r="BI2188" s="405"/>
    </row>
    <row r="2189" spans="61:61">
      <c r="BI2189" s="405"/>
    </row>
    <row r="2190" spans="61:61">
      <c r="BI2190" s="405"/>
    </row>
    <row r="2191" spans="61:61">
      <c r="BI2191" s="405"/>
    </row>
    <row r="2192" spans="61:61">
      <c r="BI2192" s="405"/>
    </row>
    <row r="2193" spans="61:61">
      <c r="BI2193" s="405"/>
    </row>
    <row r="2194" spans="61:61">
      <c r="BI2194" s="405"/>
    </row>
    <row r="2195" spans="61:61">
      <c r="BI2195" s="405"/>
    </row>
    <row r="2196" spans="61:61">
      <c r="BI2196" s="405"/>
    </row>
    <row r="2197" spans="61:61">
      <c r="BI2197" s="405"/>
    </row>
    <row r="2198" spans="61:61">
      <c r="BI2198" s="405"/>
    </row>
    <row r="2199" spans="61:61">
      <c r="BI2199" s="405"/>
    </row>
    <row r="2200" spans="61:61">
      <c r="BI2200" s="405"/>
    </row>
    <row r="2201" spans="61:61">
      <c r="BI2201" s="405"/>
    </row>
    <row r="2202" spans="61:61">
      <c r="BI2202" s="405"/>
    </row>
    <row r="2203" spans="61:61">
      <c r="BI2203" s="405"/>
    </row>
    <row r="2204" spans="61:61">
      <c r="BI2204" s="405"/>
    </row>
    <row r="2205" spans="61:61">
      <c r="BI2205" s="405"/>
    </row>
    <row r="2206" spans="61:61">
      <c r="BI2206" s="405"/>
    </row>
    <row r="2207" spans="61:61">
      <c r="BI2207" s="405"/>
    </row>
    <row r="2208" spans="61:61">
      <c r="BI2208" s="405"/>
    </row>
    <row r="2209" spans="61:61">
      <c r="BI2209" s="405"/>
    </row>
    <row r="2210" spans="61:61">
      <c r="BI2210" s="405"/>
    </row>
    <row r="2211" spans="61:61">
      <c r="BI2211" s="405"/>
    </row>
    <row r="2212" spans="61:61">
      <c r="BI2212" s="405"/>
    </row>
    <row r="2213" spans="61:61">
      <c r="BI2213" s="405"/>
    </row>
    <row r="2214" spans="61:61">
      <c r="BI2214" s="405"/>
    </row>
    <row r="2215" spans="61:61">
      <c r="BI2215" s="405"/>
    </row>
    <row r="2216" spans="61:61">
      <c r="BI2216" s="405"/>
    </row>
    <row r="2217" spans="61:61">
      <c r="BI2217" s="405"/>
    </row>
    <row r="2218" spans="61:61">
      <c r="BI2218" s="405"/>
    </row>
    <row r="2219" spans="61:61">
      <c r="BI2219" s="405"/>
    </row>
    <row r="2220" spans="61:61">
      <c r="BI2220" s="405"/>
    </row>
    <row r="2221" spans="61:61">
      <c r="BI2221" s="405"/>
    </row>
    <row r="2222" spans="61:61">
      <c r="BI2222" s="405"/>
    </row>
    <row r="2223" spans="61:61">
      <c r="BI2223" s="405"/>
    </row>
    <row r="2224" spans="61:61">
      <c r="BI2224" s="405"/>
    </row>
    <row r="2225" spans="61:61">
      <c r="BI2225" s="405"/>
    </row>
    <row r="2226" spans="61:61">
      <c r="BI2226" s="405"/>
    </row>
    <row r="2227" spans="61:61">
      <c r="BI2227" s="405"/>
    </row>
    <row r="2228" spans="61:61">
      <c r="BI2228" s="405"/>
    </row>
    <row r="2229" spans="61:61">
      <c r="BI2229" s="405"/>
    </row>
    <row r="2230" spans="61:61">
      <c r="BI2230" s="405"/>
    </row>
    <row r="2231" spans="61:61">
      <c r="BI2231" s="405"/>
    </row>
    <row r="2232" spans="61:61">
      <c r="BI2232" s="405"/>
    </row>
    <row r="2233" spans="61:61">
      <c r="BI2233" s="405"/>
    </row>
    <row r="2234" spans="61:61">
      <c r="BI2234" s="405"/>
    </row>
    <row r="2235" spans="61:61">
      <c r="BI2235" s="405"/>
    </row>
    <row r="2236" spans="61:61">
      <c r="BI2236" s="405"/>
    </row>
    <row r="2237" spans="61:61">
      <c r="BI2237" s="405"/>
    </row>
    <row r="2238" spans="61:61">
      <c r="BI2238" s="405"/>
    </row>
    <row r="2239" spans="61:61">
      <c r="BI2239" s="405"/>
    </row>
    <row r="2240" spans="61:61">
      <c r="BI2240" s="405"/>
    </row>
    <row r="2241" spans="61:61">
      <c r="BI2241" s="405"/>
    </row>
    <row r="2242" spans="61:61">
      <c r="BI2242" s="405"/>
    </row>
    <row r="2243" spans="61:61">
      <c r="BI2243" s="405"/>
    </row>
    <row r="2244" spans="61:61">
      <c r="BI2244" s="405"/>
    </row>
    <row r="2245" spans="61:61">
      <c r="BI2245" s="405"/>
    </row>
    <row r="2246" spans="61:61">
      <c r="BI2246" s="405"/>
    </row>
    <row r="2247" spans="61:61">
      <c r="BI2247" s="405"/>
    </row>
    <row r="2248" spans="61:61">
      <c r="BI2248" s="405"/>
    </row>
    <row r="2249" spans="61:61">
      <c r="BI2249" s="405"/>
    </row>
    <row r="2250" spans="61:61">
      <c r="BI2250" s="405"/>
    </row>
    <row r="2251" spans="61:61">
      <c r="BI2251" s="405"/>
    </row>
    <row r="2252" spans="61:61">
      <c r="BI2252" s="405"/>
    </row>
    <row r="2253" spans="61:61">
      <c r="BI2253" s="405"/>
    </row>
    <row r="2254" spans="61:61">
      <c r="BI2254" s="405"/>
    </row>
    <row r="2255" spans="61:61">
      <c r="BI2255" s="405"/>
    </row>
    <row r="2256" spans="61:61">
      <c r="BI2256" s="405"/>
    </row>
    <row r="2257" spans="61:61">
      <c r="BI2257" s="405"/>
    </row>
    <row r="2258" spans="61:61">
      <c r="BI2258" s="405"/>
    </row>
    <row r="2259" spans="61:61">
      <c r="BI2259" s="405"/>
    </row>
    <row r="2260" spans="61:61">
      <c r="BI2260" s="405"/>
    </row>
    <row r="2261" spans="61:61">
      <c r="BI2261" s="405"/>
    </row>
    <row r="2262" spans="61:61">
      <c r="BI2262" s="405"/>
    </row>
    <row r="2263" spans="61:61">
      <c r="BI2263" s="405"/>
    </row>
    <row r="2264" spans="61:61">
      <c r="BI2264" s="405"/>
    </row>
    <row r="2265" spans="61:61">
      <c r="BI2265" s="405"/>
    </row>
    <row r="2266" spans="61:61">
      <c r="BI2266" s="405"/>
    </row>
    <row r="2267" spans="61:61">
      <c r="BI2267" s="405"/>
    </row>
    <row r="2268" spans="61:61">
      <c r="BI2268" s="405"/>
    </row>
    <row r="2269" spans="61:61">
      <c r="BI2269" s="405"/>
    </row>
    <row r="2270" spans="61:61">
      <c r="BI2270" s="405"/>
    </row>
    <row r="2271" spans="61:61">
      <c r="BI2271" s="405"/>
    </row>
    <row r="2272" spans="61:61">
      <c r="BI2272" s="405"/>
    </row>
    <row r="2273" spans="61:61">
      <c r="BI2273" s="405"/>
    </row>
    <row r="2274" spans="61:61">
      <c r="BI2274" s="405"/>
    </row>
    <row r="2275" spans="61:61">
      <c r="BI2275" s="405"/>
    </row>
    <row r="2276" spans="61:61">
      <c r="BI2276" s="405"/>
    </row>
    <row r="2277" spans="61:61">
      <c r="BI2277" s="405"/>
    </row>
    <row r="2278" spans="61:61">
      <c r="BI2278" s="405"/>
    </row>
    <row r="2279" spans="61:61">
      <c r="BI2279" s="405"/>
    </row>
    <row r="2280" spans="61:61">
      <c r="BI2280" s="405"/>
    </row>
    <row r="2281" spans="61:61">
      <c r="BI2281" s="405"/>
    </row>
    <row r="2282" spans="61:61">
      <c r="BI2282" s="405"/>
    </row>
    <row r="2283" spans="61:61">
      <c r="BI2283" s="405"/>
    </row>
    <row r="2284" spans="61:61">
      <c r="BI2284" s="405"/>
    </row>
    <row r="2285" spans="61:61">
      <c r="BI2285" s="405"/>
    </row>
    <row r="2286" spans="61:61">
      <c r="BI2286" s="405"/>
    </row>
    <row r="2287" spans="61:61">
      <c r="BI2287" s="405"/>
    </row>
    <row r="2288" spans="61:61">
      <c r="BI2288" s="405"/>
    </row>
    <row r="2289" spans="61:61">
      <c r="BI2289" s="405"/>
    </row>
    <row r="2290" spans="61:61">
      <c r="BI2290" s="405"/>
    </row>
    <row r="2291" spans="61:61">
      <c r="BI2291" s="405"/>
    </row>
    <row r="2292" spans="61:61">
      <c r="BI2292" s="405"/>
    </row>
    <row r="2293" spans="61:61">
      <c r="BI2293" s="405"/>
    </row>
    <row r="2294" spans="61:61">
      <c r="BI2294" s="405"/>
    </row>
    <row r="2295" spans="61:61">
      <c r="BI2295" s="405"/>
    </row>
    <row r="2296" spans="61:61">
      <c r="BI2296" s="405"/>
    </row>
    <row r="2297" spans="61:61">
      <c r="BI2297" s="405"/>
    </row>
    <row r="2298" spans="61:61">
      <c r="BI2298" s="405"/>
    </row>
    <row r="2299" spans="61:61">
      <c r="BI2299" s="405"/>
    </row>
    <row r="2300" spans="61:61">
      <c r="BI2300" s="405"/>
    </row>
    <row r="2301" spans="61:61">
      <c r="BI2301" s="405"/>
    </row>
    <row r="2302" spans="61:61">
      <c r="BI2302" s="405"/>
    </row>
    <row r="2303" spans="61:61">
      <c r="BI2303" s="405"/>
    </row>
    <row r="2304" spans="61:61">
      <c r="BI2304" s="405"/>
    </row>
    <row r="2305" spans="61:61">
      <c r="BI2305" s="405"/>
    </row>
    <row r="2306" spans="61:61">
      <c r="BI2306" s="405"/>
    </row>
    <row r="2307" spans="61:61">
      <c r="BI2307" s="405"/>
    </row>
    <row r="2308" spans="61:61">
      <c r="BI2308" s="405"/>
    </row>
    <row r="2309" spans="61:61">
      <c r="BI2309" s="405"/>
    </row>
    <row r="2310" spans="61:61">
      <c r="BI2310" s="405"/>
    </row>
    <row r="2311" spans="61:61">
      <c r="BI2311" s="405"/>
    </row>
    <row r="2312" spans="61:61">
      <c r="BI2312" s="405"/>
    </row>
    <row r="2313" spans="61:61">
      <c r="BI2313" s="405"/>
    </row>
    <row r="2314" spans="61:61">
      <c r="BI2314" s="405"/>
    </row>
    <row r="2315" spans="61:61">
      <c r="BI2315" s="405"/>
    </row>
    <row r="2316" spans="61:61">
      <c r="BI2316" s="405"/>
    </row>
    <row r="2317" spans="61:61">
      <c r="BI2317" s="405"/>
    </row>
    <row r="2318" spans="61:61">
      <c r="BI2318" s="405"/>
    </row>
    <row r="2319" spans="61:61">
      <c r="BI2319" s="405"/>
    </row>
    <row r="2320" spans="61:61">
      <c r="BI2320" s="405"/>
    </row>
    <row r="2321" spans="61:61">
      <c r="BI2321" s="405"/>
    </row>
    <row r="2322" spans="61:61">
      <c r="BI2322" s="405"/>
    </row>
    <row r="2323" spans="61:61">
      <c r="BI2323" s="405"/>
    </row>
    <row r="2324" spans="61:61">
      <c r="BI2324" s="405"/>
    </row>
    <row r="2325" spans="61:61">
      <c r="BI2325" s="405"/>
    </row>
    <row r="2326" spans="61:61">
      <c r="BI2326" s="405"/>
    </row>
    <row r="2327" spans="61:61">
      <c r="BI2327" s="405"/>
    </row>
    <row r="2328" spans="61:61">
      <c r="BI2328" s="405"/>
    </row>
    <row r="2329" spans="61:61">
      <c r="BI2329" s="405"/>
    </row>
    <row r="2330" spans="61:61">
      <c r="BI2330" s="405"/>
    </row>
    <row r="2331" spans="61:61">
      <c r="BI2331" s="405"/>
    </row>
    <row r="2332" spans="61:61">
      <c r="BI2332" s="405"/>
    </row>
    <row r="2333" spans="61:61">
      <c r="BI2333" s="405"/>
    </row>
    <row r="2334" spans="61:61">
      <c r="BI2334" s="405"/>
    </row>
    <row r="2335" spans="61:61">
      <c r="BI2335" s="405"/>
    </row>
    <row r="2336" spans="61:61">
      <c r="BI2336" s="405"/>
    </row>
    <row r="2337" spans="61:61">
      <c r="BI2337" s="405"/>
    </row>
    <row r="2338" spans="61:61">
      <c r="BI2338" s="405"/>
    </row>
    <row r="2339" spans="61:61">
      <c r="BI2339" s="405"/>
    </row>
    <row r="2340" spans="61:61">
      <c r="BI2340" s="405"/>
    </row>
    <row r="2341" spans="61:61">
      <c r="BI2341" s="405"/>
    </row>
    <row r="2342" spans="61:61">
      <c r="BI2342" s="405"/>
    </row>
    <row r="2343" spans="61:61">
      <c r="BI2343" s="405"/>
    </row>
    <row r="2344" spans="61:61">
      <c r="BI2344" s="405"/>
    </row>
    <row r="2345" spans="61:61">
      <c r="BI2345" s="405"/>
    </row>
    <row r="2346" spans="61:61">
      <c r="BI2346" s="405"/>
    </row>
    <row r="2347" spans="61:61">
      <c r="BI2347" s="405"/>
    </row>
    <row r="2348" spans="61:61">
      <c r="BI2348" s="405"/>
    </row>
    <row r="2349" spans="61:61">
      <c r="BI2349" s="405"/>
    </row>
    <row r="2350" spans="61:61">
      <c r="BI2350" s="405"/>
    </row>
    <row r="2351" spans="61:61">
      <c r="BI2351" s="405"/>
    </row>
    <row r="2352" spans="61:61">
      <c r="BI2352" s="405"/>
    </row>
    <row r="2353" spans="61:61">
      <c r="BI2353" s="405"/>
    </row>
    <row r="2354" spans="61:61">
      <c r="BI2354" s="405"/>
    </row>
    <row r="2355" spans="61:61">
      <c r="BI2355" s="405"/>
    </row>
    <row r="2356" spans="61:61">
      <c r="BI2356" s="405"/>
    </row>
    <row r="2357" spans="61:61">
      <c r="BI2357" s="405"/>
    </row>
    <row r="2358" spans="61:61">
      <c r="BI2358" s="405"/>
    </row>
    <row r="2359" spans="61:61">
      <c r="BI2359" s="405"/>
    </row>
    <row r="2360" spans="61:61">
      <c r="BI2360" s="405"/>
    </row>
    <row r="2361" spans="61:61">
      <c r="BI2361" s="405"/>
    </row>
    <row r="2362" spans="61:61">
      <c r="BI2362" s="405"/>
    </row>
    <row r="2363" spans="61:61">
      <c r="BI2363" s="405"/>
    </row>
    <row r="2364" spans="61:61">
      <c r="BI2364" s="405"/>
    </row>
    <row r="2365" spans="61:61">
      <c r="BI2365" s="405"/>
    </row>
    <row r="2366" spans="61:61">
      <c r="BI2366" s="405"/>
    </row>
    <row r="2367" spans="61:61">
      <c r="BI2367" s="405"/>
    </row>
    <row r="2368" spans="61:61">
      <c r="BI2368" s="405"/>
    </row>
    <row r="2369" spans="61:61">
      <c r="BI2369" s="405"/>
    </row>
    <row r="2370" spans="61:61">
      <c r="BI2370" s="405"/>
    </row>
    <row r="2371" spans="61:61">
      <c r="BI2371" s="405"/>
    </row>
    <row r="2372" spans="61:61">
      <c r="BI2372" s="405"/>
    </row>
    <row r="2373" spans="61:61">
      <c r="BI2373" s="405"/>
    </row>
    <row r="2374" spans="61:61">
      <c r="BI2374" s="405"/>
    </row>
    <row r="2375" spans="61:61">
      <c r="BI2375" s="405"/>
    </row>
    <row r="2376" spans="61:61">
      <c r="BI2376" s="405"/>
    </row>
    <row r="2377" spans="61:61">
      <c r="BI2377" s="405"/>
    </row>
    <row r="2378" spans="61:61">
      <c r="BI2378" s="405"/>
    </row>
    <row r="2379" spans="61:61">
      <c r="BI2379" s="405"/>
    </row>
    <row r="2380" spans="61:61">
      <c r="BI2380" s="405"/>
    </row>
    <row r="2381" spans="61:61">
      <c r="BI2381" s="405"/>
    </row>
    <row r="2382" spans="61:61">
      <c r="BI2382" s="405"/>
    </row>
    <row r="2383" spans="61:61">
      <c r="BI2383" s="405"/>
    </row>
    <row r="2384" spans="61:61">
      <c r="BI2384" s="405"/>
    </row>
    <row r="2385" spans="61:61">
      <c r="BI2385" s="405"/>
    </row>
    <row r="2386" spans="61:61">
      <c r="BI2386" s="405"/>
    </row>
    <row r="2387" spans="61:61">
      <c r="BI2387" s="405"/>
    </row>
    <row r="2388" spans="61:61">
      <c r="BI2388" s="405"/>
    </row>
    <row r="2389" spans="61:61">
      <c r="BI2389" s="405"/>
    </row>
    <row r="2390" spans="61:61">
      <c r="BI2390" s="405"/>
    </row>
    <row r="2391" spans="61:61">
      <c r="BI2391" s="405"/>
    </row>
    <row r="2392" spans="61:61">
      <c r="BI2392" s="405"/>
    </row>
    <row r="2393" spans="61:61">
      <c r="BI2393" s="405"/>
    </row>
    <row r="2394" spans="61:61">
      <c r="BI2394" s="405"/>
    </row>
    <row r="2395" spans="61:61">
      <c r="BI2395" s="405"/>
    </row>
    <row r="2396" spans="61:61">
      <c r="BI2396" s="405"/>
    </row>
    <row r="2397" spans="61:61">
      <c r="BI2397" s="405"/>
    </row>
    <row r="2398" spans="61:61">
      <c r="BI2398" s="405"/>
    </row>
    <row r="2399" spans="61:61">
      <c r="BI2399" s="405"/>
    </row>
    <row r="2400" spans="61:61">
      <c r="BI2400" s="405"/>
    </row>
    <row r="2401" spans="61:61">
      <c r="BI2401" s="405"/>
    </row>
    <row r="2402" spans="61:61">
      <c r="BI2402" s="405"/>
    </row>
    <row r="2403" spans="61:61">
      <c r="BI2403" s="405"/>
    </row>
    <row r="2404" spans="61:61">
      <c r="BI2404" s="405"/>
    </row>
    <row r="2405" spans="61:61">
      <c r="BI2405" s="405"/>
    </row>
    <row r="2406" spans="61:61">
      <c r="BI2406" s="405"/>
    </row>
    <row r="2407" spans="61:61">
      <c r="BI2407" s="405"/>
    </row>
    <row r="2408" spans="61:61">
      <c r="BI2408" s="405"/>
    </row>
    <row r="2409" spans="61:61">
      <c r="BI2409" s="405"/>
    </row>
    <row r="2410" spans="61:61">
      <c r="BI2410" s="405"/>
    </row>
    <row r="2411" spans="61:61">
      <c r="BI2411" s="405"/>
    </row>
    <row r="2412" spans="61:61">
      <c r="BI2412" s="405"/>
    </row>
    <row r="2413" spans="61:61">
      <c r="BI2413" s="405"/>
    </row>
    <row r="2414" spans="61:61">
      <c r="BI2414" s="405"/>
    </row>
    <row r="2415" spans="61:61">
      <c r="BI2415" s="405"/>
    </row>
    <row r="2416" spans="61:61">
      <c r="BI2416" s="405"/>
    </row>
    <row r="2417" spans="61:61">
      <c r="BI2417" s="405"/>
    </row>
    <row r="2418" spans="61:61">
      <c r="BI2418" s="405"/>
    </row>
    <row r="2419" spans="61:61">
      <c r="BI2419" s="405"/>
    </row>
    <row r="2420" spans="61:61">
      <c r="BI2420" s="405"/>
    </row>
    <row r="2421" spans="61:61">
      <c r="BI2421" s="405"/>
    </row>
    <row r="2422" spans="61:61">
      <c r="BI2422" s="405"/>
    </row>
    <row r="2423" spans="61:61">
      <c r="BI2423" s="405"/>
    </row>
    <row r="2424" spans="61:61">
      <c r="BI2424" s="405"/>
    </row>
    <row r="2425" spans="61:61">
      <c r="BI2425" s="405"/>
    </row>
    <row r="2426" spans="61:61">
      <c r="BI2426" s="405"/>
    </row>
    <row r="2427" spans="61:61">
      <c r="BI2427" s="405"/>
    </row>
    <row r="2428" spans="61:61">
      <c r="BI2428" s="405"/>
    </row>
    <row r="2429" spans="61:61">
      <c r="BI2429" s="405"/>
    </row>
    <row r="2430" spans="61:61">
      <c r="BI2430" s="405"/>
    </row>
    <row r="2431" spans="61:61">
      <c r="BI2431" s="405"/>
    </row>
    <row r="2432" spans="61:61">
      <c r="BI2432" s="405"/>
    </row>
    <row r="2433" spans="61:61">
      <c r="BI2433" s="405"/>
    </row>
    <row r="2434" spans="61:61">
      <c r="BI2434" s="405"/>
    </row>
    <row r="2435" spans="61:61">
      <c r="BI2435" s="405"/>
    </row>
    <row r="2436" spans="61:61">
      <c r="BI2436" s="405"/>
    </row>
    <row r="2437" spans="61:61">
      <c r="BI2437" s="405"/>
    </row>
    <row r="2438" spans="61:61">
      <c r="BI2438" s="405"/>
    </row>
    <row r="2439" spans="61:61">
      <c r="BI2439" s="405"/>
    </row>
    <row r="2440" spans="61:61">
      <c r="BI2440" s="405"/>
    </row>
    <row r="2441" spans="61:61">
      <c r="BI2441" s="405"/>
    </row>
    <row r="2442" spans="61:61">
      <c r="BI2442" s="405"/>
    </row>
    <row r="2443" spans="61:61">
      <c r="BI2443" s="405"/>
    </row>
    <row r="2444" spans="61:61">
      <c r="BI2444" s="405"/>
    </row>
    <row r="2445" spans="61:61">
      <c r="BI2445" s="405"/>
    </row>
    <row r="2446" spans="61:61">
      <c r="BI2446" s="405"/>
    </row>
    <row r="2447" spans="61:61">
      <c r="BI2447" s="405"/>
    </row>
    <row r="2448" spans="61:61">
      <c r="BI2448" s="405"/>
    </row>
    <row r="2449" spans="61:61">
      <c r="BI2449" s="405"/>
    </row>
    <row r="2450" spans="61:61">
      <c r="BI2450" s="405"/>
    </row>
    <row r="2451" spans="61:61">
      <c r="BI2451" s="405"/>
    </row>
    <row r="2452" spans="61:61">
      <c r="BI2452" s="405"/>
    </row>
    <row r="2453" spans="61:61">
      <c r="BI2453" s="405"/>
    </row>
    <row r="2454" spans="61:61">
      <c r="BI2454" s="405"/>
    </row>
    <row r="2455" spans="61:61">
      <c r="BI2455" s="405"/>
    </row>
    <row r="2456" spans="61:61">
      <c r="BI2456" s="405"/>
    </row>
    <row r="2457" spans="61:61">
      <c r="BI2457" s="405"/>
    </row>
    <row r="2458" spans="61:61">
      <c r="BI2458" s="405"/>
    </row>
    <row r="2459" spans="61:61">
      <c r="BI2459" s="405"/>
    </row>
    <row r="2460" spans="61:61">
      <c r="BI2460" s="405"/>
    </row>
    <row r="2461" spans="61:61">
      <c r="BI2461" s="405"/>
    </row>
    <row r="2462" spans="61:61">
      <c r="BI2462" s="405"/>
    </row>
    <row r="2463" spans="61:61">
      <c r="BI2463" s="405"/>
    </row>
    <row r="2464" spans="61:61">
      <c r="BI2464" s="405"/>
    </row>
    <row r="2465" spans="61:61">
      <c r="BI2465" s="405"/>
    </row>
    <row r="2466" spans="61:61">
      <c r="BI2466" s="405"/>
    </row>
    <row r="2467" spans="61:61">
      <c r="BI2467" s="405"/>
    </row>
    <row r="2468" spans="61:61">
      <c r="BI2468" s="405"/>
    </row>
    <row r="2469" spans="61:61">
      <c r="BI2469" s="405"/>
    </row>
    <row r="2470" spans="61:61">
      <c r="BI2470" s="405"/>
    </row>
    <row r="2471" spans="61:61">
      <c r="BI2471" s="405"/>
    </row>
    <row r="2472" spans="61:61">
      <c r="BI2472" s="405"/>
    </row>
    <row r="2473" spans="61:61">
      <c r="BI2473" s="405"/>
    </row>
    <row r="2474" spans="61:61">
      <c r="BI2474" s="405"/>
    </row>
    <row r="2475" spans="61:61">
      <c r="BI2475" s="405"/>
    </row>
    <row r="2476" spans="61:61">
      <c r="BI2476" s="405"/>
    </row>
    <row r="2477" spans="61:61">
      <c r="BI2477" s="405"/>
    </row>
    <row r="2478" spans="61:61">
      <c r="BI2478" s="405"/>
    </row>
    <row r="2479" spans="61:61">
      <c r="BI2479" s="405"/>
    </row>
    <row r="2480" spans="61:61">
      <c r="BI2480" s="405"/>
    </row>
    <row r="2481" spans="61:61">
      <c r="BI2481" s="405"/>
    </row>
    <row r="2482" spans="61:61">
      <c r="BI2482" s="405"/>
    </row>
    <row r="2483" spans="61:61">
      <c r="BI2483" s="405"/>
    </row>
    <row r="2484" spans="61:61">
      <c r="BI2484" s="405"/>
    </row>
    <row r="2485" spans="61:61">
      <c r="BI2485" s="405"/>
    </row>
    <row r="2486" spans="61:61">
      <c r="BI2486" s="405"/>
    </row>
    <row r="2487" spans="61:61">
      <c r="BI2487" s="405"/>
    </row>
    <row r="2488" spans="61:61">
      <c r="BI2488" s="405"/>
    </row>
    <row r="2489" spans="61:61">
      <c r="BI2489" s="405"/>
    </row>
    <row r="2490" spans="61:61">
      <c r="BI2490" s="405"/>
    </row>
    <row r="2491" spans="61:61">
      <c r="BI2491" s="405"/>
    </row>
    <row r="2492" spans="61:61">
      <c r="BI2492" s="405"/>
    </row>
    <row r="2493" spans="61:61">
      <c r="BI2493" s="405"/>
    </row>
    <row r="2494" spans="61:61">
      <c r="BI2494" s="405"/>
    </row>
    <row r="2495" spans="61:61">
      <c r="BI2495" s="405"/>
    </row>
    <row r="2496" spans="61:61">
      <c r="BI2496" s="405"/>
    </row>
    <row r="2497" spans="61:61">
      <c r="BI2497" s="405"/>
    </row>
    <row r="2498" spans="61:61">
      <c r="BI2498" s="405"/>
    </row>
    <row r="2499" spans="61:61">
      <c r="BI2499" s="405"/>
    </row>
    <row r="2500" spans="61:61">
      <c r="BI2500" s="405"/>
    </row>
    <row r="2501" spans="61:61">
      <c r="BI2501" s="405"/>
    </row>
    <row r="2502" spans="61:61">
      <c r="BI2502" s="405"/>
    </row>
    <row r="2503" spans="61:61">
      <c r="BI2503" s="405"/>
    </row>
    <row r="2504" spans="61:61">
      <c r="BI2504" s="405"/>
    </row>
    <row r="2505" spans="61:61">
      <c r="BI2505" s="405"/>
    </row>
    <row r="2506" spans="61:61">
      <c r="BI2506" s="405"/>
    </row>
    <row r="2507" spans="61:61">
      <c r="BI2507" s="405"/>
    </row>
    <row r="2508" spans="61:61">
      <c r="BI2508" s="405"/>
    </row>
    <row r="2509" spans="61:61">
      <c r="BI2509" s="405"/>
    </row>
    <row r="2510" spans="61:61">
      <c r="BI2510" s="405"/>
    </row>
    <row r="2511" spans="61:61">
      <c r="BI2511" s="405"/>
    </row>
    <row r="2512" spans="61:61">
      <c r="BI2512" s="405"/>
    </row>
    <row r="2513" spans="61:61">
      <c r="BI2513" s="405"/>
    </row>
    <row r="2514" spans="61:61">
      <c r="BI2514" s="405"/>
    </row>
    <row r="2515" spans="61:61">
      <c r="BI2515" s="405"/>
    </row>
    <row r="2516" spans="61:61">
      <c r="BI2516" s="405"/>
    </row>
    <row r="2517" spans="61:61">
      <c r="BI2517" s="405"/>
    </row>
    <row r="2518" spans="61:61">
      <c r="BI2518" s="405"/>
    </row>
    <row r="2519" spans="61:61">
      <c r="BI2519" s="405"/>
    </row>
    <row r="2520" spans="61:61">
      <c r="BI2520" s="405"/>
    </row>
    <row r="2521" spans="61:61">
      <c r="BI2521" s="405"/>
    </row>
    <row r="2522" spans="61:61">
      <c r="BI2522" s="405"/>
    </row>
    <row r="2523" spans="61:61">
      <c r="BI2523" s="405"/>
    </row>
    <row r="2524" spans="61:61">
      <c r="BI2524" s="405"/>
    </row>
    <row r="2525" spans="61:61">
      <c r="BI2525" s="405"/>
    </row>
    <row r="2526" spans="61:61">
      <c r="BI2526" s="405"/>
    </row>
    <row r="2527" spans="61:61">
      <c r="BI2527" s="405"/>
    </row>
    <row r="2528" spans="61:61">
      <c r="BI2528" s="405"/>
    </row>
    <row r="2529" spans="61:61">
      <c r="BI2529" s="405"/>
    </row>
    <row r="2530" spans="61:61">
      <c r="BI2530" s="405"/>
    </row>
    <row r="2531" spans="61:61">
      <c r="BI2531" s="405"/>
    </row>
    <row r="2532" spans="61:61">
      <c r="BI2532" s="405"/>
    </row>
    <row r="2533" spans="61:61">
      <c r="BI2533" s="405"/>
    </row>
    <row r="2534" spans="61:61">
      <c r="BI2534" s="405"/>
    </row>
    <row r="2535" spans="61:61">
      <c r="BI2535" s="405"/>
    </row>
    <row r="2536" spans="61:61">
      <c r="BI2536" s="405"/>
    </row>
    <row r="2537" spans="61:61">
      <c r="BI2537" s="405"/>
    </row>
    <row r="2538" spans="61:61">
      <c r="BI2538" s="405"/>
    </row>
    <row r="2539" spans="61:61">
      <c r="BI2539" s="405"/>
    </row>
    <row r="2540" spans="61:61">
      <c r="BI2540" s="405"/>
    </row>
    <row r="2541" spans="61:61">
      <c r="BI2541" s="405"/>
    </row>
    <row r="2542" spans="61:61">
      <c r="BI2542" s="405"/>
    </row>
    <row r="2543" spans="61:61">
      <c r="BI2543" s="405"/>
    </row>
    <row r="2544" spans="61:61">
      <c r="BI2544" s="405"/>
    </row>
    <row r="2545" spans="61:61">
      <c r="BI2545" s="405"/>
    </row>
    <row r="2546" spans="61:61">
      <c r="BI2546" s="405"/>
    </row>
    <row r="2547" spans="61:61">
      <c r="BI2547" s="405"/>
    </row>
    <row r="2548" spans="61:61">
      <c r="BI2548" s="405"/>
    </row>
    <row r="2549" spans="61:61">
      <c r="BI2549" s="405"/>
    </row>
    <row r="2550" spans="61:61">
      <c r="BI2550" s="405"/>
    </row>
    <row r="2551" spans="61:61">
      <c r="BI2551" s="405"/>
    </row>
    <row r="2552" spans="61:61">
      <c r="BI2552" s="405"/>
    </row>
    <row r="2553" spans="61:61">
      <c r="BI2553" s="405"/>
    </row>
    <row r="2554" spans="61:61">
      <c r="BI2554" s="405"/>
    </row>
    <row r="2555" spans="61:61">
      <c r="BI2555" s="405"/>
    </row>
    <row r="2556" spans="61:61">
      <c r="BI2556" s="405"/>
    </row>
    <row r="2557" spans="61:61">
      <c r="BI2557" s="405"/>
    </row>
    <row r="2558" spans="61:61">
      <c r="BI2558" s="405"/>
    </row>
    <row r="2559" spans="61:61">
      <c r="BI2559" s="405"/>
    </row>
    <row r="2560" spans="61:61">
      <c r="BI2560" s="405"/>
    </row>
    <row r="2561" spans="61:61">
      <c r="BI2561" s="405"/>
    </row>
    <row r="2562" spans="61:61">
      <c r="BI2562" s="405"/>
    </row>
    <row r="2563" spans="61:61">
      <c r="BI2563" s="405"/>
    </row>
    <row r="2564" spans="61:61">
      <c r="BI2564" s="405"/>
    </row>
    <row r="2565" spans="61:61">
      <c r="BI2565" s="405"/>
    </row>
    <row r="2566" spans="61:61">
      <c r="BI2566" s="405"/>
    </row>
    <row r="2567" spans="61:61">
      <c r="BI2567" s="405"/>
    </row>
    <row r="2568" spans="61:61">
      <c r="BI2568" s="405"/>
    </row>
    <row r="2569" spans="61:61">
      <c r="BI2569" s="405"/>
    </row>
    <row r="2570" spans="61:61">
      <c r="BI2570" s="405"/>
    </row>
    <row r="2571" spans="61:61">
      <c r="BI2571" s="405"/>
    </row>
    <row r="2572" spans="61:61">
      <c r="BI2572" s="405"/>
    </row>
    <row r="2573" spans="61:61">
      <c r="BI2573" s="405"/>
    </row>
    <row r="2574" spans="61:61">
      <c r="BI2574" s="405"/>
    </row>
    <row r="2575" spans="61:61">
      <c r="BI2575" s="405"/>
    </row>
    <row r="2576" spans="61:61">
      <c r="BI2576" s="405"/>
    </row>
    <row r="2577" spans="61:61">
      <c r="BI2577" s="405"/>
    </row>
    <row r="2578" spans="61:61">
      <c r="BI2578" s="405"/>
    </row>
    <row r="2579" spans="61:61">
      <c r="BI2579" s="405"/>
    </row>
    <row r="2580" spans="61:61">
      <c r="BI2580" s="405"/>
    </row>
    <row r="2581" spans="61:61">
      <c r="BI2581" s="405"/>
    </row>
    <row r="2582" spans="61:61">
      <c r="BI2582" s="405"/>
    </row>
    <row r="2583" spans="61:61">
      <c r="BI2583" s="405"/>
    </row>
    <row r="2584" spans="61:61">
      <c r="BI2584" s="405"/>
    </row>
    <row r="2585" spans="61:61">
      <c r="BI2585" s="405"/>
    </row>
    <row r="2586" spans="61:61">
      <c r="BI2586" s="405"/>
    </row>
    <row r="2587" spans="61:61">
      <c r="BI2587" s="405"/>
    </row>
    <row r="2588" spans="61:61">
      <c r="BI2588" s="405"/>
    </row>
    <row r="2589" spans="61:61">
      <c r="BI2589" s="405"/>
    </row>
    <row r="2590" spans="61:61">
      <c r="BI2590" s="405"/>
    </row>
    <row r="2591" spans="61:61">
      <c r="BI2591" s="405"/>
    </row>
    <row r="2592" spans="61:61">
      <c r="BI2592" s="405"/>
    </row>
    <row r="2593" spans="61:61">
      <c r="BI2593" s="405"/>
    </row>
    <row r="2594" spans="61:61">
      <c r="BI2594" s="405"/>
    </row>
    <row r="2595" spans="61:61">
      <c r="BI2595" s="405"/>
    </row>
    <row r="2596" spans="61:61">
      <c r="BI2596" s="405"/>
    </row>
    <row r="2597" spans="61:61">
      <c r="BI2597" s="405"/>
    </row>
    <row r="2598" spans="61:61">
      <c r="BI2598" s="405"/>
    </row>
    <row r="2599" spans="61:61">
      <c r="BI2599" s="405"/>
    </row>
    <row r="2600" spans="61:61">
      <c r="BI2600" s="405"/>
    </row>
    <row r="2601" spans="61:61">
      <c r="BI2601" s="405"/>
    </row>
    <row r="2602" spans="61:61">
      <c r="BI2602" s="405"/>
    </row>
    <row r="2603" spans="61:61">
      <c r="BI2603" s="405"/>
    </row>
    <row r="2604" spans="61:61">
      <c r="BI2604" s="405"/>
    </row>
    <row r="2605" spans="61:61">
      <c r="BI2605" s="405"/>
    </row>
    <row r="2606" spans="61:61">
      <c r="BI2606" s="405"/>
    </row>
    <row r="2607" spans="61:61">
      <c r="BI2607" s="405"/>
    </row>
    <row r="2608" spans="61:61">
      <c r="BI2608" s="405"/>
    </row>
    <row r="2609" spans="61:61">
      <c r="BI2609" s="405"/>
    </row>
    <row r="2610" spans="61:61">
      <c r="BI2610" s="405"/>
    </row>
    <row r="2611" spans="61:61">
      <c r="BI2611" s="405"/>
    </row>
    <row r="2612" spans="61:61">
      <c r="BI2612" s="405"/>
    </row>
    <row r="2613" spans="61:61">
      <c r="BI2613" s="405"/>
    </row>
    <row r="2614" spans="61:61">
      <c r="BI2614" s="405"/>
    </row>
    <row r="2615" spans="61:61">
      <c r="BI2615" s="405"/>
    </row>
    <row r="2616" spans="61:61">
      <c r="BI2616" s="405"/>
    </row>
    <row r="2617" spans="61:61">
      <c r="BI2617" s="405"/>
    </row>
    <row r="2618" spans="61:61">
      <c r="BI2618" s="405"/>
    </row>
    <row r="2619" spans="61:61">
      <c r="BI2619" s="405"/>
    </row>
    <row r="2620" spans="61:61">
      <c r="BI2620" s="405"/>
    </row>
    <row r="2621" spans="61:61">
      <c r="BI2621" s="405"/>
    </row>
    <row r="2622" spans="61:61">
      <c r="BI2622" s="405"/>
    </row>
    <row r="2623" spans="61:61">
      <c r="BI2623" s="405"/>
    </row>
    <row r="2624" spans="61:61">
      <c r="BI2624" s="405"/>
    </row>
    <row r="2625" spans="61:61">
      <c r="BI2625" s="405"/>
    </row>
    <row r="2626" spans="61:61">
      <c r="BI2626" s="405"/>
    </row>
    <row r="2627" spans="61:61">
      <c r="BI2627" s="405"/>
    </row>
    <row r="2628" spans="61:61">
      <c r="BI2628" s="405"/>
    </row>
    <row r="2629" spans="61:61">
      <c r="BI2629" s="405"/>
    </row>
    <row r="2630" spans="61:61">
      <c r="BI2630" s="405"/>
    </row>
    <row r="2631" spans="61:61">
      <c r="BI2631" s="405"/>
    </row>
    <row r="2632" spans="61:61">
      <c r="BI2632" s="405"/>
    </row>
    <row r="2633" spans="61:61">
      <c r="BI2633" s="405"/>
    </row>
    <row r="2634" spans="61:61">
      <c r="BI2634" s="405"/>
    </row>
    <row r="2635" spans="61:61">
      <c r="BI2635" s="405"/>
    </row>
    <row r="2636" spans="61:61">
      <c r="BI2636" s="405"/>
    </row>
    <row r="2637" spans="61:61">
      <c r="BI2637" s="405"/>
    </row>
    <row r="2638" spans="61:61">
      <c r="BI2638" s="405"/>
    </row>
    <row r="2639" spans="61:61">
      <c r="BI2639" s="405"/>
    </row>
    <row r="2640" spans="61:61">
      <c r="BI2640" s="405"/>
    </row>
    <row r="2641" spans="61:61">
      <c r="BI2641" s="405"/>
    </row>
    <row r="2642" spans="61:61">
      <c r="BI2642" s="405"/>
    </row>
    <row r="2643" spans="61:61">
      <c r="BI2643" s="405"/>
    </row>
    <row r="2644" spans="61:61">
      <c r="BI2644" s="405"/>
    </row>
    <row r="2645" spans="61:61">
      <c r="BI2645" s="405"/>
    </row>
    <row r="2646" spans="61:61">
      <c r="BI2646" s="405"/>
    </row>
    <row r="2647" spans="61:61">
      <c r="BI2647" s="405"/>
    </row>
    <row r="2648" spans="61:61">
      <c r="BI2648" s="405"/>
    </row>
    <row r="2649" spans="61:61">
      <c r="BI2649" s="405"/>
    </row>
    <row r="2650" spans="61:61">
      <c r="BI2650" s="405"/>
    </row>
    <row r="2651" spans="61:61">
      <c r="BI2651" s="405"/>
    </row>
    <row r="2652" spans="61:61">
      <c r="BI2652" s="405"/>
    </row>
    <row r="2653" spans="61:61">
      <c r="BI2653" s="405"/>
    </row>
    <row r="2654" spans="61:61">
      <c r="BI2654" s="405"/>
    </row>
    <row r="2655" spans="61:61">
      <c r="BI2655" s="405"/>
    </row>
    <row r="2656" spans="61:61">
      <c r="BI2656" s="405"/>
    </row>
    <row r="2657" spans="61:61">
      <c r="BI2657" s="405"/>
    </row>
    <row r="2658" spans="61:61">
      <c r="BI2658" s="405"/>
    </row>
    <row r="2659" spans="61:61">
      <c r="BI2659" s="405"/>
    </row>
    <row r="2660" spans="61:61">
      <c r="BI2660" s="405"/>
    </row>
    <row r="2661" spans="61:61">
      <c r="BI2661" s="405"/>
    </row>
    <row r="2662" spans="61:61">
      <c r="BI2662" s="405"/>
    </row>
    <row r="2663" spans="61:61">
      <c r="BI2663" s="405"/>
    </row>
    <row r="2664" spans="61:61">
      <c r="BI2664" s="405"/>
    </row>
    <row r="2665" spans="61:61">
      <c r="BI2665" s="405"/>
    </row>
    <row r="2666" spans="61:61">
      <c r="BI2666" s="405"/>
    </row>
    <row r="2667" spans="61:61">
      <c r="BI2667" s="405"/>
    </row>
    <row r="2668" spans="61:61">
      <c r="BI2668" s="405"/>
    </row>
    <row r="2669" spans="61:61">
      <c r="BI2669" s="405"/>
    </row>
    <row r="2670" spans="61:61">
      <c r="BI2670" s="405"/>
    </row>
    <row r="2671" spans="61:61">
      <c r="BI2671" s="405"/>
    </row>
    <row r="2672" spans="61:61">
      <c r="BI2672" s="405"/>
    </row>
    <row r="2673" spans="61:61">
      <c r="BI2673" s="405"/>
    </row>
    <row r="2674" spans="61:61">
      <c r="BI2674" s="405"/>
    </row>
    <row r="2675" spans="61:61">
      <c r="BI2675" s="405"/>
    </row>
    <row r="2676" spans="61:61">
      <c r="BI2676" s="405"/>
    </row>
    <row r="2677" spans="61:61">
      <c r="BI2677" s="405"/>
    </row>
    <row r="2678" spans="61:61">
      <c r="BI2678" s="405"/>
    </row>
    <row r="2679" spans="61:61">
      <c r="BI2679" s="405"/>
    </row>
    <row r="2680" spans="61:61">
      <c r="BI2680" s="405"/>
    </row>
    <row r="2681" spans="61:61">
      <c r="BI2681" s="405"/>
    </row>
    <row r="2682" spans="61:61">
      <c r="BI2682" s="405"/>
    </row>
    <row r="2683" spans="61:61">
      <c r="BI2683" s="405"/>
    </row>
    <row r="2684" spans="61:61">
      <c r="BI2684" s="405"/>
    </row>
    <row r="2685" spans="61:61">
      <c r="BI2685" s="405"/>
    </row>
    <row r="2686" spans="61:61">
      <c r="BI2686" s="405"/>
    </row>
    <row r="2687" spans="61:61">
      <c r="BI2687" s="405"/>
    </row>
    <row r="2688" spans="61:61">
      <c r="BI2688" s="405"/>
    </row>
    <row r="2689" spans="61:61">
      <c r="BI2689" s="405"/>
    </row>
    <row r="2690" spans="61:61">
      <c r="BI2690" s="405"/>
    </row>
    <row r="2691" spans="61:61">
      <c r="BI2691" s="405"/>
    </row>
    <row r="2692" spans="61:61">
      <c r="BI2692" s="405"/>
    </row>
    <row r="2693" spans="61:61">
      <c r="BI2693" s="405"/>
    </row>
    <row r="2694" spans="61:61">
      <c r="BI2694" s="405"/>
    </row>
    <row r="2695" spans="61:61">
      <c r="BI2695" s="405"/>
    </row>
    <row r="2696" spans="61:61">
      <c r="BI2696" s="405"/>
    </row>
    <row r="2697" spans="61:61">
      <c r="BI2697" s="405"/>
    </row>
    <row r="2698" spans="61:61">
      <c r="BI2698" s="405"/>
    </row>
    <row r="2699" spans="61:61">
      <c r="BI2699" s="405"/>
    </row>
    <row r="2700" spans="61:61">
      <c r="BI2700" s="405"/>
    </row>
    <row r="2701" spans="61:61">
      <c r="BI2701" s="405"/>
    </row>
    <row r="2702" spans="61:61">
      <c r="BI2702" s="405"/>
    </row>
    <row r="2703" spans="61:61">
      <c r="BI2703" s="405"/>
    </row>
    <row r="2704" spans="61:61">
      <c r="BI2704" s="405"/>
    </row>
    <row r="2705" spans="61:61">
      <c r="BI2705" s="405"/>
    </row>
    <row r="2706" spans="61:61">
      <c r="BI2706" s="405"/>
    </row>
    <row r="2707" spans="61:61">
      <c r="BI2707" s="405"/>
    </row>
    <row r="2708" spans="61:61">
      <c r="BI2708" s="405"/>
    </row>
    <row r="2709" spans="61:61">
      <c r="BI2709" s="405"/>
    </row>
    <row r="2710" spans="61:61">
      <c r="BI2710" s="405"/>
    </row>
    <row r="2711" spans="61:61">
      <c r="BI2711" s="405"/>
    </row>
    <row r="2712" spans="61:61">
      <c r="BI2712" s="405"/>
    </row>
    <row r="2713" spans="61:61">
      <c r="BI2713" s="405"/>
    </row>
    <row r="2714" spans="61:61">
      <c r="BI2714" s="405"/>
    </row>
    <row r="2715" spans="61:61">
      <c r="BI2715" s="405"/>
    </row>
    <row r="2716" spans="61:61">
      <c r="BI2716" s="405"/>
    </row>
    <row r="2717" spans="61:61">
      <c r="BI2717" s="405"/>
    </row>
    <row r="2718" spans="61:61">
      <c r="BI2718" s="405"/>
    </row>
    <row r="2719" spans="61:61">
      <c r="BI2719" s="405"/>
    </row>
    <row r="2720" spans="61:61">
      <c r="BI2720" s="405"/>
    </row>
    <row r="2721" spans="61:61">
      <c r="BI2721" s="405"/>
    </row>
    <row r="2722" spans="61:61">
      <c r="BI2722" s="405"/>
    </row>
    <row r="2723" spans="61:61">
      <c r="BI2723" s="405"/>
    </row>
    <row r="2724" spans="61:61">
      <c r="BI2724" s="405"/>
    </row>
    <row r="2725" spans="61:61">
      <c r="BI2725" s="405"/>
    </row>
    <row r="2726" spans="61:61">
      <c r="BI2726" s="405"/>
    </row>
    <row r="2727" spans="61:61">
      <c r="BI2727" s="405"/>
    </row>
    <row r="2728" spans="61:61">
      <c r="BI2728" s="405"/>
    </row>
    <row r="2729" spans="61:61">
      <c r="BI2729" s="405"/>
    </row>
    <row r="2730" spans="61:61">
      <c r="BI2730" s="405"/>
    </row>
    <row r="2731" spans="61:61">
      <c r="BI2731" s="405"/>
    </row>
    <row r="2732" spans="61:61">
      <c r="BI2732" s="405"/>
    </row>
    <row r="2733" spans="61:61">
      <c r="BI2733" s="405"/>
    </row>
    <row r="2734" spans="61:61">
      <c r="BI2734" s="405"/>
    </row>
    <row r="2735" spans="61:61">
      <c r="BI2735" s="405"/>
    </row>
    <row r="2736" spans="61:61">
      <c r="BI2736" s="405"/>
    </row>
    <row r="2737" spans="61:61">
      <c r="BI2737" s="405"/>
    </row>
    <row r="2738" spans="61:61">
      <c r="BI2738" s="405"/>
    </row>
    <row r="2739" spans="61:61">
      <c r="BI2739" s="405"/>
    </row>
    <row r="2740" spans="61:61">
      <c r="BI2740" s="405"/>
    </row>
    <row r="2741" spans="61:61">
      <c r="BI2741" s="405"/>
    </row>
    <row r="2742" spans="61:61">
      <c r="BI2742" s="405"/>
    </row>
    <row r="2743" spans="61:61">
      <c r="BI2743" s="405"/>
    </row>
    <row r="2744" spans="61:61">
      <c r="BI2744" s="405"/>
    </row>
    <row r="2745" spans="61:61">
      <c r="BI2745" s="405"/>
    </row>
    <row r="2746" spans="61:61">
      <c r="BI2746" s="405"/>
    </row>
    <row r="2747" spans="61:61">
      <c r="BI2747" s="405"/>
    </row>
    <row r="2748" spans="61:61">
      <c r="BI2748" s="405"/>
    </row>
    <row r="2749" spans="61:61">
      <c r="BI2749" s="405"/>
    </row>
    <row r="2750" spans="61:61">
      <c r="BI2750" s="405"/>
    </row>
    <row r="2751" spans="61:61">
      <c r="BI2751" s="405"/>
    </row>
    <row r="2752" spans="61:61">
      <c r="BI2752" s="405"/>
    </row>
    <row r="2753" spans="61:61">
      <c r="BI2753" s="405"/>
    </row>
    <row r="2754" spans="61:61">
      <c r="BI2754" s="405"/>
    </row>
    <row r="2755" spans="61:61">
      <c r="BI2755" s="405"/>
    </row>
    <row r="2756" spans="61:61">
      <c r="BI2756" s="405"/>
    </row>
    <row r="2757" spans="61:61">
      <c r="BI2757" s="405"/>
    </row>
    <row r="2758" spans="61:61">
      <c r="BI2758" s="405"/>
    </row>
    <row r="2759" spans="61:61">
      <c r="BI2759" s="405"/>
    </row>
    <row r="2760" spans="61:61">
      <c r="BI2760" s="405"/>
    </row>
    <row r="2761" spans="61:61">
      <c r="BI2761" s="405"/>
    </row>
    <row r="2762" spans="61:61">
      <c r="BI2762" s="405"/>
    </row>
    <row r="2763" spans="61:61">
      <c r="BI2763" s="405"/>
    </row>
    <row r="2764" spans="61:61">
      <c r="BI2764" s="405"/>
    </row>
    <row r="2765" spans="61:61">
      <c r="BI2765" s="405"/>
    </row>
    <row r="2766" spans="61:61">
      <c r="BI2766" s="405"/>
    </row>
    <row r="2767" spans="61:61">
      <c r="BI2767" s="405"/>
    </row>
    <row r="2768" spans="61:61">
      <c r="BI2768" s="405"/>
    </row>
    <row r="2769" spans="61:61">
      <c r="BI2769" s="405"/>
    </row>
    <row r="2770" spans="61:61">
      <c r="BI2770" s="405"/>
    </row>
    <row r="2771" spans="61:61">
      <c r="BI2771" s="405"/>
    </row>
    <row r="2772" spans="61:61">
      <c r="BI2772" s="405"/>
    </row>
    <row r="2773" spans="61:61">
      <c r="BI2773" s="405"/>
    </row>
    <row r="2774" spans="61:61">
      <c r="BI2774" s="405"/>
    </row>
    <row r="2775" spans="61:61">
      <c r="BI2775" s="405"/>
    </row>
    <row r="2776" spans="61:61">
      <c r="BI2776" s="405"/>
    </row>
    <row r="2777" spans="61:61">
      <c r="BI2777" s="405"/>
    </row>
    <row r="2778" spans="61:61">
      <c r="BI2778" s="405"/>
    </row>
    <row r="2779" spans="61:61">
      <c r="BI2779" s="405"/>
    </row>
    <row r="2780" spans="61:61">
      <c r="BI2780" s="405"/>
    </row>
    <row r="2781" spans="61:61">
      <c r="BI2781" s="405"/>
    </row>
    <row r="2782" spans="61:61">
      <c r="BI2782" s="405"/>
    </row>
    <row r="2783" spans="61:61">
      <c r="BI2783" s="405"/>
    </row>
    <row r="2784" spans="61:61">
      <c r="BI2784" s="405"/>
    </row>
    <row r="2785" spans="61:61">
      <c r="BI2785" s="405"/>
    </row>
    <row r="2786" spans="61:61">
      <c r="BI2786" s="405"/>
    </row>
    <row r="2787" spans="61:61">
      <c r="BI2787" s="405"/>
    </row>
    <row r="2788" spans="61:61">
      <c r="BI2788" s="405"/>
    </row>
    <row r="2789" spans="61:61">
      <c r="BI2789" s="405"/>
    </row>
    <row r="2790" spans="61:61">
      <c r="BI2790" s="405"/>
    </row>
    <row r="2791" spans="61:61">
      <c r="BI2791" s="405"/>
    </row>
    <row r="2792" spans="61:61">
      <c r="BI2792" s="405"/>
    </row>
    <row r="2793" spans="61:61">
      <c r="BI2793" s="405"/>
    </row>
    <row r="2794" spans="61:61">
      <c r="BI2794" s="405"/>
    </row>
    <row r="2795" spans="61:61">
      <c r="BI2795" s="405"/>
    </row>
    <row r="2796" spans="61:61">
      <c r="BI2796" s="405"/>
    </row>
    <row r="2797" spans="61:61">
      <c r="BI2797" s="405"/>
    </row>
    <row r="2798" spans="61:61">
      <c r="BI2798" s="405"/>
    </row>
    <row r="2799" spans="61:61">
      <c r="BI2799" s="405"/>
    </row>
    <row r="2800" spans="61:61">
      <c r="BI2800" s="405"/>
    </row>
    <row r="2801" spans="61:61">
      <c r="BI2801" s="405"/>
    </row>
    <row r="2802" spans="61:61">
      <c r="BI2802" s="405"/>
    </row>
    <row r="2803" spans="61:61">
      <c r="BI2803" s="405"/>
    </row>
    <row r="2804" spans="61:61">
      <c r="BI2804" s="405"/>
    </row>
    <row r="2805" spans="61:61">
      <c r="BI2805" s="405"/>
    </row>
    <row r="2806" spans="61:61">
      <c r="BI2806" s="405"/>
    </row>
    <row r="2807" spans="61:61">
      <c r="BI2807" s="405"/>
    </row>
    <row r="2808" spans="61:61">
      <c r="BI2808" s="405"/>
    </row>
    <row r="2809" spans="61:61">
      <c r="BI2809" s="405"/>
    </row>
    <row r="2810" spans="61:61">
      <c r="BI2810" s="405"/>
    </row>
    <row r="2811" spans="61:61">
      <c r="BI2811" s="405"/>
    </row>
    <row r="2812" spans="61:61">
      <c r="BI2812" s="405"/>
    </row>
    <row r="2813" spans="61:61">
      <c r="BI2813" s="405"/>
    </row>
    <row r="2814" spans="61:61">
      <c r="BI2814" s="405"/>
    </row>
    <row r="2815" spans="61:61">
      <c r="BI2815" s="405"/>
    </row>
    <row r="2816" spans="61:61">
      <c r="BI2816" s="405"/>
    </row>
    <row r="2817" spans="61:61">
      <c r="BI2817" s="405"/>
    </row>
    <row r="2818" spans="61:61">
      <c r="BI2818" s="405"/>
    </row>
    <row r="2819" spans="61:61">
      <c r="BI2819" s="405"/>
    </row>
    <row r="2820" spans="61:61">
      <c r="BI2820" s="405"/>
    </row>
    <row r="2821" spans="61:61">
      <c r="BI2821" s="405"/>
    </row>
    <row r="2822" spans="61:61">
      <c r="BI2822" s="405"/>
    </row>
    <row r="2823" spans="61:61">
      <c r="BI2823" s="405"/>
    </row>
    <row r="2824" spans="61:61">
      <c r="BI2824" s="405"/>
    </row>
    <row r="2825" spans="61:61">
      <c r="BI2825" s="405"/>
    </row>
    <row r="2826" spans="61:61">
      <c r="BI2826" s="405"/>
    </row>
    <row r="2827" spans="61:61">
      <c r="BI2827" s="405"/>
    </row>
    <row r="2828" spans="61:61">
      <c r="BI2828" s="405"/>
    </row>
    <row r="2829" spans="61:61">
      <c r="BI2829" s="405"/>
    </row>
    <row r="2830" spans="61:61">
      <c r="BI2830" s="405"/>
    </row>
    <row r="2831" spans="61:61">
      <c r="BI2831" s="405"/>
    </row>
    <row r="2832" spans="61:61">
      <c r="BI2832" s="405"/>
    </row>
    <row r="2833" spans="61:61">
      <c r="BI2833" s="405"/>
    </row>
    <row r="2834" spans="61:61">
      <c r="BI2834" s="405"/>
    </row>
    <row r="2835" spans="61:61">
      <c r="BI2835" s="405"/>
    </row>
    <row r="2836" spans="61:61">
      <c r="BI2836" s="405"/>
    </row>
    <row r="2837" spans="61:61">
      <c r="BI2837" s="405"/>
    </row>
    <row r="2838" spans="61:61">
      <c r="BI2838" s="405"/>
    </row>
    <row r="2839" spans="61:61">
      <c r="BI2839" s="405"/>
    </row>
    <row r="2840" spans="61:61">
      <c r="BI2840" s="405"/>
    </row>
    <row r="2841" spans="61:61">
      <c r="BI2841" s="405"/>
    </row>
    <row r="2842" spans="61:61">
      <c r="BI2842" s="405"/>
    </row>
    <row r="2843" spans="61:61">
      <c r="BI2843" s="405"/>
    </row>
    <row r="2844" spans="61:61">
      <c r="BI2844" s="405"/>
    </row>
    <row r="2845" spans="61:61">
      <c r="BI2845" s="405"/>
    </row>
    <row r="2846" spans="61:61">
      <c r="BI2846" s="405"/>
    </row>
    <row r="2847" spans="61:61">
      <c r="BI2847" s="405"/>
    </row>
    <row r="2848" spans="61:61">
      <c r="BI2848" s="405"/>
    </row>
    <row r="2849" spans="61:61">
      <c r="BI2849" s="405"/>
    </row>
    <row r="2850" spans="61:61">
      <c r="BI2850" s="405"/>
    </row>
    <row r="2851" spans="61:61">
      <c r="BI2851" s="405"/>
    </row>
    <row r="2852" spans="61:61">
      <c r="BI2852" s="405"/>
    </row>
    <row r="2853" spans="61:61">
      <c r="BI2853" s="405"/>
    </row>
    <row r="2854" spans="61:61">
      <c r="BI2854" s="405"/>
    </row>
    <row r="2855" spans="61:61">
      <c r="BI2855" s="405"/>
    </row>
    <row r="2856" spans="61:61">
      <c r="BI2856" s="405"/>
    </row>
    <row r="2857" spans="61:61">
      <c r="BI2857" s="405"/>
    </row>
    <row r="2858" spans="61:61">
      <c r="BI2858" s="405"/>
    </row>
    <row r="2859" spans="61:61">
      <c r="BI2859" s="405"/>
    </row>
    <row r="2860" spans="61:61">
      <c r="BI2860" s="405"/>
    </row>
    <row r="2861" spans="61:61">
      <c r="BI2861" s="405"/>
    </row>
    <row r="2862" spans="61:61">
      <c r="BI2862" s="405"/>
    </row>
    <row r="2863" spans="61:61">
      <c r="BI2863" s="405"/>
    </row>
    <row r="2864" spans="61:61">
      <c r="BI2864" s="405"/>
    </row>
    <row r="2865" spans="61:61">
      <c r="BI2865" s="405"/>
    </row>
    <row r="2866" spans="61:61">
      <c r="BI2866" s="405"/>
    </row>
    <row r="2867" spans="61:61">
      <c r="BI2867" s="405"/>
    </row>
    <row r="2868" spans="61:61">
      <c r="BI2868" s="405"/>
    </row>
    <row r="2869" spans="61:61">
      <c r="BI2869" s="405"/>
    </row>
    <row r="2870" spans="61:61">
      <c r="BI2870" s="405"/>
    </row>
    <row r="2871" spans="61:61">
      <c r="BI2871" s="405"/>
    </row>
    <row r="2872" spans="61:61">
      <c r="BI2872" s="405"/>
    </row>
    <row r="2873" spans="61:61">
      <c r="BI2873" s="405"/>
    </row>
    <row r="2874" spans="61:61">
      <c r="BI2874" s="405"/>
    </row>
    <row r="2875" spans="61:61">
      <c r="BI2875" s="405"/>
    </row>
    <row r="2876" spans="61:61">
      <c r="BI2876" s="405"/>
    </row>
    <row r="2877" spans="61:61">
      <c r="BI2877" s="405"/>
    </row>
    <row r="2878" spans="61:61">
      <c r="BI2878" s="405"/>
    </row>
    <row r="2879" spans="61:61">
      <c r="BI2879" s="405"/>
    </row>
    <row r="2880" spans="61:61">
      <c r="BI2880" s="405"/>
    </row>
    <row r="2881" spans="61:61">
      <c r="BI2881" s="405"/>
    </row>
    <row r="2882" spans="61:61">
      <c r="BI2882" s="405"/>
    </row>
    <row r="2883" spans="61:61">
      <c r="BI2883" s="405"/>
    </row>
    <row r="2884" spans="61:61">
      <c r="BI2884" s="405"/>
    </row>
    <row r="2885" spans="61:61">
      <c r="BI2885" s="405"/>
    </row>
    <row r="2886" spans="61:61">
      <c r="BI2886" s="405"/>
    </row>
    <row r="2887" spans="61:61">
      <c r="BI2887" s="405"/>
    </row>
    <row r="2888" spans="61:61">
      <c r="BI2888" s="405"/>
    </row>
    <row r="2889" spans="61:61">
      <c r="BI2889" s="405"/>
    </row>
    <row r="2890" spans="61:61">
      <c r="BI2890" s="405"/>
    </row>
    <row r="2891" spans="61:61">
      <c r="BI2891" s="405"/>
    </row>
    <row r="2892" spans="61:61">
      <c r="BI2892" s="405"/>
    </row>
    <row r="2893" spans="61:61">
      <c r="BI2893" s="405"/>
    </row>
    <row r="2894" spans="61:61">
      <c r="BI2894" s="405"/>
    </row>
    <row r="2895" spans="61:61">
      <c r="BI2895" s="405"/>
    </row>
    <row r="2896" spans="61:61">
      <c r="BI2896" s="405"/>
    </row>
    <row r="2897" spans="61:61">
      <c r="BI2897" s="405"/>
    </row>
    <row r="2898" spans="61:61">
      <c r="BI2898" s="405"/>
    </row>
    <row r="2899" spans="61:61">
      <c r="BI2899" s="405"/>
    </row>
    <row r="2900" spans="61:61">
      <c r="BI2900" s="405"/>
    </row>
    <row r="2901" spans="61:61">
      <c r="BI2901" s="405"/>
    </row>
    <row r="2902" spans="61:61">
      <c r="BI2902" s="405"/>
    </row>
    <row r="2903" spans="61:61">
      <c r="BI2903" s="405"/>
    </row>
    <row r="2904" spans="61:61">
      <c r="BI2904" s="405"/>
    </row>
    <row r="2905" spans="61:61">
      <c r="BI2905" s="405"/>
    </row>
    <row r="2906" spans="61:61">
      <c r="BI2906" s="405"/>
    </row>
    <row r="2907" spans="61:61">
      <c r="BI2907" s="405"/>
    </row>
    <row r="2908" spans="61:61">
      <c r="BI2908" s="405"/>
    </row>
    <row r="2909" spans="61:61">
      <c r="BI2909" s="405"/>
    </row>
    <row r="2910" spans="61:61">
      <c r="BI2910" s="405"/>
    </row>
    <row r="2911" spans="61:61">
      <c r="BI2911" s="405"/>
    </row>
    <row r="2912" spans="61:61">
      <c r="BI2912" s="405"/>
    </row>
    <row r="2913" spans="61:61">
      <c r="BI2913" s="405"/>
    </row>
    <row r="2914" spans="61:61">
      <c r="BI2914" s="405"/>
    </row>
    <row r="2915" spans="61:61">
      <c r="BI2915" s="405"/>
    </row>
    <row r="2916" spans="61:61">
      <c r="BI2916" s="405"/>
    </row>
    <row r="2917" spans="61:61">
      <c r="BI2917" s="405"/>
    </row>
    <row r="2918" spans="61:61">
      <c r="BI2918" s="405"/>
    </row>
    <row r="2919" spans="61:61">
      <c r="BI2919" s="405"/>
    </row>
    <row r="2920" spans="61:61">
      <c r="BI2920" s="405"/>
    </row>
    <row r="2921" spans="61:61">
      <c r="BI2921" s="405"/>
    </row>
    <row r="2922" spans="61:61">
      <c r="BI2922" s="405"/>
    </row>
    <row r="2923" spans="61:61">
      <c r="BI2923" s="405"/>
    </row>
    <row r="2924" spans="61:61">
      <c r="BI2924" s="405"/>
    </row>
    <row r="2925" spans="61:61">
      <c r="BI2925" s="405"/>
    </row>
    <row r="2926" spans="61:61">
      <c r="BI2926" s="405"/>
    </row>
    <row r="2927" spans="61:61">
      <c r="BI2927" s="405"/>
    </row>
    <row r="2928" spans="61:61">
      <c r="BI2928" s="405"/>
    </row>
    <row r="2929" spans="61:61">
      <c r="BI2929" s="405"/>
    </row>
    <row r="2930" spans="61:61">
      <c r="BI2930" s="405"/>
    </row>
    <row r="2931" spans="61:61">
      <c r="BI2931" s="405"/>
    </row>
    <row r="2932" spans="61:61">
      <c r="BI2932" s="405"/>
    </row>
    <row r="2933" spans="61:61">
      <c r="BI2933" s="405"/>
    </row>
    <row r="2934" spans="61:61">
      <c r="BI2934" s="405"/>
    </row>
    <row r="2935" spans="61:61">
      <c r="BI2935" s="405"/>
    </row>
    <row r="2936" spans="61:61">
      <c r="BI2936" s="405"/>
    </row>
    <row r="2937" spans="61:61">
      <c r="BI2937" s="405"/>
    </row>
    <row r="2938" spans="61:61">
      <c r="BI2938" s="405"/>
    </row>
    <row r="2939" spans="61:61">
      <c r="BI2939" s="405"/>
    </row>
    <row r="2940" spans="61:61">
      <c r="BI2940" s="405"/>
    </row>
    <row r="2941" spans="61:61">
      <c r="BI2941" s="405"/>
    </row>
    <row r="2942" spans="61:61">
      <c r="BI2942" s="405"/>
    </row>
    <row r="2943" spans="61:61">
      <c r="BI2943" s="405"/>
    </row>
    <row r="2944" spans="61:61">
      <c r="BI2944" s="405"/>
    </row>
    <row r="2945" spans="61:61">
      <c r="BI2945" s="405"/>
    </row>
    <row r="2946" spans="61:61">
      <c r="BI2946" s="405"/>
    </row>
    <row r="2947" spans="61:61">
      <c r="BI2947" s="405"/>
    </row>
    <row r="2948" spans="61:61">
      <c r="BI2948" s="405"/>
    </row>
    <row r="2949" spans="61:61">
      <c r="BI2949" s="405"/>
    </row>
    <row r="2950" spans="61:61">
      <c r="BI2950" s="405"/>
    </row>
    <row r="2951" spans="61:61">
      <c r="BI2951" s="405"/>
    </row>
    <row r="2952" spans="61:61">
      <c r="BI2952" s="405"/>
    </row>
    <row r="2953" spans="61:61">
      <c r="BI2953" s="405"/>
    </row>
    <row r="2954" spans="61:61">
      <c r="BI2954" s="405"/>
    </row>
    <row r="2955" spans="61:61">
      <c r="BI2955" s="405"/>
    </row>
    <row r="2956" spans="61:61">
      <c r="BI2956" s="405"/>
    </row>
    <row r="2957" spans="61:61">
      <c r="BI2957" s="405"/>
    </row>
    <row r="2958" spans="61:61">
      <c r="BI2958" s="405"/>
    </row>
    <row r="2959" spans="61:61">
      <c r="BI2959" s="405"/>
    </row>
    <row r="2960" spans="61:61">
      <c r="BI2960" s="405"/>
    </row>
    <row r="2961" spans="61:61">
      <c r="BI2961" s="405"/>
    </row>
    <row r="2962" spans="61:61">
      <c r="BI2962" s="405"/>
    </row>
    <row r="2963" spans="61:61">
      <c r="BI2963" s="405"/>
    </row>
    <row r="2964" spans="61:61">
      <c r="BI2964" s="405"/>
    </row>
    <row r="2965" spans="61:61">
      <c r="BI2965" s="405"/>
    </row>
    <row r="2966" spans="61:61">
      <c r="BI2966" s="405"/>
    </row>
    <row r="2967" spans="61:61">
      <c r="BI2967" s="405"/>
    </row>
    <row r="2968" spans="61:61">
      <c r="BI2968" s="405"/>
    </row>
    <row r="2969" spans="61:61">
      <c r="BI2969" s="405"/>
    </row>
    <row r="2970" spans="61:61">
      <c r="BI2970" s="405"/>
    </row>
    <row r="2971" spans="61:61">
      <c r="BI2971" s="405"/>
    </row>
    <row r="2972" spans="61:61">
      <c r="BI2972" s="405"/>
    </row>
    <row r="2973" spans="61:61">
      <c r="BI2973" s="405"/>
    </row>
    <row r="2974" spans="61:61">
      <c r="BI2974" s="405"/>
    </row>
    <row r="2975" spans="61:61">
      <c r="BI2975" s="405"/>
    </row>
    <row r="2976" spans="61:61">
      <c r="BI2976" s="405"/>
    </row>
    <row r="2977" spans="61:61">
      <c r="BI2977" s="405"/>
    </row>
    <row r="2978" spans="61:61">
      <c r="BI2978" s="405"/>
    </row>
    <row r="2979" spans="61:61">
      <c r="BI2979" s="405"/>
    </row>
    <row r="2980" spans="61:61">
      <c r="BI2980" s="405"/>
    </row>
    <row r="2981" spans="61:61">
      <c r="BI2981" s="405"/>
    </row>
    <row r="2982" spans="61:61">
      <c r="BI2982" s="405"/>
    </row>
    <row r="2983" spans="61:61">
      <c r="BI2983" s="405"/>
    </row>
    <row r="2984" spans="61:61">
      <c r="BI2984" s="405"/>
    </row>
    <row r="2985" spans="61:61">
      <c r="BI2985" s="405"/>
    </row>
    <row r="2986" spans="61:61">
      <c r="BI2986" s="405"/>
    </row>
    <row r="2987" spans="61:61">
      <c r="BI2987" s="405"/>
    </row>
    <row r="2988" spans="61:61">
      <c r="BI2988" s="405"/>
    </row>
    <row r="2989" spans="61:61">
      <c r="BI2989" s="405"/>
    </row>
    <row r="2990" spans="61:61">
      <c r="BI2990" s="405"/>
    </row>
    <row r="2991" spans="61:61">
      <c r="BI2991" s="405"/>
    </row>
    <row r="2992" spans="61:61">
      <c r="BI2992" s="405"/>
    </row>
    <row r="2993" spans="61:61">
      <c r="BI2993" s="405"/>
    </row>
    <row r="2994" spans="61:61">
      <c r="BI2994" s="405"/>
    </row>
    <row r="2995" spans="61:61">
      <c r="BI2995" s="405"/>
    </row>
    <row r="2996" spans="61:61">
      <c r="BI2996" s="405"/>
    </row>
    <row r="2997" spans="61:61">
      <c r="BI2997" s="405"/>
    </row>
    <row r="2998" spans="61:61">
      <c r="BI2998" s="405"/>
    </row>
    <row r="2999" spans="61:61">
      <c r="BI2999" s="405"/>
    </row>
    <row r="3000" spans="61:61">
      <c r="BI3000" s="405"/>
    </row>
    <row r="3001" spans="61:61">
      <c r="BI3001" s="405"/>
    </row>
    <row r="3002" spans="61:61">
      <c r="BI3002" s="405"/>
    </row>
    <row r="3003" spans="61:61">
      <c r="BI3003" s="405"/>
    </row>
    <row r="3004" spans="61:61">
      <c r="BI3004" s="405"/>
    </row>
    <row r="3005" spans="61:61">
      <c r="BI3005" s="405"/>
    </row>
    <row r="3006" spans="61:61">
      <c r="BI3006" s="405"/>
    </row>
    <row r="3007" spans="61:61">
      <c r="BI3007" s="405"/>
    </row>
    <row r="3008" spans="61:61">
      <c r="BI3008" s="405"/>
    </row>
    <row r="3009" spans="61:61">
      <c r="BI3009" s="405"/>
    </row>
    <row r="3010" spans="61:61">
      <c r="BI3010" s="405"/>
    </row>
    <row r="3011" spans="61:61">
      <c r="BI3011" s="405"/>
    </row>
    <row r="3012" spans="61:61">
      <c r="BI3012" s="405"/>
    </row>
    <row r="3013" spans="61:61">
      <c r="BI3013" s="405"/>
    </row>
    <row r="3014" spans="61:61">
      <c r="BI3014" s="405"/>
    </row>
    <row r="3015" spans="61:61">
      <c r="BI3015" s="405"/>
    </row>
    <row r="3016" spans="61:61">
      <c r="BI3016" s="405"/>
    </row>
    <row r="3017" spans="61:61">
      <c r="BI3017" s="405"/>
    </row>
    <row r="3018" spans="61:61">
      <c r="BI3018" s="405"/>
    </row>
    <row r="3019" spans="61:61">
      <c r="BI3019" s="405"/>
    </row>
    <row r="3020" spans="61:61">
      <c r="BI3020" s="405"/>
    </row>
    <row r="3021" spans="61:61">
      <c r="BI3021" s="405"/>
    </row>
    <row r="3022" spans="61:61">
      <c r="BI3022" s="405"/>
    </row>
    <row r="3023" spans="61:61">
      <c r="BI3023" s="405"/>
    </row>
    <row r="3024" spans="61:61">
      <c r="BI3024" s="405"/>
    </row>
    <row r="3025" spans="61:61">
      <c r="BI3025" s="405"/>
    </row>
    <row r="3026" spans="61:61">
      <c r="BI3026" s="405"/>
    </row>
    <row r="3027" spans="61:61">
      <c r="BI3027" s="405"/>
    </row>
    <row r="3028" spans="61:61">
      <c r="BI3028" s="405"/>
    </row>
    <row r="3029" spans="61:61">
      <c r="BI3029" s="405"/>
    </row>
    <row r="3030" spans="61:61">
      <c r="BI3030" s="405"/>
    </row>
    <row r="3031" spans="61:61">
      <c r="BI3031" s="405"/>
    </row>
    <row r="3032" spans="61:61">
      <c r="BI3032" s="405"/>
    </row>
    <row r="3033" spans="61:61">
      <c r="BI3033" s="405"/>
    </row>
    <row r="3034" spans="61:61">
      <c r="BI3034" s="405"/>
    </row>
    <row r="3035" spans="61:61">
      <c r="BI3035" s="405"/>
    </row>
    <row r="3036" spans="61:61">
      <c r="BI3036" s="405"/>
    </row>
    <row r="3037" spans="61:61">
      <c r="BI3037" s="405"/>
    </row>
    <row r="3038" spans="61:61">
      <c r="BI3038" s="405"/>
    </row>
    <row r="3039" spans="61:61">
      <c r="BI3039" s="405"/>
    </row>
    <row r="3040" spans="61:61">
      <c r="BI3040" s="405"/>
    </row>
    <row r="3041" spans="61:61">
      <c r="BI3041" s="405"/>
    </row>
    <row r="3042" spans="61:61">
      <c r="BI3042" s="405"/>
    </row>
    <row r="3043" spans="61:61">
      <c r="BI3043" s="405"/>
    </row>
    <row r="3044" spans="61:61">
      <c r="BI3044" s="405"/>
    </row>
    <row r="3045" spans="61:61">
      <c r="BI3045" s="405"/>
    </row>
    <row r="3046" spans="61:61">
      <c r="BI3046" s="405"/>
    </row>
    <row r="3047" spans="61:61">
      <c r="BI3047" s="405"/>
    </row>
    <row r="3048" spans="61:61">
      <c r="BI3048" s="405"/>
    </row>
    <row r="3049" spans="61:61">
      <c r="BI3049" s="405"/>
    </row>
    <row r="3050" spans="61:61">
      <c r="BI3050" s="405"/>
    </row>
    <row r="3051" spans="61:61">
      <c r="BI3051" s="405"/>
    </row>
    <row r="3052" spans="61:61">
      <c r="BI3052" s="405"/>
    </row>
    <row r="3053" spans="61:61">
      <c r="BI3053" s="405"/>
    </row>
    <row r="3054" spans="61:61">
      <c r="BI3054" s="405"/>
    </row>
    <row r="3055" spans="61:61">
      <c r="BI3055" s="405"/>
    </row>
    <row r="3056" spans="61:61">
      <c r="BI3056" s="405"/>
    </row>
    <row r="3057" spans="61:61">
      <c r="BI3057" s="405"/>
    </row>
    <row r="3058" spans="61:61">
      <c r="BI3058" s="405"/>
    </row>
    <row r="3059" spans="61:61">
      <c r="BI3059" s="405"/>
    </row>
    <row r="3060" spans="61:61">
      <c r="BI3060" s="405"/>
    </row>
    <row r="3061" spans="61:61">
      <c r="BI3061" s="405"/>
    </row>
    <row r="3062" spans="61:61">
      <c r="BI3062" s="405"/>
    </row>
    <row r="3063" spans="61:61">
      <c r="BI3063" s="405"/>
    </row>
    <row r="3064" spans="61:61">
      <c r="BI3064" s="405"/>
    </row>
    <row r="3065" spans="61:61">
      <c r="BI3065" s="405"/>
    </row>
    <row r="3066" spans="61:61">
      <c r="BI3066" s="405"/>
    </row>
    <row r="3067" spans="61:61">
      <c r="BI3067" s="405"/>
    </row>
    <row r="3068" spans="61:61">
      <c r="BI3068" s="405"/>
    </row>
    <row r="3069" spans="61:61">
      <c r="BI3069" s="405"/>
    </row>
    <row r="3070" spans="61:61">
      <c r="BI3070" s="405"/>
    </row>
    <row r="3071" spans="61:61">
      <c r="BI3071" s="405"/>
    </row>
    <row r="3072" spans="61:61">
      <c r="BI3072" s="405"/>
    </row>
    <row r="3073" spans="61:61">
      <c r="BI3073" s="405"/>
    </row>
    <row r="3074" spans="61:61">
      <c r="BI3074" s="405"/>
    </row>
    <row r="3075" spans="61:61">
      <c r="BI3075" s="405"/>
    </row>
    <row r="3076" spans="61:61">
      <c r="BI3076" s="405"/>
    </row>
    <row r="3077" spans="61:61">
      <c r="BI3077" s="405"/>
    </row>
    <row r="3078" spans="61:61">
      <c r="BI3078" s="405"/>
    </row>
    <row r="3079" spans="61:61">
      <c r="BI3079" s="405"/>
    </row>
    <row r="3080" spans="61:61">
      <c r="BI3080" s="405"/>
    </row>
    <row r="3081" spans="61:61">
      <c r="BI3081" s="405"/>
    </row>
    <row r="3082" spans="61:61">
      <c r="BI3082" s="405"/>
    </row>
    <row r="3083" spans="61:61">
      <c r="BI3083" s="405"/>
    </row>
    <row r="3084" spans="61:61">
      <c r="BI3084" s="405"/>
    </row>
    <row r="3085" spans="61:61">
      <c r="BI3085" s="405"/>
    </row>
    <row r="3086" spans="61:61">
      <c r="BI3086" s="405"/>
    </row>
    <row r="3087" spans="61:61">
      <c r="BI3087" s="405"/>
    </row>
    <row r="3088" spans="61:61">
      <c r="BI3088" s="405"/>
    </row>
    <row r="3089" spans="61:61">
      <c r="BI3089" s="405"/>
    </row>
    <row r="3090" spans="61:61">
      <c r="BI3090" s="405"/>
    </row>
    <row r="3091" spans="61:61">
      <c r="BI3091" s="405"/>
    </row>
    <row r="3092" spans="61:61">
      <c r="BI3092" s="405"/>
    </row>
    <row r="3093" spans="61:61">
      <c r="BI3093" s="405"/>
    </row>
    <row r="3094" spans="61:61">
      <c r="BI3094" s="405"/>
    </row>
    <row r="3095" spans="61:61">
      <c r="BI3095" s="405"/>
    </row>
    <row r="3096" spans="61:61">
      <c r="BI3096" s="405"/>
    </row>
    <row r="3097" spans="61:61">
      <c r="BI3097" s="405"/>
    </row>
    <row r="3098" spans="61:61">
      <c r="BI3098" s="405"/>
    </row>
    <row r="3099" spans="61:61">
      <c r="BI3099" s="405"/>
    </row>
    <row r="3100" spans="61:61">
      <c r="BI3100" s="405"/>
    </row>
    <row r="3101" spans="61:61">
      <c r="BI3101" s="405"/>
    </row>
    <row r="3102" spans="61:61">
      <c r="BI3102" s="405"/>
    </row>
    <row r="3103" spans="61:61">
      <c r="BI3103" s="405"/>
    </row>
    <row r="3104" spans="61:61">
      <c r="BI3104" s="405"/>
    </row>
    <row r="3105" spans="61:61">
      <c r="BI3105" s="405"/>
    </row>
    <row r="3106" spans="61:61">
      <c r="BI3106" s="405"/>
    </row>
    <row r="3107" spans="61:61">
      <c r="BI3107" s="405"/>
    </row>
    <row r="3108" spans="61:61">
      <c r="BI3108" s="405"/>
    </row>
    <row r="3109" spans="61:61">
      <c r="BI3109" s="405"/>
    </row>
    <row r="3110" spans="61:61">
      <c r="BI3110" s="405"/>
    </row>
    <row r="3111" spans="61:61">
      <c r="BI3111" s="405"/>
    </row>
    <row r="3112" spans="61:61">
      <c r="BI3112" s="405"/>
    </row>
    <row r="3113" spans="61:61">
      <c r="BI3113" s="405"/>
    </row>
    <row r="3114" spans="61:61">
      <c r="BI3114" s="405"/>
    </row>
    <row r="3115" spans="61:61">
      <c r="BI3115" s="405"/>
    </row>
    <row r="3116" spans="61:61">
      <c r="BI3116" s="405"/>
    </row>
    <row r="3117" spans="61:61">
      <c r="BI3117" s="405"/>
    </row>
    <row r="3118" spans="61:61">
      <c r="BI3118" s="405"/>
    </row>
    <row r="3119" spans="61:61">
      <c r="BI3119" s="405"/>
    </row>
    <row r="3120" spans="61:61">
      <c r="BI3120" s="405"/>
    </row>
    <row r="3121" spans="61:61">
      <c r="BI3121" s="405"/>
    </row>
    <row r="3122" spans="61:61">
      <c r="BI3122" s="405"/>
    </row>
    <row r="3123" spans="61:61">
      <c r="BI3123" s="405"/>
    </row>
    <row r="3124" spans="61:61">
      <c r="BI3124" s="405"/>
    </row>
    <row r="3125" spans="61:61">
      <c r="BI3125" s="405"/>
    </row>
    <row r="3126" spans="61:61">
      <c r="BI3126" s="405"/>
    </row>
    <row r="3127" spans="61:61">
      <c r="BI3127" s="405"/>
    </row>
    <row r="3128" spans="61:61">
      <c r="BI3128" s="405"/>
    </row>
    <row r="3129" spans="61:61">
      <c r="BI3129" s="405"/>
    </row>
    <row r="3130" spans="61:61">
      <c r="BI3130" s="405"/>
    </row>
    <row r="3131" spans="61:61">
      <c r="BI3131" s="405"/>
    </row>
    <row r="3132" spans="61:61">
      <c r="BI3132" s="405"/>
    </row>
    <row r="3133" spans="61:61">
      <c r="BI3133" s="405"/>
    </row>
    <row r="3134" spans="61:61">
      <c r="BI3134" s="405"/>
    </row>
    <row r="3135" spans="61:61">
      <c r="BI3135" s="405"/>
    </row>
    <row r="3136" spans="61:61">
      <c r="BI3136" s="405"/>
    </row>
    <row r="3137" spans="61:61">
      <c r="BI3137" s="405"/>
    </row>
    <row r="3138" spans="61:61">
      <c r="BI3138" s="405"/>
    </row>
    <row r="3139" spans="61:61">
      <c r="BI3139" s="405"/>
    </row>
    <row r="3140" spans="61:61">
      <c r="BI3140" s="405"/>
    </row>
    <row r="3141" spans="61:61">
      <c r="BI3141" s="405"/>
    </row>
    <row r="3142" spans="61:61">
      <c r="BI3142" s="405"/>
    </row>
    <row r="3143" spans="61:61">
      <c r="BI3143" s="405"/>
    </row>
    <row r="3144" spans="61:61">
      <c r="BI3144" s="405"/>
    </row>
    <row r="3145" spans="61:61">
      <c r="BI3145" s="405"/>
    </row>
    <row r="3146" spans="61:61">
      <c r="BI3146" s="405"/>
    </row>
    <row r="3147" spans="61:61">
      <c r="BI3147" s="405"/>
    </row>
    <row r="3148" spans="61:61">
      <c r="BI3148" s="405"/>
    </row>
    <row r="3149" spans="61:61">
      <c r="BI3149" s="405"/>
    </row>
    <row r="3150" spans="61:61">
      <c r="BI3150" s="405"/>
    </row>
    <row r="3151" spans="61:61">
      <c r="BI3151" s="405"/>
    </row>
    <row r="3152" spans="61:61">
      <c r="BI3152" s="405"/>
    </row>
    <row r="3153" spans="61:61">
      <c r="BI3153" s="405"/>
    </row>
    <row r="3154" spans="61:61">
      <c r="BI3154" s="405"/>
    </row>
    <row r="3155" spans="61:61">
      <c r="BI3155" s="405"/>
    </row>
    <row r="3156" spans="61:61">
      <c r="BI3156" s="405"/>
    </row>
    <row r="3157" spans="61:61">
      <c r="BI3157" s="405"/>
    </row>
    <row r="3158" spans="61:61">
      <c r="BI3158" s="405"/>
    </row>
    <row r="3159" spans="61:61">
      <c r="BI3159" s="405"/>
    </row>
    <row r="3160" spans="61:61">
      <c r="BI3160" s="405"/>
    </row>
    <row r="3161" spans="61:61">
      <c r="BI3161" s="405"/>
    </row>
    <row r="3162" spans="61:61">
      <c r="BI3162" s="405"/>
    </row>
    <row r="3163" spans="61:61">
      <c r="BI3163" s="405"/>
    </row>
    <row r="3164" spans="61:61">
      <c r="BI3164" s="405"/>
    </row>
    <row r="3165" spans="61:61">
      <c r="BI3165" s="405"/>
    </row>
    <row r="3166" spans="61:61">
      <c r="BI3166" s="405"/>
    </row>
    <row r="3167" spans="61:61">
      <c r="BI3167" s="405"/>
    </row>
    <row r="3168" spans="61:61">
      <c r="BI3168" s="405"/>
    </row>
    <row r="3169" spans="61:61">
      <c r="BI3169" s="405"/>
    </row>
    <row r="3170" spans="61:61">
      <c r="BI3170" s="405"/>
    </row>
    <row r="3171" spans="61:61">
      <c r="BI3171" s="405"/>
    </row>
    <row r="3172" spans="61:61">
      <c r="BI3172" s="405"/>
    </row>
    <row r="3173" spans="61:61">
      <c r="BI3173" s="405"/>
    </row>
    <row r="3174" spans="61:61">
      <c r="BI3174" s="405"/>
    </row>
    <row r="3175" spans="61:61">
      <c r="BI3175" s="405"/>
    </row>
    <row r="3176" spans="61:61">
      <c r="BI3176" s="405"/>
    </row>
    <row r="3177" spans="61:61">
      <c r="BI3177" s="405"/>
    </row>
    <row r="3178" spans="61:61">
      <c r="BI3178" s="405"/>
    </row>
    <row r="3179" spans="61:61">
      <c r="BI3179" s="405"/>
    </row>
    <row r="3180" spans="61:61">
      <c r="BI3180" s="405"/>
    </row>
    <row r="3181" spans="61:61">
      <c r="BI3181" s="405"/>
    </row>
    <row r="3182" spans="61:61">
      <c r="BI3182" s="405"/>
    </row>
    <row r="3183" spans="61:61">
      <c r="BI3183" s="405"/>
    </row>
    <row r="3184" spans="61:61">
      <c r="BI3184" s="405"/>
    </row>
    <row r="3185" spans="61:61">
      <c r="BI3185" s="405"/>
    </row>
    <row r="3186" spans="61:61">
      <c r="BI3186" s="405"/>
    </row>
    <row r="3187" spans="61:61">
      <c r="BI3187" s="405"/>
    </row>
    <row r="3188" spans="61:61">
      <c r="BI3188" s="405"/>
    </row>
    <row r="3189" spans="61:61">
      <c r="BI3189" s="405"/>
    </row>
    <row r="3190" spans="61:61">
      <c r="BI3190" s="405"/>
    </row>
    <row r="3191" spans="61:61">
      <c r="BI3191" s="405"/>
    </row>
    <row r="3192" spans="61:61">
      <c r="BI3192" s="405"/>
    </row>
    <row r="3193" spans="61:61">
      <c r="BI3193" s="405"/>
    </row>
    <row r="3194" spans="61:61">
      <c r="BI3194" s="405"/>
    </row>
    <row r="3195" spans="61:61">
      <c r="BI3195" s="405"/>
    </row>
    <row r="3196" spans="61:61">
      <c r="BI3196" s="405"/>
    </row>
    <row r="3197" spans="61:61">
      <c r="BI3197" s="405"/>
    </row>
    <row r="3198" spans="61:61">
      <c r="BI3198" s="405"/>
    </row>
    <row r="3199" spans="61:61">
      <c r="BI3199" s="405"/>
    </row>
    <row r="3200" spans="61:61">
      <c r="BI3200" s="405"/>
    </row>
    <row r="3201" spans="61:61">
      <c r="BI3201" s="405"/>
    </row>
    <row r="3202" spans="61:61">
      <c r="BI3202" s="405"/>
    </row>
    <row r="3203" spans="61:61">
      <c r="BI3203" s="405"/>
    </row>
    <row r="3204" spans="61:61">
      <c r="BI3204" s="405"/>
    </row>
    <row r="3205" spans="61:61">
      <c r="BI3205" s="405"/>
    </row>
    <row r="3206" spans="61:61">
      <c r="BI3206" s="405"/>
    </row>
    <row r="3207" spans="61:61">
      <c r="BI3207" s="405"/>
    </row>
    <row r="3208" spans="61:61">
      <c r="BI3208" s="405"/>
    </row>
    <row r="3209" spans="61:61">
      <c r="BI3209" s="405"/>
    </row>
    <row r="3210" spans="61:61">
      <c r="BI3210" s="405"/>
    </row>
    <row r="3211" spans="61:61">
      <c r="BI3211" s="405"/>
    </row>
    <row r="3212" spans="61:61">
      <c r="BI3212" s="405"/>
    </row>
    <row r="3213" spans="61:61">
      <c r="BI3213" s="405"/>
    </row>
    <row r="3214" spans="61:61">
      <c r="BI3214" s="405"/>
    </row>
    <row r="3215" spans="61:61">
      <c r="BI3215" s="405"/>
    </row>
    <row r="3216" spans="61:61">
      <c r="BI3216" s="405"/>
    </row>
    <row r="3217" spans="61:61">
      <c r="BI3217" s="405"/>
    </row>
    <row r="3218" spans="61:61">
      <c r="BI3218" s="405"/>
    </row>
    <row r="3219" spans="61:61">
      <c r="BI3219" s="405"/>
    </row>
    <row r="3220" spans="61:61">
      <c r="BI3220" s="405"/>
    </row>
    <row r="3221" spans="61:61">
      <c r="BI3221" s="405"/>
    </row>
    <row r="3222" spans="61:61">
      <c r="BI3222" s="405"/>
    </row>
    <row r="3223" spans="61:61">
      <c r="BI3223" s="405"/>
    </row>
    <row r="3224" spans="61:61">
      <c r="BI3224" s="405"/>
    </row>
    <row r="3225" spans="61:61">
      <c r="BI3225" s="405"/>
    </row>
    <row r="3226" spans="61:61">
      <c r="BI3226" s="405"/>
    </row>
    <row r="3227" spans="61:61">
      <c r="BI3227" s="405"/>
    </row>
    <row r="3228" spans="61:61">
      <c r="BI3228" s="405"/>
    </row>
    <row r="3229" spans="61:61">
      <c r="BI3229" s="405"/>
    </row>
    <row r="3230" spans="61:61">
      <c r="BI3230" s="405"/>
    </row>
    <row r="3231" spans="61:61">
      <c r="BI3231" s="405"/>
    </row>
    <row r="3232" spans="61:61">
      <c r="BI3232" s="405"/>
    </row>
    <row r="3233" spans="61:61">
      <c r="BI3233" s="405"/>
    </row>
    <row r="3234" spans="61:61">
      <c r="BI3234" s="405"/>
    </row>
    <row r="3235" spans="61:61">
      <c r="BI3235" s="405"/>
    </row>
    <row r="3236" spans="61:61">
      <c r="BI3236" s="405"/>
    </row>
    <row r="3237" spans="61:61">
      <c r="BI3237" s="405"/>
    </row>
    <row r="3238" spans="61:61">
      <c r="BI3238" s="405"/>
    </row>
    <row r="3239" spans="61:61">
      <c r="BI3239" s="405"/>
    </row>
    <row r="3240" spans="61:61">
      <c r="BI3240" s="405"/>
    </row>
    <row r="3241" spans="61:61">
      <c r="BI3241" s="405"/>
    </row>
    <row r="3242" spans="61:61">
      <c r="BI3242" s="405"/>
    </row>
    <row r="3243" spans="61:61">
      <c r="BI3243" s="405"/>
    </row>
    <row r="3244" spans="61:61">
      <c r="BI3244" s="405"/>
    </row>
    <row r="3245" spans="61:61">
      <c r="BI3245" s="405"/>
    </row>
    <row r="3246" spans="61:61">
      <c r="BI3246" s="405"/>
    </row>
    <row r="3247" spans="61:61">
      <c r="BI3247" s="405"/>
    </row>
    <row r="3248" spans="61:61">
      <c r="BI3248" s="405"/>
    </row>
    <row r="3249" spans="61:61">
      <c r="BI3249" s="405"/>
    </row>
    <row r="3250" spans="61:61">
      <c r="BI3250" s="405"/>
    </row>
    <row r="3251" spans="61:61">
      <c r="BI3251" s="405"/>
    </row>
    <row r="3252" spans="61:61">
      <c r="BI3252" s="405"/>
    </row>
    <row r="3253" spans="61:61">
      <c r="BI3253" s="405"/>
    </row>
    <row r="3254" spans="61:61">
      <c r="BI3254" s="405"/>
    </row>
    <row r="3255" spans="61:61">
      <c r="BI3255" s="405"/>
    </row>
    <row r="3256" spans="61:61">
      <c r="BI3256" s="405"/>
    </row>
    <row r="3257" spans="61:61">
      <c r="BI3257" s="405"/>
    </row>
    <row r="3258" spans="61:61">
      <c r="BI3258" s="405"/>
    </row>
    <row r="3259" spans="61:61">
      <c r="BI3259" s="405"/>
    </row>
    <row r="3260" spans="61:61">
      <c r="BI3260" s="405"/>
    </row>
    <row r="3261" spans="61:61">
      <c r="BI3261" s="405"/>
    </row>
    <row r="3262" spans="61:61">
      <c r="BI3262" s="405"/>
    </row>
    <row r="3263" spans="61:61">
      <c r="BI3263" s="405"/>
    </row>
    <row r="3264" spans="61:61">
      <c r="BI3264" s="405"/>
    </row>
    <row r="3265" spans="61:61">
      <c r="BI3265" s="405"/>
    </row>
    <row r="3266" spans="61:61">
      <c r="BI3266" s="405"/>
    </row>
    <row r="3267" spans="61:61">
      <c r="BI3267" s="405"/>
    </row>
    <row r="3268" spans="61:61">
      <c r="BI3268" s="405"/>
    </row>
    <row r="3269" spans="61:61">
      <c r="BI3269" s="405"/>
    </row>
    <row r="3270" spans="61:61">
      <c r="BI3270" s="405"/>
    </row>
    <row r="3271" spans="61:61">
      <c r="BI3271" s="405"/>
    </row>
    <row r="3272" spans="61:61">
      <c r="BI3272" s="405"/>
    </row>
    <row r="3273" spans="61:61">
      <c r="BI3273" s="405"/>
    </row>
    <row r="3274" spans="61:61">
      <c r="BI3274" s="405"/>
    </row>
    <row r="3275" spans="61:61">
      <c r="BI3275" s="405"/>
    </row>
    <row r="3276" spans="61:61">
      <c r="BI3276" s="405"/>
    </row>
    <row r="3277" spans="61:61">
      <c r="BI3277" s="405"/>
    </row>
    <row r="3278" spans="61:61">
      <c r="BI3278" s="405"/>
    </row>
    <row r="3279" spans="61:61">
      <c r="BI3279" s="405"/>
    </row>
    <row r="3280" spans="61:61">
      <c r="BI3280" s="405"/>
    </row>
    <row r="3281" spans="61:61">
      <c r="BI3281" s="405"/>
    </row>
    <row r="3282" spans="61:61">
      <c r="BI3282" s="405"/>
    </row>
    <row r="3283" spans="61:61">
      <c r="BI3283" s="405"/>
    </row>
    <row r="3284" spans="61:61">
      <c r="BI3284" s="405"/>
    </row>
    <row r="3285" spans="61:61">
      <c r="BI3285" s="405"/>
    </row>
    <row r="3286" spans="61:61">
      <c r="BI3286" s="405"/>
    </row>
    <row r="3287" spans="61:61">
      <c r="BI3287" s="405"/>
    </row>
    <row r="3288" spans="61:61">
      <c r="BI3288" s="405"/>
    </row>
    <row r="3289" spans="61:61">
      <c r="BI3289" s="405"/>
    </row>
    <row r="3290" spans="61:61">
      <c r="BI3290" s="405"/>
    </row>
    <row r="3291" spans="61:61">
      <c r="BI3291" s="405"/>
    </row>
    <row r="3292" spans="61:61">
      <c r="BI3292" s="405"/>
    </row>
    <row r="3293" spans="61:61">
      <c r="BI3293" s="405"/>
    </row>
    <row r="3294" spans="61:61">
      <c r="BI3294" s="405"/>
    </row>
    <row r="3295" spans="61:61">
      <c r="BI3295" s="405"/>
    </row>
    <row r="3296" spans="61:61">
      <c r="BI3296" s="405"/>
    </row>
    <row r="3297" spans="61:61">
      <c r="BI3297" s="405"/>
    </row>
    <row r="3298" spans="61:61">
      <c r="BI3298" s="405"/>
    </row>
    <row r="3299" spans="61:61">
      <c r="BI3299" s="405"/>
    </row>
    <row r="3300" spans="61:61">
      <c r="BI3300" s="405"/>
    </row>
    <row r="3301" spans="61:61">
      <c r="BI3301" s="405"/>
    </row>
    <row r="3302" spans="61:61">
      <c r="BI3302" s="405"/>
    </row>
    <row r="3303" spans="61:61">
      <c r="BI3303" s="405"/>
    </row>
    <row r="3304" spans="61:61">
      <c r="BI3304" s="405"/>
    </row>
    <row r="3305" spans="61:61">
      <c r="BI3305" s="405"/>
    </row>
    <row r="3306" spans="61:61">
      <c r="BI3306" s="405"/>
    </row>
    <row r="3307" spans="61:61">
      <c r="BI3307" s="405"/>
    </row>
    <row r="3308" spans="61:61">
      <c r="BI3308" s="405"/>
    </row>
    <row r="3309" spans="61:61">
      <c r="BI3309" s="405"/>
    </row>
    <row r="3310" spans="61:61">
      <c r="BI3310" s="405"/>
    </row>
    <row r="3311" spans="61:61">
      <c r="BI3311" s="405"/>
    </row>
    <row r="3312" spans="61:61">
      <c r="BI3312" s="405"/>
    </row>
    <row r="3313" spans="61:61">
      <c r="BI3313" s="405"/>
    </row>
    <row r="3314" spans="61:61">
      <c r="BI3314" s="405"/>
    </row>
    <row r="3315" spans="61:61">
      <c r="BI3315" s="405"/>
    </row>
    <row r="3316" spans="61:61">
      <c r="BI3316" s="405"/>
    </row>
    <row r="3317" spans="61:61">
      <c r="BI3317" s="405"/>
    </row>
    <row r="3318" spans="61:61">
      <c r="BI3318" s="405"/>
    </row>
    <row r="3319" spans="61:61">
      <c r="BI3319" s="405"/>
    </row>
    <row r="3320" spans="61:61">
      <c r="BI3320" s="405"/>
    </row>
    <row r="3321" spans="61:61">
      <c r="BI3321" s="405"/>
    </row>
    <row r="3322" spans="61:61">
      <c r="BI3322" s="405"/>
    </row>
    <row r="3323" spans="61:61">
      <c r="BI3323" s="405"/>
    </row>
    <row r="3324" spans="61:61">
      <c r="BI3324" s="405"/>
    </row>
    <row r="3325" spans="61:61">
      <c r="BI3325" s="405"/>
    </row>
    <row r="3326" spans="61:61">
      <c r="BI3326" s="405"/>
    </row>
    <row r="3327" spans="61:61">
      <c r="BI3327" s="405"/>
    </row>
    <row r="3328" spans="61:61">
      <c r="BI3328" s="405"/>
    </row>
    <row r="3329" spans="61:61">
      <c r="BI3329" s="405"/>
    </row>
    <row r="3330" spans="61:61">
      <c r="BI3330" s="405"/>
    </row>
    <row r="3331" spans="61:61">
      <c r="BI3331" s="405"/>
    </row>
    <row r="3332" spans="61:61">
      <c r="BI3332" s="405"/>
    </row>
    <row r="3333" spans="61:61">
      <c r="BI3333" s="405"/>
    </row>
    <row r="3334" spans="61:61">
      <c r="BI3334" s="405"/>
    </row>
    <row r="3335" spans="61:61">
      <c r="BI3335" s="405"/>
    </row>
    <row r="3336" spans="61:61">
      <c r="BI3336" s="405"/>
    </row>
    <row r="3337" spans="61:61">
      <c r="BI3337" s="405"/>
    </row>
    <row r="3338" spans="61:61">
      <c r="BI3338" s="405"/>
    </row>
    <row r="3339" spans="61:61">
      <c r="BI3339" s="405"/>
    </row>
    <row r="3340" spans="61:61">
      <c r="BI3340" s="405"/>
    </row>
    <row r="3341" spans="61:61">
      <c r="BI3341" s="405"/>
    </row>
    <row r="3342" spans="61:61">
      <c r="BI3342" s="405"/>
    </row>
    <row r="3343" spans="61:61">
      <c r="BI3343" s="405"/>
    </row>
    <row r="3344" spans="61:61">
      <c r="BI3344" s="405"/>
    </row>
    <row r="3345" spans="61:61">
      <c r="BI3345" s="405"/>
    </row>
    <row r="3346" spans="61:61">
      <c r="BI3346" s="405"/>
    </row>
    <row r="3347" spans="61:61">
      <c r="BI3347" s="405"/>
    </row>
    <row r="3348" spans="61:61">
      <c r="BI3348" s="405"/>
    </row>
    <row r="3349" spans="61:61">
      <c r="BI3349" s="405"/>
    </row>
    <row r="3350" spans="61:61">
      <c r="BI3350" s="405"/>
    </row>
    <row r="3351" spans="61:61">
      <c r="BI3351" s="405"/>
    </row>
    <row r="3352" spans="61:61">
      <c r="BI3352" s="405"/>
    </row>
    <row r="3353" spans="61:61">
      <c r="BI3353" s="405"/>
    </row>
    <row r="3354" spans="61:61">
      <c r="BI3354" s="405"/>
    </row>
    <row r="3355" spans="61:61">
      <c r="BI3355" s="405"/>
    </row>
    <row r="3356" spans="61:61">
      <c r="BI3356" s="405"/>
    </row>
    <row r="3357" spans="61:61">
      <c r="BI3357" s="405"/>
    </row>
    <row r="3358" spans="61:61">
      <c r="BI3358" s="405"/>
    </row>
    <row r="3359" spans="61:61">
      <c r="BI3359" s="405"/>
    </row>
    <row r="3360" spans="61:61">
      <c r="BI3360" s="405"/>
    </row>
    <row r="3361" spans="61:61">
      <c r="BI3361" s="405"/>
    </row>
    <row r="3362" spans="61:61">
      <c r="BI3362" s="405"/>
    </row>
    <row r="3363" spans="61:61">
      <c r="BI3363" s="405"/>
    </row>
    <row r="3364" spans="61:61">
      <c r="BI3364" s="405"/>
    </row>
    <row r="3365" spans="61:61">
      <c r="BI3365" s="405"/>
    </row>
    <row r="3366" spans="61:61">
      <c r="BI3366" s="405"/>
    </row>
    <row r="3367" spans="61:61">
      <c r="BI3367" s="405"/>
    </row>
    <row r="3368" spans="61:61">
      <c r="BI3368" s="405"/>
    </row>
    <row r="3369" spans="61:61">
      <c r="BI3369" s="405"/>
    </row>
    <row r="3370" spans="61:61">
      <c r="BI3370" s="405"/>
    </row>
    <row r="3371" spans="61:61">
      <c r="BI3371" s="405"/>
    </row>
    <row r="3372" spans="61:61">
      <c r="BI3372" s="405"/>
    </row>
    <row r="3373" spans="61:61">
      <c r="BI3373" s="405"/>
    </row>
    <row r="3374" spans="61:61">
      <c r="BI3374" s="405"/>
    </row>
    <row r="3375" spans="61:61">
      <c r="BI3375" s="405"/>
    </row>
    <row r="3376" spans="61:61">
      <c r="BI3376" s="405"/>
    </row>
    <row r="3377" spans="61:61">
      <c r="BI3377" s="405"/>
    </row>
    <row r="3378" spans="61:61">
      <c r="BI3378" s="405"/>
    </row>
    <row r="3379" spans="61:61">
      <c r="BI3379" s="405"/>
    </row>
    <row r="3380" spans="61:61">
      <c r="BI3380" s="405"/>
    </row>
    <row r="3381" spans="61:61">
      <c r="BI3381" s="405"/>
    </row>
    <row r="3382" spans="61:61">
      <c r="BI3382" s="405"/>
    </row>
    <row r="3383" spans="61:61">
      <c r="BI3383" s="405"/>
    </row>
    <row r="3384" spans="61:61">
      <c r="BI3384" s="405"/>
    </row>
    <row r="3385" spans="61:61">
      <c r="BI3385" s="405"/>
    </row>
    <row r="3386" spans="61:61">
      <c r="BI3386" s="405"/>
    </row>
    <row r="3387" spans="61:61">
      <c r="BI3387" s="405"/>
    </row>
    <row r="3388" spans="61:61">
      <c r="BI3388" s="405"/>
    </row>
    <row r="3389" spans="61:61">
      <c r="BI3389" s="405"/>
    </row>
    <row r="3390" spans="61:61">
      <c r="BI3390" s="405"/>
    </row>
    <row r="3391" spans="61:61">
      <c r="BI3391" s="405"/>
    </row>
    <row r="3392" spans="61:61">
      <c r="BI3392" s="405"/>
    </row>
    <row r="3393" spans="61:61">
      <c r="BI3393" s="405"/>
    </row>
    <row r="3394" spans="61:61">
      <c r="BI3394" s="405"/>
    </row>
    <row r="3395" spans="61:61">
      <c r="BI3395" s="405"/>
    </row>
    <row r="3396" spans="61:61">
      <c r="BI3396" s="405"/>
    </row>
    <row r="3397" spans="61:61">
      <c r="BI3397" s="405"/>
    </row>
    <row r="3398" spans="61:61">
      <c r="BI3398" s="405"/>
    </row>
    <row r="3399" spans="61:61">
      <c r="BI3399" s="405"/>
    </row>
    <row r="3400" spans="61:61">
      <c r="BI3400" s="405"/>
    </row>
    <row r="3401" spans="61:61">
      <c r="BI3401" s="405"/>
    </row>
    <row r="3402" spans="61:61">
      <c r="BI3402" s="405"/>
    </row>
    <row r="3403" spans="61:61">
      <c r="BI3403" s="405"/>
    </row>
    <row r="3404" spans="61:61">
      <c r="BI3404" s="405"/>
    </row>
    <row r="3405" spans="61:61">
      <c r="BI3405" s="405"/>
    </row>
    <row r="3406" spans="61:61">
      <c r="BI3406" s="405"/>
    </row>
    <row r="3407" spans="61:61">
      <c r="BI3407" s="405"/>
    </row>
    <row r="3408" spans="61:61">
      <c r="BI3408" s="405"/>
    </row>
    <row r="3409" spans="61:61">
      <c r="BI3409" s="405"/>
    </row>
    <row r="3410" spans="61:61">
      <c r="BI3410" s="405"/>
    </row>
    <row r="3411" spans="61:61">
      <c r="BI3411" s="405"/>
    </row>
    <row r="3412" spans="61:61">
      <c r="BI3412" s="405"/>
    </row>
    <row r="3413" spans="61:61">
      <c r="BI3413" s="405"/>
    </row>
    <row r="3414" spans="61:61">
      <c r="BI3414" s="405"/>
    </row>
    <row r="3415" spans="61:61">
      <c r="BI3415" s="405"/>
    </row>
    <row r="3416" spans="61:61">
      <c r="BI3416" s="405"/>
    </row>
    <row r="3417" spans="61:61">
      <c r="BI3417" s="405"/>
    </row>
    <row r="3418" spans="61:61">
      <c r="BI3418" s="405"/>
    </row>
    <row r="3419" spans="61:61">
      <c r="BI3419" s="405"/>
    </row>
    <row r="3420" spans="61:61">
      <c r="BI3420" s="405"/>
    </row>
    <row r="3421" spans="61:61">
      <c r="BI3421" s="405"/>
    </row>
    <row r="3422" spans="61:61">
      <c r="BI3422" s="405"/>
    </row>
    <row r="3423" spans="61:61">
      <c r="BI3423" s="405"/>
    </row>
    <row r="3424" spans="61:61">
      <c r="BI3424" s="405"/>
    </row>
    <row r="3425" spans="61:61">
      <c r="BI3425" s="405"/>
    </row>
    <row r="3426" spans="61:61">
      <c r="BI3426" s="405"/>
    </row>
    <row r="3427" spans="61:61">
      <c r="BI3427" s="405"/>
    </row>
    <row r="3428" spans="61:61">
      <c r="BI3428" s="405"/>
    </row>
    <row r="3429" spans="61:61">
      <c r="BI3429" s="405"/>
    </row>
    <row r="3430" spans="61:61">
      <c r="BI3430" s="405"/>
    </row>
    <row r="3431" spans="61:61">
      <c r="BI3431" s="405"/>
    </row>
    <row r="3432" spans="61:61">
      <c r="BI3432" s="405"/>
    </row>
    <row r="3433" spans="61:61">
      <c r="BI3433" s="405"/>
    </row>
    <row r="3434" spans="61:61">
      <c r="BI3434" s="405"/>
    </row>
    <row r="3435" spans="61:61">
      <c r="BI3435" s="405"/>
    </row>
    <row r="3436" spans="61:61">
      <c r="BI3436" s="405"/>
    </row>
    <row r="3437" spans="61:61">
      <c r="BI3437" s="405"/>
    </row>
    <row r="3438" spans="61:61">
      <c r="BI3438" s="405"/>
    </row>
    <row r="3439" spans="61:61">
      <c r="BI3439" s="405"/>
    </row>
    <row r="3440" spans="61:61">
      <c r="BI3440" s="405"/>
    </row>
    <row r="3441" spans="61:61">
      <c r="BI3441" s="405"/>
    </row>
    <row r="3442" spans="61:61">
      <c r="BI3442" s="405"/>
    </row>
    <row r="3443" spans="61:61">
      <c r="BI3443" s="405"/>
    </row>
    <row r="3444" spans="61:61">
      <c r="BI3444" s="405"/>
    </row>
    <row r="3445" spans="61:61">
      <c r="BI3445" s="405"/>
    </row>
    <row r="3446" spans="61:61">
      <c r="BI3446" s="405"/>
    </row>
    <row r="3447" spans="61:61">
      <c r="BI3447" s="405"/>
    </row>
    <row r="3448" spans="61:61">
      <c r="BI3448" s="405"/>
    </row>
    <row r="3449" spans="61:61">
      <c r="BI3449" s="405"/>
    </row>
    <row r="3450" spans="61:61">
      <c r="BI3450" s="405"/>
    </row>
    <row r="3451" spans="61:61">
      <c r="BI3451" s="405"/>
    </row>
    <row r="3452" spans="61:61">
      <c r="BI3452" s="405"/>
    </row>
    <row r="3453" spans="61:61">
      <c r="BI3453" s="405"/>
    </row>
    <row r="3454" spans="61:61">
      <c r="BI3454" s="405"/>
    </row>
    <row r="3455" spans="61:61">
      <c r="BI3455" s="405"/>
    </row>
    <row r="3456" spans="61:61">
      <c r="BI3456" s="405"/>
    </row>
    <row r="3457" spans="61:61">
      <c r="BI3457" s="405"/>
    </row>
    <row r="3458" spans="61:61">
      <c r="BI3458" s="405"/>
    </row>
    <row r="3459" spans="61:61">
      <c r="BI3459" s="405"/>
    </row>
    <row r="3460" spans="61:61">
      <c r="BI3460" s="405"/>
    </row>
    <row r="3461" spans="61:61">
      <c r="BI3461" s="405"/>
    </row>
    <row r="3462" spans="61:61">
      <c r="BI3462" s="405"/>
    </row>
    <row r="3463" spans="61:61">
      <c r="BI3463" s="405"/>
    </row>
    <row r="3464" spans="61:61">
      <c r="BI3464" s="405"/>
    </row>
    <row r="3465" spans="61:61">
      <c r="BI3465" s="405"/>
    </row>
    <row r="3466" spans="61:61">
      <c r="BI3466" s="405"/>
    </row>
    <row r="3467" spans="61:61">
      <c r="BI3467" s="405"/>
    </row>
    <row r="3468" spans="61:61">
      <c r="BI3468" s="405"/>
    </row>
    <row r="3469" spans="61:61">
      <c r="BI3469" s="405"/>
    </row>
    <row r="3470" spans="61:61">
      <c r="BI3470" s="405"/>
    </row>
    <row r="3471" spans="61:61">
      <c r="BI3471" s="405"/>
    </row>
    <row r="3472" spans="61:61">
      <c r="BI3472" s="405"/>
    </row>
    <row r="3473" spans="61:61">
      <c r="BI3473" s="405"/>
    </row>
    <row r="3474" spans="61:61">
      <c r="BI3474" s="405"/>
    </row>
    <row r="3475" spans="61:61">
      <c r="BI3475" s="405"/>
    </row>
    <row r="3476" spans="61:61">
      <c r="BI3476" s="405"/>
    </row>
    <row r="3477" spans="61:61">
      <c r="BI3477" s="405"/>
    </row>
    <row r="3478" spans="61:61">
      <c r="BI3478" s="405"/>
    </row>
    <row r="3479" spans="61:61">
      <c r="BI3479" s="405"/>
    </row>
    <row r="3480" spans="61:61">
      <c r="BI3480" s="405"/>
    </row>
    <row r="3481" spans="61:61">
      <c r="BI3481" s="405"/>
    </row>
    <row r="3482" spans="61:61">
      <c r="BI3482" s="405"/>
    </row>
    <row r="3483" spans="61:61">
      <c r="BI3483" s="405"/>
    </row>
    <row r="3484" spans="61:61">
      <c r="BI3484" s="405"/>
    </row>
    <row r="3485" spans="61:61">
      <c r="BI3485" s="405"/>
    </row>
    <row r="3486" spans="61:61">
      <c r="BI3486" s="405"/>
    </row>
    <row r="3487" spans="61:61">
      <c r="BI3487" s="405"/>
    </row>
    <row r="3488" spans="61:61">
      <c r="BI3488" s="405"/>
    </row>
    <row r="3489" spans="61:61">
      <c r="BI3489" s="405"/>
    </row>
    <row r="3490" spans="61:61">
      <c r="BI3490" s="405"/>
    </row>
    <row r="3491" spans="61:61">
      <c r="BI3491" s="405"/>
    </row>
    <row r="3492" spans="61:61">
      <c r="BI3492" s="405"/>
    </row>
    <row r="3493" spans="61:61">
      <c r="BI3493" s="405"/>
    </row>
    <row r="3494" spans="61:61">
      <c r="BI3494" s="405"/>
    </row>
    <row r="3495" spans="61:61">
      <c r="BI3495" s="405"/>
    </row>
    <row r="3496" spans="61:61">
      <c r="BI3496" s="405"/>
    </row>
    <row r="3497" spans="61:61">
      <c r="BI3497" s="405"/>
    </row>
    <row r="3498" spans="61:61">
      <c r="BI3498" s="405"/>
    </row>
    <row r="3499" spans="61:61">
      <c r="BI3499" s="405"/>
    </row>
    <row r="3500" spans="61:61">
      <c r="BI3500" s="405"/>
    </row>
    <row r="3501" spans="61:61">
      <c r="BI3501" s="405"/>
    </row>
    <row r="3502" spans="61:61">
      <c r="BI3502" s="405"/>
    </row>
    <row r="3503" spans="61:61">
      <c r="BI3503" s="405"/>
    </row>
    <row r="3504" spans="61:61">
      <c r="BI3504" s="405"/>
    </row>
    <row r="3505" spans="61:61">
      <c r="BI3505" s="405"/>
    </row>
    <row r="3506" spans="61:61">
      <c r="BI3506" s="405"/>
    </row>
    <row r="3507" spans="61:61">
      <c r="BI3507" s="405"/>
    </row>
    <row r="3508" spans="61:61">
      <c r="BI3508" s="405"/>
    </row>
    <row r="3509" spans="61:61">
      <c r="BI3509" s="405"/>
    </row>
    <row r="3510" spans="61:61">
      <c r="BI3510" s="405"/>
    </row>
    <row r="3511" spans="61:61">
      <c r="BI3511" s="405"/>
    </row>
    <row r="3512" spans="61:61">
      <c r="BI3512" s="405"/>
    </row>
    <row r="3513" spans="61:61">
      <c r="BI3513" s="405"/>
    </row>
    <row r="3514" spans="61:61">
      <c r="BI3514" s="405"/>
    </row>
    <row r="3515" spans="61:61">
      <c r="BI3515" s="405"/>
    </row>
    <row r="3516" spans="61:61">
      <c r="BI3516" s="405"/>
    </row>
    <row r="3517" spans="61:61">
      <c r="BI3517" s="405"/>
    </row>
    <row r="3518" spans="61:61">
      <c r="BI3518" s="405"/>
    </row>
    <row r="3519" spans="61:61">
      <c r="BI3519" s="405"/>
    </row>
    <row r="3520" spans="61:61">
      <c r="BI3520" s="405"/>
    </row>
    <row r="3521" spans="61:61">
      <c r="BI3521" s="405"/>
    </row>
    <row r="3522" spans="61:61">
      <c r="BI3522" s="405"/>
    </row>
    <row r="3523" spans="61:61">
      <c r="BI3523" s="405"/>
    </row>
    <row r="3524" spans="61:61">
      <c r="BI3524" s="405"/>
    </row>
    <row r="3525" spans="61:61">
      <c r="BI3525" s="405"/>
    </row>
    <row r="3526" spans="61:61">
      <c r="BI3526" s="405"/>
    </row>
    <row r="3527" spans="61:61">
      <c r="BI3527" s="405"/>
    </row>
    <row r="3528" spans="61:61">
      <c r="BI3528" s="405"/>
    </row>
    <row r="3529" spans="61:61">
      <c r="BI3529" s="405"/>
    </row>
    <row r="3530" spans="61:61">
      <c r="BI3530" s="405"/>
    </row>
    <row r="3531" spans="61:61">
      <c r="BI3531" s="405"/>
    </row>
    <row r="3532" spans="61:61">
      <c r="BI3532" s="405"/>
    </row>
    <row r="3533" spans="61:61">
      <c r="BI3533" s="405"/>
    </row>
    <row r="3534" spans="61:61">
      <c r="BI3534" s="405"/>
    </row>
    <row r="3535" spans="61:61">
      <c r="BI3535" s="405"/>
    </row>
    <row r="3536" spans="61:61">
      <c r="BI3536" s="405"/>
    </row>
    <row r="3537" spans="61:61">
      <c r="BI3537" s="405"/>
    </row>
    <row r="3538" spans="61:61">
      <c r="BI3538" s="405"/>
    </row>
    <row r="3539" spans="61:61">
      <c r="BI3539" s="405"/>
    </row>
    <row r="3540" spans="61:61">
      <c r="BI3540" s="405"/>
    </row>
    <row r="3541" spans="61:61">
      <c r="BI3541" s="405"/>
    </row>
    <row r="3542" spans="61:61">
      <c r="BI3542" s="405"/>
    </row>
    <row r="3543" spans="61:61">
      <c r="BI3543" s="405"/>
    </row>
    <row r="3544" spans="61:61">
      <c r="BI3544" s="405"/>
    </row>
    <row r="3545" spans="61:61">
      <c r="BI3545" s="405"/>
    </row>
    <row r="3546" spans="61:61">
      <c r="BI3546" s="405"/>
    </row>
    <row r="3547" spans="61:61">
      <c r="BI3547" s="405"/>
    </row>
    <row r="3548" spans="61:61">
      <c r="BI3548" s="405"/>
    </row>
    <row r="3549" spans="61:61">
      <c r="BI3549" s="405"/>
    </row>
    <row r="3550" spans="61:61">
      <c r="BI3550" s="405"/>
    </row>
    <row r="3551" spans="61:61">
      <c r="BI3551" s="405"/>
    </row>
    <row r="3552" spans="61:61">
      <c r="BI3552" s="405"/>
    </row>
    <row r="3553" spans="61:61">
      <c r="BI3553" s="405"/>
    </row>
    <row r="3554" spans="61:61">
      <c r="BI3554" s="405"/>
    </row>
    <row r="3555" spans="61:61">
      <c r="BI3555" s="405"/>
    </row>
    <row r="3556" spans="61:61">
      <c r="BI3556" s="405"/>
    </row>
    <row r="3557" spans="61:61">
      <c r="BI3557" s="405"/>
    </row>
    <row r="3558" spans="61:61">
      <c r="BI3558" s="405"/>
    </row>
    <row r="3559" spans="61:61">
      <c r="BI3559" s="405"/>
    </row>
    <row r="3560" spans="61:61">
      <c r="BI3560" s="405"/>
    </row>
    <row r="3561" spans="61:61">
      <c r="BI3561" s="405"/>
    </row>
    <row r="3562" spans="61:61">
      <c r="BI3562" s="405"/>
    </row>
    <row r="3563" spans="61:61">
      <c r="BI3563" s="405"/>
    </row>
    <row r="3564" spans="61:61">
      <c r="BI3564" s="405"/>
    </row>
    <row r="3565" spans="61:61">
      <c r="BI3565" s="405"/>
    </row>
    <row r="3566" spans="61:61">
      <c r="BI3566" s="405"/>
    </row>
    <row r="3567" spans="61:61">
      <c r="BI3567" s="405"/>
    </row>
    <row r="3568" spans="61:61">
      <c r="BI3568" s="405"/>
    </row>
    <row r="3569" spans="61:61">
      <c r="BI3569" s="405"/>
    </row>
    <row r="3570" spans="61:61">
      <c r="BI3570" s="405"/>
    </row>
    <row r="3571" spans="61:61">
      <c r="BI3571" s="405"/>
    </row>
    <row r="3572" spans="61:61">
      <c r="BI3572" s="405"/>
    </row>
    <row r="3573" spans="61:61">
      <c r="BI3573" s="405"/>
    </row>
    <row r="3574" spans="61:61">
      <c r="BI3574" s="405"/>
    </row>
    <row r="3575" spans="61:61">
      <c r="BI3575" s="405"/>
    </row>
    <row r="3576" spans="61:61">
      <c r="BI3576" s="405"/>
    </row>
    <row r="3577" spans="61:61">
      <c r="BI3577" s="405"/>
    </row>
    <row r="3578" spans="61:61">
      <c r="BI3578" s="405"/>
    </row>
    <row r="3579" spans="61:61">
      <c r="BI3579" s="405"/>
    </row>
    <row r="3580" spans="61:61">
      <c r="BI3580" s="405"/>
    </row>
    <row r="3581" spans="61:61">
      <c r="BI3581" s="405"/>
    </row>
    <row r="3582" spans="61:61">
      <c r="BI3582" s="405"/>
    </row>
    <row r="3583" spans="61:61">
      <c r="BI3583" s="405"/>
    </row>
    <row r="3584" spans="61:61">
      <c r="BI3584" s="405"/>
    </row>
    <row r="3585" spans="61:61">
      <c r="BI3585" s="405"/>
    </row>
    <row r="3586" spans="61:61">
      <c r="BI3586" s="405"/>
    </row>
    <row r="3587" spans="61:61">
      <c r="BI3587" s="405"/>
    </row>
    <row r="3588" spans="61:61">
      <c r="BI3588" s="405"/>
    </row>
    <row r="3589" spans="61:61">
      <c r="BI3589" s="405"/>
    </row>
    <row r="3590" spans="61:61">
      <c r="BI3590" s="405"/>
    </row>
    <row r="3591" spans="61:61">
      <c r="BI3591" s="405"/>
    </row>
    <row r="3592" spans="61:61">
      <c r="BI3592" s="405"/>
    </row>
    <row r="3593" spans="61:61">
      <c r="BI3593" s="405"/>
    </row>
    <row r="3594" spans="61:61">
      <c r="BI3594" s="405"/>
    </row>
    <row r="3595" spans="61:61">
      <c r="BI3595" s="405"/>
    </row>
    <row r="3596" spans="61:61">
      <c r="BI3596" s="405"/>
    </row>
    <row r="3597" spans="61:61">
      <c r="BI3597" s="405"/>
    </row>
    <row r="3598" spans="61:61">
      <c r="BI3598" s="405"/>
    </row>
    <row r="3599" spans="61:61">
      <c r="BI3599" s="405"/>
    </row>
    <row r="3600" spans="61:61">
      <c r="BI3600" s="405"/>
    </row>
    <row r="3601" spans="61:61">
      <c r="BI3601" s="405"/>
    </row>
    <row r="3602" spans="61:61">
      <c r="BI3602" s="405"/>
    </row>
    <row r="3603" spans="61:61">
      <c r="BI3603" s="405"/>
    </row>
    <row r="3604" spans="61:61">
      <c r="BI3604" s="405"/>
    </row>
    <row r="3605" spans="61:61">
      <c r="BI3605" s="405"/>
    </row>
    <row r="3606" spans="61:61">
      <c r="BI3606" s="405"/>
    </row>
    <row r="3607" spans="61:61">
      <c r="BI3607" s="405"/>
    </row>
    <row r="3608" spans="61:61">
      <c r="BI3608" s="405"/>
    </row>
    <row r="3609" spans="61:61">
      <c r="BI3609" s="405"/>
    </row>
    <row r="3610" spans="61:61">
      <c r="BI3610" s="405"/>
    </row>
    <row r="3611" spans="61:61">
      <c r="BI3611" s="405"/>
    </row>
    <row r="3612" spans="61:61">
      <c r="BI3612" s="405"/>
    </row>
    <row r="3613" spans="61:61">
      <c r="BI3613" s="405"/>
    </row>
    <row r="3614" spans="61:61">
      <c r="BI3614" s="405"/>
    </row>
    <row r="3615" spans="61:61">
      <c r="BI3615" s="405"/>
    </row>
    <row r="3616" spans="61:61">
      <c r="BI3616" s="405"/>
    </row>
    <row r="3617" spans="61:61">
      <c r="BI3617" s="405"/>
    </row>
    <row r="3618" spans="61:61">
      <c r="BI3618" s="405"/>
    </row>
    <row r="3619" spans="61:61">
      <c r="BI3619" s="405"/>
    </row>
    <row r="3620" spans="61:61">
      <c r="BI3620" s="405"/>
    </row>
    <row r="3621" spans="61:61">
      <c r="BI3621" s="405"/>
    </row>
    <row r="3622" spans="61:61">
      <c r="BI3622" s="405"/>
    </row>
    <row r="3623" spans="61:61">
      <c r="BI3623" s="405"/>
    </row>
    <row r="3624" spans="61:61">
      <c r="BI3624" s="405"/>
    </row>
    <row r="3625" spans="61:61">
      <c r="BI3625" s="405"/>
    </row>
    <row r="3626" spans="61:61">
      <c r="BI3626" s="405"/>
    </row>
    <row r="3627" spans="61:61">
      <c r="BI3627" s="405"/>
    </row>
    <row r="3628" spans="61:61">
      <c r="BI3628" s="405"/>
    </row>
    <row r="3629" spans="61:61">
      <c r="BI3629" s="405"/>
    </row>
    <row r="3630" spans="61:61">
      <c r="BI3630" s="405"/>
    </row>
    <row r="3631" spans="61:61">
      <c r="BI3631" s="405"/>
    </row>
    <row r="3632" spans="61:61">
      <c r="BI3632" s="405"/>
    </row>
    <row r="3633" spans="61:61">
      <c r="BI3633" s="405"/>
    </row>
    <row r="3634" spans="61:61">
      <c r="BI3634" s="405"/>
    </row>
    <row r="3635" spans="61:61">
      <c r="BI3635" s="405"/>
    </row>
    <row r="3636" spans="61:61">
      <c r="BI3636" s="405"/>
    </row>
    <row r="3637" spans="61:61">
      <c r="BI3637" s="405"/>
    </row>
    <row r="3638" spans="61:61">
      <c r="BI3638" s="405"/>
    </row>
    <row r="3639" spans="61:61">
      <c r="BI3639" s="405"/>
    </row>
    <row r="3640" spans="61:61">
      <c r="BI3640" s="405"/>
    </row>
    <row r="3641" spans="61:61">
      <c r="BI3641" s="405"/>
    </row>
    <row r="3642" spans="61:61">
      <c r="BI3642" s="405"/>
    </row>
    <row r="3643" spans="61:61">
      <c r="BI3643" s="405"/>
    </row>
    <row r="3644" spans="61:61">
      <c r="BI3644" s="405"/>
    </row>
    <row r="3645" spans="61:61">
      <c r="BI3645" s="405"/>
    </row>
    <row r="3646" spans="61:61">
      <c r="BI3646" s="405"/>
    </row>
    <row r="3647" spans="61:61">
      <c r="BI3647" s="405"/>
    </row>
    <row r="3648" spans="61:61">
      <c r="BI3648" s="405"/>
    </row>
    <row r="3649" spans="61:61">
      <c r="BI3649" s="405"/>
    </row>
    <row r="3650" spans="61:61">
      <c r="BI3650" s="405"/>
    </row>
    <row r="3651" spans="61:61">
      <c r="BI3651" s="405"/>
    </row>
    <row r="3652" spans="61:61">
      <c r="BI3652" s="405"/>
    </row>
    <row r="3653" spans="61:61">
      <c r="BI3653" s="405"/>
    </row>
    <row r="3654" spans="61:61">
      <c r="BI3654" s="405"/>
    </row>
    <row r="3655" spans="61:61">
      <c r="BI3655" s="405"/>
    </row>
    <row r="3656" spans="61:61">
      <c r="BI3656" s="405"/>
    </row>
    <row r="3657" spans="61:61">
      <c r="BI3657" s="405"/>
    </row>
    <row r="3658" spans="61:61">
      <c r="BI3658" s="405"/>
    </row>
    <row r="3659" spans="61:61">
      <c r="BI3659" s="405"/>
    </row>
    <row r="3660" spans="61:61">
      <c r="BI3660" s="405"/>
    </row>
    <row r="3661" spans="61:61">
      <c r="BI3661" s="405"/>
    </row>
    <row r="3662" spans="61:61">
      <c r="BI3662" s="405"/>
    </row>
    <row r="3663" spans="61:61">
      <c r="BI3663" s="405"/>
    </row>
    <row r="3664" spans="61:61">
      <c r="BI3664" s="405"/>
    </row>
    <row r="3665" spans="61:61">
      <c r="BI3665" s="405"/>
    </row>
    <row r="3666" spans="61:61">
      <c r="BI3666" s="405"/>
    </row>
    <row r="3667" spans="61:61">
      <c r="BI3667" s="405"/>
    </row>
    <row r="3668" spans="61:61">
      <c r="BI3668" s="405"/>
    </row>
    <row r="3669" spans="61:61">
      <c r="BI3669" s="405"/>
    </row>
    <row r="3670" spans="61:61">
      <c r="BI3670" s="405"/>
    </row>
    <row r="3671" spans="61:61">
      <c r="BI3671" s="405"/>
    </row>
    <row r="3672" spans="61:61">
      <c r="BI3672" s="405"/>
    </row>
    <row r="3673" spans="61:61">
      <c r="BI3673" s="405"/>
    </row>
    <row r="3674" spans="61:61">
      <c r="BI3674" s="405"/>
    </row>
    <row r="3675" spans="61:61">
      <c r="BI3675" s="405"/>
    </row>
    <row r="3676" spans="61:61">
      <c r="BI3676" s="405"/>
    </row>
    <row r="3677" spans="61:61">
      <c r="BI3677" s="405"/>
    </row>
    <row r="3678" spans="61:61">
      <c r="BI3678" s="405"/>
    </row>
    <row r="3679" spans="61:61">
      <c r="BI3679" s="405"/>
    </row>
    <row r="3680" spans="61:61">
      <c r="BI3680" s="405"/>
    </row>
    <row r="3681" spans="61:61">
      <c r="BI3681" s="405"/>
    </row>
    <row r="3682" spans="61:61">
      <c r="BI3682" s="405"/>
    </row>
    <row r="3683" spans="61:61">
      <c r="BI3683" s="405"/>
    </row>
    <row r="3684" spans="61:61">
      <c r="BI3684" s="405"/>
    </row>
    <row r="3685" spans="61:61">
      <c r="BI3685" s="405"/>
    </row>
    <row r="3686" spans="61:61">
      <c r="BI3686" s="405"/>
    </row>
    <row r="3687" spans="61:61">
      <c r="BI3687" s="405"/>
    </row>
    <row r="3688" spans="61:61">
      <c r="BI3688" s="405"/>
    </row>
    <row r="3689" spans="61:61">
      <c r="BI3689" s="405"/>
    </row>
    <row r="3690" spans="61:61">
      <c r="BI3690" s="405"/>
    </row>
    <row r="3691" spans="61:61">
      <c r="BI3691" s="405"/>
    </row>
    <row r="3692" spans="61:61">
      <c r="BI3692" s="405"/>
    </row>
    <row r="3693" spans="61:61">
      <c r="BI3693" s="405"/>
    </row>
    <row r="3694" spans="61:61">
      <c r="BI3694" s="405"/>
    </row>
    <row r="3695" spans="61:61">
      <c r="BI3695" s="405"/>
    </row>
    <row r="3696" spans="61:61">
      <c r="BI3696" s="405"/>
    </row>
    <row r="3697" spans="61:61">
      <c r="BI3697" s="405"/>
    </row>
    <row r="3698" spans="61:61">
      <c r="BI3698" s="405"/>
    </row>
    <row r="3699" spans="61:61">
      <c r="BI3699" s="405"/>
    </row>
    <row r="3700" spans="61:61">
      <c r="BI3700" s="405"/>
    </row>
    <row r="3701" spans="61:61">
      <c r="BI3701" s="405"/>
    </row>
    <row r="3702" spans="61:61">
      <c r="BI3702" s="405"/>
    </row>
    <row r="3703" spans="61:61">
      <c r="BI3703" s="405"/>
    </row>
    <row r="3704" spans="61:61">
      <c r="BI3704" s="405"/>
    </row>
    <row r="3705" spans="61:61">
      <c r="BI3705" s="405"/>
    </row>
    <row r="3706" spans="61:61">
      <c r="BI3706" s="405"/>
    </row>
    <row r="3707" spans="61:61">
      <c r="BI3707" s="405"/>
    </row>
    <row r="3708" spans="61:61">
      <c r="BI3708" s="405"/>
    </row>
    <row r="3709" spans="61:61">
      <c r="BI3709" s="405"/>
    </row>
    <row r="3710" spans="61:61">
      <c r="BI3710" s="405"/>
    </row>
    <row r="3711" spans="61:61">
      <c r="BI3711" s="405"/>
    </row>
    <row r="3712" spans="61:61">
      <c r="BI3712" s="405"/>
    </row>
    <row r="3713" spans="61:61">
      <c r="BI3713" s="405"/>
    </row>
    <row r="3714" spans="61:61">
      <c r="BI3714" s="405"/>
    </row>
    <row r="3715" spans="61:61">
      <c r="BI3715" s="405"/>
    </row>
    <row r="3716" spans="61:61">
      <c r="BI3716" s="405"/>
    </row>
    <row r="3717" spans="61:61">
      <c r="BI3717" s="405"/>
    </row>
    <row r="3718" spans="61:61">
      <c r="BI3718" s="405"/>
    </row>
    <row r="3719" spans="61:61">
      <c r="BI3719" s="405"/>
    </row>
    <row r="3720" spans="61:61">
      <c r="BI3720" s="405"/>
    </row>
    <row r="3721" spans="61:61">
      <c r="BI3721" s="405"/>
    </row>
    <row r="3722" spans="61:61">
      <c r="BI3722" s="405"/>
    </row>
    <row r="3723" spans="61:61">
      <c r="BI3723" s="405"/>
    </row>
    <row r="3724" spans="61:61">
      <c r="BI3724" s="405"/>
    </row>
    <row r="3725" spans="61:61">
      <c r="BI3725" s="405"/>
    </row>
    <row r="3726" spans="61:61">
      <c r="BI3726" s="405"/>
    </row>
    <row r="3727" spans="61:61">
      <c r="BI3727" s="405"/>
    </row>
    <row r="3728" spans="61:61">
      <c r="BI3728" s="405"/>
    </row>
    <row r="3729" spans="61:61">
      <c r="BI3729" s="405"/>
    </row>
    <row r="3730" spans="61:61">
      <c r="BI3730" s="405"/>
    </row>
    <row r="3731" spans="61:61">
      <c r="BI3731" s="405"/>
    </row>
    <row r="3732" spans="61:61">
      <c r="BI3732" s="405"/>
    </row>
    <row r="3733" spans="61:61">
      <c r="BI3733" s="405"/>
    </row>
    <row r="3734" spans="61:61">
      <c r="BI3734" s="405"/>
    </row>
    <row r="3735" spans="61:61">
      <c r="BI3735" s="405"/>
    </row>
    <row r="3736" spans="61:61">
      <c r="BI3736" s="405"/>
    </row>
    <row r="3737" spans="61:61">
      <c r="BI3737" s="405"/>
    </row>
    <row r="3738" spans="61:61">
      <c r="BI3738" s="405"/>
    </row>
    <row r="3739" spans="61:61">
      <c r="BI3739" s="405"/>
    </row>
    <row r="3740" spans="61:61">
      <c r="BI3740" s="405"/>
    </row>
    <row r="3741" spans="61:61">
      <c r="BI3741" s="405"/>
    </row>
    <row r="3742" spans="61:61">
      <c r="BI3742" s="405"/>
    </row>
    <row r="3743" spans="61:61">
      <c r="BI3743" s="405"/>
    </row>
    <row r="3744" spans="61:61">
      <c r="BI3744" s="405"/>
    </row>
    <row r="3745" spans="61:61">
      <c r="BI3745" s="405"/>
    </row>
    <row r="3746" spans="61:61">
      <c r="BI3746" s="405"/>
    </row>
    <row r="3747" spans="61:61">
      <c r="BI3747" s="405"/>
    </row>
    <row r="3748" spans="61:61">
      <c r="BI3748" s="405"/>
    </row>
    <row r="3749" spans="61:61">
      <c r="BI3749" s="405"/>
    </row>
    <row r="3750" spans="61:61">
      <c r="BI3750" s="405"/>
    </row>
    <row r="3751" spans="61:61">
      <c r="BI3751" s="405"/>
    </row>
    <row r="3752" spans="61:61">
      <c r="BI3752" s="405"/>
    </row>
    <row r="3753" spans="61:61">
      <c r="BI3753" s="405"/>
    </row>
    <row r="3754" spans="61:61">
      <c r="BI3754" s="405"/>
    </row>
    <row r="3755" spans="61:61">
      <c r="BI3755" s="405"/>
    </row>
    <row r="3756" spans="61:61">
      <c r="BI3756" s="405"/>
    </row>
    <row r="3757" spans="61:61">
      <c r="BI3757" s="405"/>
    </row>
    <row r="3758" spans="61:61">
      <c r="BI3758" s="405"/>
    </row>
    <row r="3759" spans="61:61">
      <c r="BI3759" s="405"/>
    </row>
    <row r="3760" spans="61:61">
      <c r="BI3760" s="405"/>
    </row>
    <row r="3761" spans="61:61">
      <c r="BI3761" s="405"/>
    </row>
    <row r="3762" spans="61:61">
      <c r="BI3762" s="405"/>
    </row>
    <row r="3763" spans="61:61">
      <c r="BI3763" s="405"/>
    </row>
    <row r="3764" spans="61:61">
      <c r="BI3764" s="405"/>
    </row>
    <row r="3765" spans="61:61">
      <c r="BI3765" s="405"/>
    </row>
    <row r="3766" spans="61:61">
      <c r="BI3766" s="405"/>
    </row>
    <row r="3767" spans="61:61">
      <c r="BI3767" s="405"/>
    </row>
    <row r="3768" spans="61:61">
      <c r="BI3768" s="405"/>
    </row>
    <row r="3769" spans="61:61">
      <c r="BI3769" s="405"/>
    </row>
    <row r="3770" spans="61:61">
      <c r="BI3770" s="405"/>
    </row>
    <row r="3771" spans="61:61">
      <c r="BI3771" s="405"/>
    </row>
    <row r="3772" spans="61:61">
      <c r="BI3772" s="405"/>
    </row>
    <row r="3773" spans="61:61">
      <c r="BI3773" s="405"/>
    </row>
    <row r="3774" spans="61:61">
      <c r="BI3774" s="405"/>
    </row>
    <row r="3775" spans="61:61">
      <c r="BI3775" s="405"/>
    </row>
    <row r="3776" spans="61:61">
      <c r="BI3776" s="405"/>
    </row>
    <row r="3777" spans="61:61">
      <c r="BI3777" s="405"/>
    </row>
    <row r="3778" spans="61:61">
      <c r="BI3778" s="405"/>
    </row>
    <row r="3779" spans="61:61">
      <c r="BI3779" s="405"/>
    </row>
    <row r="3780" spans="61:61">
      <c r="BI3780" s="405"/>
    </row>
    <row r="3781" spans="61:61">
      <c r="BI3781" s="405"/>
    </row>
    <row r="3782" spans="61:61">
      <c r="BI3782" s="405"/>
    </row>
    <row r="3783" spans="61:61">
      <c r="BI3783" s="405"/>
    </row>
    <row r="3784" spans="61:61">
      <c r="BI3784" s="405"/>
    </row>
    <row r="3785" spans="61:61">
      <c r="BI3785" s="405"/>
    </row>
    <row r="3786" spans="61:61">
      <c r="BI3786" s="405"/>
    </row>
    <row r="3787" spans="61:61">
      <c r="BI3787" s="405"/>
    </row>
    <row r="3788" spans="61:61">
      <c r="BI3788" s="405"/>
    </row>
    <row r="3789" spans="61:61">
      <c r="BI3789" s="405"/>
    </row>
    <row r="3790" spans="61:61">
      <c r="BI3790" s="405"/>
    </row>
    <row r="3791" spans="61:61">
      <c r="BI3791" s="405"/>
    </row>
    <row r="3792" spans="61:61">
      <c r="BI3792" s="405"/>
    </row>
    <row r="3793" spans="61:61">
      <c r="BI3793" s="405"/>
    </row>
    <row r="3794" spans="61:61">
      <c r="BI3794" s="405"/>
    </row>
    <row r="3795" spans="61:61">
      <c r="BI3795" s="405"/>
    </row>
    <row r="3796" spans="61:61">
      <c r="BI3796" s="405"/>
    </row>
    <row r="3797" spans="61:61">
      <c r="BI3797" s="405"/>
    </row>
    <row r="3798" spans="61:61">
      <c r="BI3798" s="405"/>
    </row>
    <row r="3799" spans="61:61">
      <c r="BI3799" s="405"/>
    </row>
    <row r="3800" spans="61:61">
      <c r="BI3800" s="405"/>
    </row>
    <row r="3801" spans="61:61">
      <c r="BI3801" s="405"/>
    </row>
    <row r="3802" spans="61:61">
      <c r="BI3802" s="405"/>
    </row>
    <row r="3803" spans="61:61">
      <c r="BI3803" s="405"/>
    </row>
    <row r="3804" spans="61:61">
      <c r="BI3804" s="405"/>
    </row>
    <row r="3805" spans="61:61">
      <c r="BI3805" s="405"/>
    </row>
    <row r="3806" spans="61:61">
      <c r="BI3806" s="405"/>
    </row>
    <row r="3807" spans="61:61">
      <c r="BI3807" s="405"/>
    </row>
    <row r="3808" spans="61:61">
      <c r="BI3808" s="405"/>
    </row>
    <row r="3809" spans="61:61">
      <c r="BI3809" s="405"/>
    </row>
    <row r="3810" spans="61:61">
      <c r="BI3810" s="405"/>
    </row>
    <row r="3811" spans="61:61">
      <c r="BI3811" s="405"/>
    </row>
    <row r="3812" spans="61:61">
      <c r="BI3812" s="405"/>
    </row>
    <row r="3813" spans="61:61">
      <c r="BI3813" s="405"/>
    </row>
    <row r="3814" spans="61:61">
      <c r="BI3814" s="405"/>
    </row>
    <row r="3815" spans="61:61">
      <c r="BI3815" s="405"/>
    </row>
    <row r="3816" spans="61:61">
      <c r="BI3816" s="405"/>
    </row>
    <row r="3817" spans="61:61">
      <c r="BI3817" s="405"/>
    </row>
    <row r="3818" spans="61:61">
      <c r="BI3818" s="405"/>
    </row>
    <row r="3819" spans="61:61">
      <c r="BI3819" s="405"/>
    </row>
    <row r="3820" spans="61:61">
      <c r="BI3820" s="405"/>
    </row>
    <row r="3821" spans="61:61">
      <c r="BI3821" s="405"/>
    </row>
    <row r="3822" spans="61:61">
      <c r="BI3822" s="405"/>
    </row>
    <row r="3823" spans="61:61">
      <c r="BI3823" s="405"/>
    </row>
    <row r="3824" spans="61:61">
      <c r="BI3824" s="405"/>
    </row>
    <row r="3825" spans="61:61">
      <c r="BI3825" s="405"/>
    </row>
    <row r="3826" spans="61:61">
      <c r="BI3826" s="405"/>
    </row>
    <row r="3827" spans="61:61">
      <c r="BI3827" s="405"/>
    </row>
    <row r="3828" spans="61:61">
      <c r="BI3828" s="405"/>
    </row>
    <row r="3829" spans="61:61">
      <c r="BI3829" s="405"/>
    </row>
    <row r="3830" spans="61:61">
      <c r="BI3830" s="405"/>
    </row>
    <row r="3831" spans="61:61">
      <c r="BI3831" s="405"/>
    </row>
    <row r="3832" spans="61:61">
      <c r="BI3832" s="405"/>
    </row>
    <row r="3833" spans="61:61">
      <c r="BI3833" s="405"/>
    </row>
    <row r="3834" spans="61:61">
      <c r="BI3834" s="405"/>
    </row>
    <row r="3835" spans="61:61">
      <c r="BI3835" s="405"/>
    </row>
    <row r="3836" spans="61:61">
      <c r="BI3836" s="405"/>
    </row>
    <row r="3837" spans="61:61">
      <c r="BI3837" s="405"/>
    </row>
    <row r="3838" spans="61:61">
      <c r="BI3838" s="405"/>
    </row>
    <row r="3839" spans="61:61">
      <c r="BI3839" s="405"/>
    </row>
    <row r="3840" spans="61:61">
      <c r="BI3840" s="405"/>
    </row>
    <row r="3841" spans="61:61">
      <c r="BI3841" s="405"/>
    </row>
    <row r="3842" spans="61:61">
      <c r="BI3842" s="405"/>
    </row>
    <row r="3843" spans="61:61">
      <c r="BI3843" s="405"/>
    </row>
    <row r="3844" spans="61:61">
      <c r="BI3844" s="405"/>
    </row>
    <row r="3845" spans="61:61">
      <c r="BI3845" s="405"/>
    </row>
    <row r="3846" spans="61:61">
      <c r="BI3846" s="405"/>
    </row>
    <row r="3847" spans="61:61">
      <c r="BI3847" s="405"/>
    </row>
    <row r="3848" spans="61:61">
      <c r="BI3848" s="405"/>
    </row>
    <row r="3849" spans="61:61">
      <c r="BI3849" s="405"/>
    </row>
    <row r="3850" spans="61:61">
      <c r="BI3850" s="405"/>
    </row>
    <row r="3851" spans="61:61">
      <c r="BI3851" s="405"/>
    </row>
    <row r="3852" spans="61:61">
      <c r="BI3852" s="405"/>
    </row>
    <row r="3853" spans="61:61">
      <c r="BI3853" s="405"/>
    </row>
    <row r="3854" spans="61:61">
      <c r="BI3854" s="405"/>
    </row>
    <row r="3855" spans="61:61">
      <c r="BI3855" s="405"/>
    </row>
    <row r="3856" spans="61:61">
      <c r="BI3856" s="405"/>
    </row>
    <row r="3857" spans="61:61">
      <c r="BI3857" s="405"/>
    </row>
    <row r="3858" spans="61:61">
      <c r="BI3858" s="405"/>
    </row>
    <row r="3859" spans="61:61">
      <c r="BI3859" s="405"/>
    </row>
    <row r="3860" spans="61:61">
      <c r="BI3860" s="405"/>
    </row>
    <row r="3861" spans="61:61">
      <c r="BI3861" s="405"/>
    </row>
    <row r="3862" spans="61:61">
      <c r="BI3862" s="405"/>
    </row>
    <row r="3863" spans="61:61">
      <c r="BI3863" s="405"/>
    </row>
    <row r="3864" spans="61:61">
      <c r="BI3864" s="405"/>
    </row>
    <row r="3865" spans="61:61">
      <c r="BI3865" s="405"/>
    </row>
    <row r="3866" spans="61:61">
      <c r="BI3866" s="405"/>
    </row>
    <row r="3867" spans="61:61">
      <c r="BI3867" s="405"/>
    </row>
    <row r="3868" spans="61:61">
      <c r="BI3868" s="405"/>
    </row>
    <row r="3869" spans="61:61">
      <c r="BI3869" s="405"/>
    </row>
    <row r="3870" spans="61:61">
      <c r="BI3870" s="405"/>
    </row>
    <row r="3871" spans="61:61">
      <c r="BI3871" s="405"/>
    </row>
    <row r="3872" spans="61:61">
      <c r="BI3872" s="405"/>
    </row>
    <row r="3873" spans="61:61">
      <c r="BI3873" s="405"/>
    </row>
    <row r="3874" spans="61:61">
      <c r="BI3874" s="405"/>
    </row>
    <row r="3875" spans="61:61">
      <c r="BI3875" s="405"/>
    </row>
    <row r="3876" spans="61:61">
      <c r="BI3876" s="405"/>
    </row>
    <row r="3877" spans="61:61">
      <c r="BI3877" s="405"/>
    </row>
    <row r="3878" spans="61:61">
      <c r="BI3878" s="405"/>
    </row>
    <row r="3879" spans="61:61">
      <c r="BI3879" s="405"/>
    </row>
    <row r="3880" spans="61:61">
      <c r="BI3880" s="405"/>
    </row>
    <row r="3881" spans="61:61">
      <c r="BI3881" s="405"/>
    </row>
    <row r="3882" spans="61:61">
      <c r="BI3882" s="405"/>
    </row>
    <row r="3883" spans="61:61">
      <c r="BI3883" s="405"/>
    </row>
    <row r="3884" spans="61:61">
      <c r="BI3884" s="405"/>
    </row>
    <row r="3885" spans="61:61">
      <c r="BI3885" s="405"/>
    </row>
    <row r="3886" spans="61:61">
      <c r="BI3886" s="405"/>
    </row>
    <row r="3887" spans="61:61">
      <c r="BI3887" s="405"/>
    </row>
    <row r="3888" spans="61:61">
      <c r="BI3888" s="405"/>
    </row>
    <row r="3889" spans="61:61">
      <c r="BI3889" s="405"/>
    </row>
    <row r="3890" spans="61:61">
      <c r="BI3890" s="405"/>
    </row>
    <row r="3891" spans="61:61">
      <c r="BI3891" s="405"/>
    </row>
    <row r="3892" spans="61:61">
      <c r="BI3892" s="405"/>
    </row>
    <row r="3893" spans="61:61">
      <c r="BI3893" s="405"/>
    </row>
    <row r="3894" spans="61:61">
      <c r="BI3894" s="405"/>
    </row>
    <row r="3895" spans="61:61">
      <c r="BI3895" s="405"/>
    </row>
    <row r="3896" spans="61:61">
      <c r="BI3896" s="405"/>
    </row>
    <row r="3897" spans="61:61">
      <c r="BI3897" s="405"/>
    </row>
    <row r="3898" spans="61:61">
      <c r="BI3898" s="405"/>
    </row>
    <row r="3899" spans="61:61">
      <c r="BI3899" s="405"/>
    </row>
    <row r="3900" spans="61:61">
      <c r="BI3900" s="405"/>
    </row>
    <row r="3901" spans="61:61">
      <c r="BI3901" s="405"/>
    </row>
    <row r="3902" spans="61:61">
      <c r="BI3902" s="405"/>
    </row>
    <row r="3903" spans="61:61">
      <c r="BI3903" s="405"/>
    </row>
    <row r="3904" spans="61:61">
      <c r="BI3904" s="405"/>
    </row>
    <row r="3905" spans="61:61">
      <c r="BI3905" s="405"/>
    </row>
    <row r="3906" spans="61:61">
      <c r="BI3906" s="405"/>
    </row>
    <row r="3907" spans="61:61">
      <c r="BI3907" s="405"/>
    </row>
    <row r="3908" spans="61:61">
      <c r="BI3908" s="405"/>
    </row>
    <row r="3909" spans="61:61">
      <c r="BI3909" s="405"/>
    </row>
    <row r="3910" spans="61:61">
      <c r="BI3910" s="405"/>
    </row>
    <row r="3911" spans="61:61">
      <c r="BI3911" s="405"/>
    </row>
    <row r="3912" spans="61:61">
      <c r="BI3912" s="405"/>
    </row>
    <row r="3913" spans="61:61">
      <c r="BI3913" s="405"/>
    </row>
    <row r="3914" spans="61:61">
      <c r="BI3914" s="405"/>
    </row>
    <row r="3915" spans="61:61">
      <c r="BI3915" s="405"/>
    </row>
    <row r="3916" spans="61:61">
      <c r="BI3916" s="405"/>
    </row>
    <row r="3917" spans="61:61">
      <c r="BI3917" s="405"/>
    </row>
    <row r="3918" spans="61:61">
      <c r="BI3918" s="405"/>
    </row>
    <row r="3919" spans="61:61">
      <c r="BI3919" s="405"/>
    </row>
    <row r="3920" spans="61:61">
      <c r="BI3920" s="405"/>
    </row>
    <row r="3921" spans="61:61">
      <c r="BI3921" s="405"/>
    </row>
    <row r="3922" spans="61:61">
      <c r="BI3922" s="405"/>
    </row>
    <row r="3923" spans="61:61">
      <c r="BI3923" s="405"/>
    </row>
    <row r="3924" spans="61:61">
      <c r="BI3924" s="405"/>
    </row>
    <row r="3925" spans="61:61">
      <c r="BI3925" s="405"/>
    </row>
    <row r="3926" spans="61:61">
      <c r="BI3926" s="405"/>
    </row>
    <row r="3927" spans="61:61">
      <c r="BI3927" s="405"/>
    </row>
    <row r="3928" spans="61:61">
      <c r="BI3928" s="405"/>
    </row>
    <row r="3929" spans="61:61">
      <c r="BI3929" s="405"/>
    </row>
    <row r="3930" spans="61:61">
      <c r="BI3930" s="405"/>
    </row>
    <row r="3931" spans="61:61">
      <c r="BI3931" s="405"/>
    </row>
    <row r="3932" spans="61:61">
      <c r="BI3932" s="405"/>
    </row>
    <row r="3933" spans="61:61">
      <c r="BI3933" s="405"/>
    </row>
    <row r="3934" spans="61:61">
      <c r="BI3934" s="405"/>
    </row>
    <row r="3935" spans="61:61">
      <c r="BI3935" s="405"/>
    </row>
    <row r="3936" spans="61:61">
      <c r="BI3936" s="405"/>
    </row>
    <row r="3937" spans="61:61">
      <c r="BI3937" s="405"/>
    </row>
    <row r="3938" spans="61:61">
      <c r="BI3938" s="405"/>
    </row>
    <row r="3939" spans="61:61">
      <c r="BI3939" s="405"/>
    </row>
    <row r="3940" spans="61:61">
      <c r="BI3940" s="405"/>
    </row>
    <row r="3941" spans="61:61">
      <c r="BI3941" s="405"/>
    </row>
    <row r="3942" spans="61:61">
      <c r="BI3942" s="405"/>
    </row>
    <row r="3943" spans="61:61">
      <c r="BI3943" s="405"/>
    </row>
    <row r="3944" spans="61:61">
      <c r="BI3944" s="405"/>
    </row>
    <row r="3945" spans="61:61">
      <c r="BI3945" s="405"/>
    </row>
    <row r="3946" spans="61:61">
      <c r="BI3946" s="405"/>
    </row>
    <row r="3947" spans="61:61">
      <c r="BI3947" s="405"/>
    </row>
    <row r="3948" spans="61:61">
      <c r="BI3948" s="405"/>
    </row>
    <row r="3949" spans="61:61">
      <c r="BI3949" s="405"/>
    </row>
    <row r="3950" spans="61:61">
      <c r="BI3950" s="405"/>
    </row>
    <row r="3951" spans="61:61">
      <c r="BI3951" s="405"/>
    </row>
    <row r="3952" spans="61:61">
      <c r="BI3952" s="405"/>
    </row>
    <row r="3953" spans="61:61">
      <c r="BI3953" s="405"/>
    </row>
    <row r="3954" spans="61:61">
      <c r="BI3954" s="405"/>
    </row>
    <row r="3955" spans="61:61">
      <c r="BI3955" s="405"/>
    </row>
    <row r="3956" spans="61:61">
      <c r="BI3956" s="405"/>
    </row>
    <row r="3957" spans="61:61">
      <c r="BI3957" s="405"/>
    </row>
    <row r="3958" spans="61:61">
      <c r="BI3958" s="405"/>
    </row>
    <row r="3959" spans="61:61">
      <c r="BI3959" s="405"/>
    </row>
    <row r="3960" spans="61:61">
      <c r="BI3960" s="405"/>
    </row>
    <row r="3961" spans="61:61">
      <c r="BI3961" s="405"/>
    </row>
    <row r="3962" spans="61:61">
      <c r="BI3962" s="405"/>
    </row>
    <row r="3963" spans="61:61">
      <c r="BI3963" s="405"/>
    </row>
    <row r="3964" spans="61:61">
      <c r="BI3964" s="405"/>
    </row>
    <row r="3965" spans="61:61">
      <c r="BI3965" s="405"/>
    </row>
    <row r="3966" spans="61:61">
      <c r="BI3966" s="405"/>
    </row>
    <row r="3967" spans="61:61">
      <c r="BI3967" s="405"/>
    </row>
    <row r="3968" spans="61:61">
      <c r="BI3968" s="405"/>
    </row>
    <row r="3969" spans="61:61">
      <c r="BI3969" s="405"/>
    </row>
    <row r="3970" spans="61:61">
      <c r="BI3970" s="405"/>
    </row>
    <row r="3971" spans="61:61">
      <c r="BI3971" s="405"/>
    </row>
    <row r="3972" spans="61:61">
      <c r="BI3972" s="405"/>
    </row>
    <row r="3973" spans="61:61">
      <c r="BI3973" s="405"/>
    </row>
    <row r="3974" spans="61:61">
      <c r="BI3974" s="405"/>
    </row>
    <row r="3975" spans="61:61">
      <c r="BI3975" s="405"/>
    </row>
    <row r="3976" spans="61:61">
      <c r="BI3976" s="405"/>
    </row>
    <row r="3977" spans="61:61">
      <c r="BI3977" s="405"/>
    </row>
    <row r="3978" spans="61:61">
      <c r="BI3978" s="405"/>
    </row>
    <row r="3979" spans="61:61">
      <c r="BI3979" s="405"/>
    </row>
    <row r="3980" spans="61:61">
      <c r="BI3980" s="405"/>
    </row>
    <row r="3981" spans="61:61">
      <c r="BI3981" s="405"/>
    </row>
    <row r="3982" spans="61:61">
      <c r="BI3982" s="405"/>
    </row>
    <row r="3983" spans="61:61">
      <c r="BI3983" s="405"/>
    </row>
    <row r="3984" spans="61:61">
      <c r="BI3984" s="405"/>
    </row>
    <row r="3985" spans="61:61">
      <c r="BI3985" s="405"/>
    </row>
    <row r="3986" spans="61:61">
      <c r="BI3986" s="405"/>
    </row>
    <row r="3987" spans="61:61">
      <c r="BI3987" s="405"/>
    </row>
    <row r="3988" spans="61:61">
      <c r="BI3988" s="405"/>
    </row>
    <row r="3989" spans="61:61">
      <c r="BI3989" s="405"/>
    </row>
    <row r="3990" spans="61:61">
      <c r="BI3990" s="405"/>
    </row>
    <row r="3991" spans="61:61">
      <c r="BI3991" s="405"/>
    </row>
    <row r="3992" spans="61:61">
      <c r="BI3992" s="405"/>
    </row>
    <row r="3993" spans="61:61">
      <c r="BI3993" s="405"/>
    </row>
    <row r="3994" spans="61:61">
      <c r="BI3994" s="405"/>
    </row>
    <row r="3995" spans="61:61">
      <c r="BI3995" s="405"/>
    </row>
    <row r="3996" spans="61:61">
      <c r="BI3996" s="405"/>
    </row>
    <row r="3997" spans="61:61">
      <c r="BI3997" s="405"/>
    </row>
    <row r="3998" spans="61:61">
      <c r="BI3998" s="405"/>
    </row>
    <row r="3999" spans="61:61">
      <c r="BI3999" s="405"/>
    </row>
    <row r="4000" spans="61:61">
      <c r="BI4000" s="405"/>
    </row>
    <row r="4001" spans="61:61">
      <c r="BI4001" s="405"/>
    </row>
    <row r="4002" spans="61:61">
      <c r="BI4002" s="405"/>
    </row>
    <row r="4003" spans="61:61">
      <c r="BI4003" s="405"/>
    </row>
    <row r="4004" spans="61:61">
      <c r="BI4004" s="405"/>
    </row>
    <row r="4005" spans="61:61">
      <c r="BI4005" s="405"/>
    </row>
    <row r="4006" spans="61:61">
      <c r="BI4006" s="405"/>
    </row>
    <row r="4007" spans="61:61">
      <c r="BI4007" s="405"/>
    </row>
    <row r="4008" spans="61:61">
      <c r="BI4008" s="405"/>
    </row>
    <row r="4009" spans="61:61">
      <c r="BI4009" s="405"/>
    </row>
    <row r="4010" spans="61:61">
      <c r="BI4010" s="405"/>
    </row>
    <row r="4011" spans="61:61">
      <c r="BI4011" s="405"/>
    </row>
    <row r="4012" spans="61:61">
      <c r="BI4012" s="405"/>
    </row>
    <row r="4013" spans="61:61">
      <c r="BI4013" s="405"/>
    </row>
    <row r="4014" spans="61:61">
      <c r="BI4014" s="405"/>
    </row>
    <row r="4015" spans="61:61">
      <c r="BI4015" s="405"/>
    </row>
    <row r="4016" spans="61:61">
      <c r="BI4016" s="405"/>
    </row>
    <row r="4017" spans="61:61">
      <c r="BI4017" s="405"/>
    </row>
    <row r="4018" spans="61:61">
      <c r="BI4018" s="405"/>
    </row>
    <row r="4019" spans="61:61">
      <c r="BI4019" s="405"/>
    </row>
    <row r="4020" spans="61:61">
      <c r="BI4020" s="405"/>
    </row>
    <row r="4021" spans="61:61">
      <c r="BI4021" s="405"/>
    </row>
    <row r="4022" spans="61:61">
      <c r="BI4022" s="405"/>
    </row>
    <row r="4023" spans="61:61">
      <c r="BI4023" s="405"/>
    </row>
    <row r="4024" spans="61:61">
      <c r="BI4024" s="405"/>
    </row>
    <row r="4025" spans="61:61">
      <c r="BI4025" s="405"/>
    </row>
    <row r="4026" spans="61:61">
      <c r="BI4026" s="405"/>
    </row>
    <row r="4027" spans="61:61">
      <c r="BI4027" s="405"/>
    </row>
    <row r="4028" spans="61:61">
      <c r="BI4028" s="405"/>
    </row>
    <row r="4029" spans="61:61">
      <c r="BI4029" s="405"/>
    </row>
    <row r="4030" spans="61:61">
      <c r="BI4030" s="405"/>
    </row>
    <row r="4031" spans="61:61">
      <c r="BI4031" s="405"/>
    </row>
    <row r="4032" spans="61:61">
      <c r="BI4032" s="405"/>
    </row>
    <row r="4033" spans="61:61">
      <c r="BI4033" s="405"/>
    </row>
    <row r="4034" spans="61:61">
      <c r="BI4034" s="405"/>
    </row>
    <row r="4035" spans="61:61">
      <c r="BI4035" s="405"/>
    </row>
    <row r="4036" spans="61:61">
      <c r="BI4036" s="405"/>
    </row>
    <row r="4037" spans="61:61">
      <c r="BI4037" s="405"/>
    </row>
    <row r="4038" spans="61:61">
      <c r="BI4038" s="405"/>
    </row>
    <row r="4039" spans="61:61">
      <c r="BI4039" s="405"/>
    </row>
    <row r="4040" spans="61:61">
      <c r="BI4040" s="405"/>
    </row>
    <row r="4041" spans="61:61">
      <c r="BI4041" s="405"/>
    </row>
    <row r="4042" spans="61:61">
      <c r="BI4042" s="405"/>
    </row>
    <row r="4043" spans="61:61">
      <c r="BI4043" s="405"/>
    </row>
    <row r="4044" spans="61:61">
      <c r="BI4044" s="405"/>
    </row>
    <row r="4045" spans="61:61">
      <c r="BI4045" s="405"/>
    </row>
    <row r="4046" spans="61:61">
      <c r="BI4046" s="405"/>
    </row>
    <row r="4047" spans="61:61">
      <c r="BI4047" s="405"/>
    </row>
    <row r="4048" spans="61:61">
      <c r="BI4048" s="405"/>
    </row>
    <row r="4049" spans="61:61">
      <c r="BI4049" s="405"/>
    </row>
    <row r="4050" spans="61:61">
      <c r="BI4050" s="405"/>
    </row>
    <row r="4051" spans="61:61">
      <c r="BI4051" s="405"/>
    </row>
    <row r="4052" spans="61:61">
      <c r="BI4052" s="405"/>
    </row>
    <row r="4053" spans="61:61">
      <c r="BI4053" s="405"/>
    </row>
    <row r="4054" spans="61:61">
      <c r="BI4054" s="405"/>
    </row>
    <row r="4055" spans="61:61">
      <c r="BI4055" s="405"/>
    </row>
    <row r="4056" spans="61:61">
      <c r="BI4056" s="405"/>
    </row>
    <row r="4057" spans="61:61">
      <c r="BI4057" s="405"/>
    </row>
    <row r="4058" spans="61:61">
      <c r="BI4058" s="405"/>
    </row>
    <row r="4059" spans="61:61">
      <c r="BI4059" s="405"/>
    </row>
    <row r="4060" spans="61:61">
      <c r="BI4060" s="405"/>
    </row>
    <row r="4061" spans="61:61">
      <c r="BI4061" s="405"/>
    </row>
    <row r="4062" spans="61:61">
      <c r="BI4062" s="405"/>
    </row>
    <row r="4063" spans="61:61">
      <c r="BI4063" s="405"/>
    </row>
    <row r="4064" spans="61:61">
      <c r="BI4064" s="405"/>
    </row>
    <row r="4065" spans="61:61">
      <c r="BI4065" s="405"/>
    </row>
    <row r="4066" spans="61:61">
      <c r="BI4066" s="405"/>
    </row>
    <row r="4067" spans="61:61">
      <c r="BI4067" s="405"/>
    </row>
    <row r="4068" spans="61:61">
      <c r="BI4068" s="405"/>
    </row>
    <row r="4069" spans="61:61">
      <c r="BI4069" s="405"/>
    </row>
    <row r="4070" spans="61:61">
      <c r="BI4070" s="405"/>
    </row>
    <row r="4071" spans="61:61">
      <c r="BI4071" s="405"/>
    </row>
    <row r="4072" spans="61:61">
      <c r="BI4072" s="405"/>
    </row>
    <row r="4073" spans="61:61">
      <c r="BI4073" s="405"/>
    </row>
    <row r="4074" spans="61:61">
      <c r="BI4074" s="405"/>
    </row>
    <row r="4075" spans="61:61">
      <c r="BI4075" s="405"/>
    </row>
    <row r="4076" spans="61:61">
      <c r="BI4076" s="405"/>
    </row>
    <row r="4077" spans="61:61">
      <c r="BI4077" s="405"/>
    </row>
    <row r="4078" spans="61:61">
      <c r="BI4078" s="405"/>
    </row>
    <row r="4079" spans="61:61">
      <c r="BI4079" s="405"/>
    </row>
    <row r="4080" spans="61:61">
      <c r="BI4080" s="405"/>
    </row>
    <row r="4081" spans="61:61">
      <c r="BI4081" s="405"/>
    </row>
    <row r="4082" spans="61:61">
      <c r="BI4082" s="405"/>
    </row>
    <row r="4083" spans="61:61">
      <c r="BI4083" s="405"/>
    </row>
    <row r="4084" spans="61:61">
      <c r="BI4084" s="405"/>
    </row>
    <row r="4085" spans="61:61">
      <c r="BI4085" s="405"/>
    </row>
    <row r="4086" spans="61:61">
      <c r="BI4086" s="405"/>
    </row>
    <row r="4087" spans="61:61">
      <c r="BI4087" s="405"/>
    </row>
    <row r="4088" spans="61:61">
      <c r="BI4088" s="405"/>
    </row>
    <row r="4089" spans="61:61">
      <c r="BI4089" s="405"/>
    </row>
    <row r="4090" spans="61:61">
      <c r="BI4090" s="405"/>
    </row>
    <row r="4091" spans="61:61">
      <c r="BI4091" s="405"/>
    </row>
    <row r="4092" spans="61:61">
      <c r="BI4092" s="405"/>
    </row>
    <row r="4093" spans="61:61">
      <c r="BI4093" s="405"/>
    </row>
    <row r="4094" spans="61:61">
      <c r="BI4094" s="405"/>
    </row>
    <row r="4095" spans="61:61">
      <c r="BI4095" s="405"/>
    </row>
    <row r="4096" spans="61:61">
      <c r="BI4096" s="405"/>
    </row>
    <row r="4097" spans="61:61">
      <c r="BI4097" s="405"/>
    </row>
    <row r="4098" spans="61:61">
      <c r="BI4098" s="405"/>
    </row>
    <row r="4099" spans="61:61">
      <c r="BI4099" s="405"/>
    </row>
    <row r="4100" spans="61:61">
      <c r="BI4100" s="405"/>
    </row>
    <row r="4101" spans="61:61">
      <c r="BI4101" s="405"/>
    </row>
    <row r="4102" spans="61:61">
      <c r="BI4102" s="405"/>
    </row>
    <row r="4103" spans="61:61">
      <c r="BI4103" s="405"/>
    </row>
    <row r="4104" spans="61:61">
      <c r="BI4104" s="405"/>
    </row>
    <row r="4105" spans="61:61">
      <c r="BI4105" s="405"/>
    </row>
    <row r="4106" spans="61:61">
      <c r="BI4106" s="405"/>
    </row>
    <row r="4107" spans="61:61">
      <c r="BI4107" s="405"/>
    </row>
    <row r="4108" spans="61:61">
      <c r="BI4108" s="405"/>
    </row>
    <row r="4109" spans="61:61">
      <c r="BI4109" s="405"/>
    </row>
    <row r="4110" spans="61:61">
      <c r="BI4110" s="405"/>
    </row>
    <row r="4111" spans="61:61">
      <c r="BI4111" s="405"/>
    </row>
    <row r="4112" spans="61:61">
      <c r="BI4112" s="405"/>
    </row>
    <row r="4113" spans="61:61">
      <c r="BI4113" s="405"/>
    </row>
    <row r="4114" spans="61:61">
      <c r="BI4114" s="405"/>
    </row>
    <row r="4115" spans="61:61">
      <c r="BI4115" s="405"/>
    </row>
    <row r="4116" spans="61:61">
      <c r="BI4116" s="405"/>
    </row>
    <row r="4117" spans="61:61">
      <c r="BI4117" s="405"/>
    </row>
    <row r="4118" spans="61:61">
      <c r="BI4118" s="405"/>
    </row>
    <row r="4119" spans="61:61">
      <c r="BI4119" s="405"/>
    </row>
    <row r="4120" spans="61:61">
      <c r="BI4120" s="405"/>
    </row>
    <row r="4121" spans="61:61">
      <c r="BI4121" s="405"/>
    </row>
    <row r="4122" spans="61:61">
      <c r="BI4122" s="405"/>
    </row>
    <row r="4123" spans="61:61">
      <c r="BI4123" s="405"/>
    </row>
    <row r="4124" spans="61:61">
      <c r="BI4124" s="405"/>
    </row>
    <row r="4125" spans="61:61">
      <c r="BI4125" s="405"/>
    </row>
    <row r="4126" spans="61:61">
      <c r="BI4126" s="405"/>
    </row>
    <row r="4127" spans="61:61">
      <c r="BI4127" s="405"/>
    </row>
    <row r="4128" spans="61:61">
      <c r="BI4128" s="405"/>
    </row>
    <row r="4129" spans="61:61">
      <c r="BI4129" s="405"/>
    </row>
    <row r="4130" spans="61:61">
      <c r="BI4130" s="405"/>
    </row>
    <row r="4131" spans="61:61">
      <c r="BI4131" s="405"/>
    </row>
    <row r="4132" spans="61:61">
      <c r="BI4132" s="405"/>
    </row>
    <row r="4133" spans="61:61">
      <c r="BI4133" s="405"/>
    </row>
    <row r="4134" spans="61:61">
      <c r="BI4134" s="405"/>
    </row>
    <row r="4135" spans="61:61">
      <c r="BI4135" s="405"/>
    </row>
    <row r="4136" spans="61:61">
      <c r="BI4136" s="405"/>
    </row>
    <row r="4137" spans="61:61">
      <c r="BI4137" s="405"/>
    </row>
    <row r="4138" spans="61:61">
      <c r="BI4138" s="405"/>
    </row>
    <row r="4139" spans="61:61">
      <c r="BI4139" s="405"/>
    </row>
    <row r="4140" spans="61:61">
      <c r="BI4140" s="405"/>
    </row>
    <row r="4141" spans="61:61">
      <c r="BI4141" s="405"/>
    </row>
    <row r="4142" spans="61:61">
      <c r="BI4142" s="405"/>
    </row>
    <row r="4143" spans="61:61">
      <c r="BI4143" s="405"/>
    </row>
    <row r="4144" spans="61:61">
      <c r="BI4144" s="405"/>
    </row>
    <row r="4145" spans="61:61">
      <c r="BI4145" s="405"/>
    </row>
    <row r="4146" spans="61:61">
      <c r="BI4146" s="405"/>
    </row>
    <row r="4147" spans="61:61">
      <c r="BI4147" s="405"/>
    </row>
    <row r="4148" spans="61:61">
      <c r="BI4148" s="405"/>
    </row>
    <row r="4149" spans="61:61">
      <c r="BI4149" s="405"/>
    </row>
    <row r="4150" spans="61:61">
      <c r="BI4150" s="405"/>
    </row>
    <row r="4151" spans="61:61">
      <c r="BI4151" s="405"/>
    </row>
    <row r="4152" spans="61:61">
      <c r="BI4152" s="405"/>
    </row>
    <row r="4153" spans="61:61">
      <c r="BI4153" s="405"/>
    </row>
    <row r="4154" spans="61:61">
      <c r="BI4154" s="405"/>
    </row>
    <row r="4155" spans="61:61">
      <c r="BI4155" s="405"/>
    </row>
    <row r="4156" spans="61:61">
      <c r="BI4156" s="405"/>
    </row>
    <row r="4157" spans="61:61">
      <c r="BI4157" s="405"/>
    </row>
    <row r="4158" spans="61:61">
      <c r="BI4158" s="405"/>
    </row>
    <row r="4159" spans="61:61">
      <c r="BI4159" s="405"/>
    </row>
    <row r="4160" spans="61:61">
      <c r="BI4160" s="405"/>
    </row>
    <row r="4161" spans="61:61">
      <c r="BI4161" s="405"/>
    </row>
    <row r="4162" spans="61:61">
      <c r="BI4162" s="405"/>
    </row>
    <row r="4163" spans="61:61">
      <c r="BI4163" s="405"/>
    </row>
    <row r="4164" spans="61:61">
      <c r="BI4164" s="405"/>
    </row>
    <row r="4165" spans="61:61">
      <c r="BI4165" s="405"/>
    </row>
    <row r="4166" spans="61:61">
      <c r="BI4166" s="405"/>
    </row>
    <row r="4167" spans="61:61">
      <c r="BI4167" s="405"/>
    </row>
    <row r="4168" spans="61:61">
      <c r="BI4168" s="405"/>
    </row>
    <row r="4169" spans="61:61">
      <c r="BI4169" s="405"/>
    </row>
    <row r="4170" spans="61:61">
      <c r="BI4170" s="405"/>
    </row>
    <row r="4171" spans="61:61">
      <c r="BI4171" s="405"/>
    </row>
    <row r="4172" spans="61:61">
      <c r="BI4172" s="405"/>
    </row>
    <row r="4173" spans="61:61">
      <c r="BI4173" s="405"/>
    </row>
    <row r="4174" spans="61:61">
      <c r="BI4174" s="405"/>
    </row>
    <row r="4175" spans="61:61">
      <c r="BI4175" s="405"/>
    </row>
    <row r="4176" spans="61:61">
      <c r="BI4176" s="405"/>
    </row>
    <row r="4177" spans="61:61">
      <c r="BI4177" s="405"/>
    </row>
    <row r="4178" spans="61:61">
      <c r="BI4178" s="405"/>
    </row>
    <row r="4179" spans="61:61">
      <c r="BI4179" s="405"/>
    </row>
    <row r="4180" spans="61:61">
      <c r="BI4180" s="405"/>
    </row>
    <row r="4181" spans="61:61">
      <c r="BI4181" s="405"/>
    </row>
    <row r="4182" spans="61:61">
      <c r="BI4182" s="405"/>
    </row>
    <row r="4183" spans="61:61">
      <c r="BI4183" s="405"/>
    </row>
    <row r="4184" spans="61:61">
      <c r="BI4184" s="405"/>
    </row>
    <row r="4185" spans="61:61">
      <c r="BI4185" s="405"/>
    </row>
    <row r="4186" spans="61:61">
      <c r="BI4186" s="405"/>
    </row>
    <row r="4187" spans="61:61">
      <c r="BI4187" s="405"/>
    </row>
    <row r="4188" spans="61:61">
      <c r="BI4188" s="405"/>
    </row>
    <row r="4189" spans="61:61">
      <c r="BI4189" s="405"/>
    </row>
    <row r="4190" spans="61:61">
      <c r="BI4190" s="405"/>
    </row>
    <row r="4191" spans="61:61">
      <c r="BI4191" s="405"/>
    </row>
    <row r="4192" spans="61:61">
      <c r="BI4192" s="405"/>
    </row>
    <row r="4193" spans="61:61">
      <c r="BI4193" s="405"/>
    </row>
    <row r="4194" spans="61:61">
      <c r="BI4194" s="405"/>
    </row>
    <row r="4195" spans="61:61">
      <c r="BI4195" s="405"/>
    </row>
    <row r="4196" spans="61:61">
      <c r="BI4196" s="405"/>
    </row>
    <row r="4197" spans="61:61">
      <c r="BI4197" s="405"/>
    </row>
    <row r="4198" spans="61:61">
      <c r="BI4198" s="405"/>
    </row>
    <row r="4199" spans="61:61">
      <c r="BI4199" s="405"/>
    </row>
    <row r="4200" spans="61:61">
      <c r="BI4200" s="405"/>
    </row>
    <row r="4201" spans="61:61">
      <c r="BI4201" s="405"/>
    </row>
    <row r="4202" spans="61:61">
      <c r="BI4202" s="405"/>
    </row>
    <row r="4203" spans="61:61">
      <c r="BI4203" s="405"/>
    </row>
    <row r="4204" spans="61:61">
      <c r="BI4204" s="405"/>
    </row>
    <row r="4205" spans="61:61">
      <c r="BI4205" s="405"/>
    </row>
    <row r="4206" spans="61:61">
      <c r="BI4206" s="405"/>
    </row>
    <row r="4207" spans="61:61">
      <c r="BI4207" s="405"/>
    </row>
    <row r="4208" spans="61:61">
      <c r="BI4208" s="405"/>
    </row>
    <row r="4209" spans="61:61">
      <c r="BI4209" s="405"/>
    </row>
    <row r="4210" spans="61:61">
      <c r="BI4210" s="405"/>
    </row>
    <row r="4211" spans="61:61">
      <c r="BI4211" s="405"/>
    </row>
    <row r="4212" spans="61:61">
      <c r="BI4212" s="405"/>
    </row>
    <row r="4213" spans="61:61">
      <c r="BI4213" s="405"/>
    </row>
    <row r="4214" spans="61:61">
      <c r="BI4214" s="405"/>
    </row>
    <row r="4215" spans="61:61">
      <c r="BI4215" s="405"/>
    </row>
    <row r="4216" spans="61:61">
      <c r="BI4216" s="405"/>
    </row>
    <row r="4217" spans="61:61">
      <c r="BI4217" s="405"/>
    </row>
    <row r="4218" spans="61:61">
      <c r="BI4218" s="405"/>
    </row>
    <row r="4219" spans="61:61">
      <c r="BI4219" s="405"/>
    </row>
    <row r="4220" spans="61:61">
      <c r="BI4220" s="405"/>
    </row>
    <row r="4221" spans="61:61">
      <c r="BI4221" s="405"/>
    </row>
    <row r="4222" spans="61:61">
      <c r="BI4222" s="405"/>
    </row>
    <row r="4223" spans="61:61">
      <c r="BI4223" s="405"/>
    </row>
    <row r="4224" spans="61:61">
      <c r="BI4224" s="405"/>
    </row>
    <row r="4225" spans="61:61">
      <c r="BI4225" s="405"/>
    </row>
    <row r="4226" spans="61:61">
      <c r="BI4226" s="405"/>
    </row>
    <row r="4227" spans="61:61">
      <c r="BI4227" s="405"/>
    </row>
    <row r="4228" spans="61:61">
      <c r="BI4228" s="405"/>
    </row>
    <row r="4229" spans="61:61">
      <c r="BI4229" s="405"/>
    </row>
    <row r="4230" spans="61:61">
      <c r="BI4230" s="405"/>
    </row>
    <row r="4231" spans="61:61">
      <c r="BI4231" s="405"/>
    </row>
    <row r="4232" spans="61:61">
      <c r="BI4232" s="405"/>
    </row>
    <row r="4233" spans="61:61">
      <c r="BI4233" s="405"/>
    </row>
    <row r="4234" spans="61:61">
      <c r="BI4234" s="405"/>
    </row>
    <row r="4235" spans="61:61">
      <c r="BI4235" s="405"/>
    </row>
    <row r="4236" spans="61:61">
      <c r="BI4236" s="405"/>
    </row>
    <row r="4237" spans="61:61">
      <c r="BI4237" s="405"/>
    </row>
    <row r="4238" spans="61:61">
      <c r="BI4238" s="405"/>
    </row>
    <row r="4239" spans="61:61">
      <c r="BI4239" s="405"/>
    </row>
    <row r="4240" spans="61:61">
      <c r="BI4240" s="405"/>
    </row>
    <row r="4241" spans="61:61">
      <c r="BI4241" s="405"/>
    </row>
    <row r="4242" spans="61:61">
      <c r="BI4242" s="405"/>
    </row>
    <row r="4243" spans="61:61">
      <c r="BI4243" s="405"/>
    </row>
    <row r="4244" spans="61:61">
      <c r="BI4244" s="405"/>
    </row>
    <row r="4245" spans="61:61">
      <c r="BI4245" s="405"/>
    </row>
    <row r="4246" spans="61:61">
      <c r="BI4246" s="405"/>
    </row>
    <row r="4247" spans="61:61">
      <c r="BI4247" s="405"/>
    </row>
    <row r="4248" spans="61:61">
      <c r="BI4248" s="405"/>
    </row>
    <row r="4249" spans="61:61">
      <c r="BI4249" s="405"/>
    </row>
    <row r="4250" spans="61:61">
      <c r="BI4250" s="405"/>
    </row>
    <row r="4251" spans="61:61">
      <c r="BI4251" s="405"/>
    </row>
    <row r="4252" spans="61:61">
      <c r="BI4252" s="405"/>
    </row>
    <row r="4253" spans="61:61">
      <c r="BI4253" s="405"/>
    </row>
    <row r="4254" spans="61:61">
      <c r="BI4254" s="405"/>
    </row>
    <row r="4255" spans="61:61">
      <c r="BI4255" s="405"/>
    </row>
    <row r="4256" spans="61:61">
      <c r="BI4256" s="405"/>
    </row>
    <row r="4257" spans="61:61">
      <c r="BI4257" s="405"/>
    </row>
    <row r="4258" spans="61:61">
      <c r="BI4258" s="405"/>
    </row>
    <row r="4259" spans="61:61">
      <c r="BI4259" s="405"/>
    </row>
    <row r="4260" spans="61:61">
      <c r="BI4260" s="405"/>
    </row>
    <row r="4261" spans="61:61">
      <c r="BI4261" s="405"/>
    </row>
    <row r="4262" spans="61:61">
      <c r="BI4262" s="405"/>
    </row>
    <row r="4263" spans="61:61">
      <c r="BI4263" s="405"/>
    </row>
    <row r="4264" spans="61:61">
      <c r="BI4264" s="405"/>
    </row>
    <row r="4265" spans="61:61">
      <c r="BI4265" s="405"/>
    </row>
    <row r="4266" spans="61:61">
      <c r="BI4266" s="405"/>
    </row>
    <row r="4267" spans="61:61">
      <c r="BI4267" s="405"/>
    </row>
    <row r="4268" spans="61:61">
      <c r="BI4268" s="405"/>
    </row>
    <row r="4269" spans="61:61">
      <c r="BI4269" s="405"/>
    </row>
    <row r="4270" spans="61:61">
      <c r="BI4270" s="405"/>
    </row>
    <row r="4271" spans="61:61">
      <c r="BI4271" s="405"/>
    </row>
    <row r="4272" spans="61:61">
      <c r="BI4272" s="405"/>
    </row>
    <row r="4273" spans="61:61">
      <c r="BI4273" s="405"/>
    </row>
    <row r="4274" spans="61:61">
      <c r="BI4274" s="405"/>
    </row>
    <row r="4275" spans="61:61">
      <c r="BI4275" s="405"/>
    </row>
    <row r="4276" spans="61:61">
      <c r="BI4276" s="405"/>
    </row>
    <row r="4277" spans="61:61">
      <c r="BI4277" s="405"/>
    </row>
    <row r="4278" spans="61:61">
      <c r="BI4278" s="405"/>
    </row>
    <row r="4279" spans="61:61">
      <c r="BI4279" s="405"/>
    </row>
    <row r="4280" spans="61:61">
      <c r="BI4280" s="405"/>
    </row>
    <row r="4281" spans="61:61">
      <c r="BI4281" s="405"/>
    </row>
    <row r="4282" spans="61:61">
      <c r="BI4282" s="405"/>
    </row>
    <row r="4283" spans="61:61">
      <c r="BI4283" s="405"/>
    </row>
    <row r="4284" spans="61:61">
      <c r="BI4284" s="405"/>
    </row>
    <row r="4285" spans="61:61">
      <c r="BI4285" s="405"/>
    </row>
    <row r="4286" spans="61:61">
      <c r="BI4286" s="405"/>
    </row>
    <row r="4287" spans="61:61">
      <c r="BI4287" s="405"/>
    </row>
    <row r="4288" spans="61:61">
      <c r="BI4288" s="405"/>
    </row>
    <row r="4289" spans="61:61">
      <c r="BI4289" s="405"/>
    </row>
    <row r="4290" spans="61:61">
      <c r="BI4290" s="405"/>
    </row>
    <row r="4291" spans="61:61">
      <c r="BI4291" s="405"/>
    </row>
    <row r="4292" spans="61:61">
      <c r="BI4292" s="405"/>
    </row>
    <row r="4293" spans="61:61">
      <c r="BI4293" s="405"/>
    </row>
    <row r="4294" spans="61:61">
      <c r="BI4294" s="405"/>
    </row>
    <row r="4295" spans="61:61">
      <c r="BI4295" s="405"/>
    </row>
    <row r="4296" spans="61:61">
      <c r="BI4296" s="405"/>
    </row>
    <row r="4297" spans="61:61">
      <c r="BI4297" s="405"/>
    </row>
    <row r="4298" spans="61:61">
      <c r="BI4298" s="405"/>
    </row>
    <row r="4299" spans="61:61">
      <c r="BI4299" s="405"/>
    </row>
    <row r="4300" spans="61:61">
      <c r="BI4300" s="405"/>
    </row>
    <row r="4301" spans="61:61">
      <c r="BI4301" s="405"/>
    </row>
    <row r="4302" spans="61:61">
      <c r="BI4302" s="405"/>
    </row>
    <row r="4303" spans="61:61">
      <c r="BI4303" s="405"/>
    </row>
    <row r="4304" spans="61:61">
      <c r="BI4304" s="405"/>
    </row>
    <row r="4305" spans="61:61">
      <c r="BI4305" s="405"/>
    </row>
    <row r="4306" spans="61:61">
      <c r="BI4306" s="405"/>
    </row>
    <row r="4307" spans="61:61">
      <c r="BI4307" s="405"/>
    </row>
    <row r="4308" spans="61:61">
      <c r="BI4308" s="405"/>
    </row>
    <row r="4309" spans="61:61">
      <c r="BI4309" s="405"/>
    </row>
    <row r="4310" spans="61:61">
      <c r="BI4310" s="405"/>
    </row>
    <row r="4311" spans="61:61">
      <c r="BI4311" s="405"/>
    </row>
    <row r="4312" spans="61:61">
      <c r="BI4312" s="405"/>
    </row>
    <row r="4313" spans="61:61">
      <c r="BI4313" s="405"/>
    </row>
    <row r="4314" spans="61:61">
      <c r="BI4314" s="405"/>
    </row>
    <row r="4315" spans="61:61">
      <c r="BI4315" s="405"/>
    </row>
    <row r="4316" spans="61:61">
      <c r="BI4316" s="405"/>
    </row>
    <row r="4317" spans="61:61">
      <c r="BI4317" s="405"/>
    </row>
    <row r="4318" spans="61:61">
      <c r="BI4318" s="405"/>
    </row>
    <row r="4319" spans="61:61">
      <c r="BI4319" s="405"/>
    </row>
    <row r="4320" spans="61:61">
      <c r="BI4320" s="405"/>
    </row>
    <row r="4321" spans="61:61">
      <c r="BI4321" s="405"/>
    </row>
    <row r="4322" spans="61:61">
      <c r="BI4322" s="405"/>
    </row>
    <row r="4323" spans="61:61">
      <c r="BI4323" s="405"/>
    </row>
    <row r="4324" spans="61:61">
      <c r="BI4324" s="405"/>
    </row>
    <row r="4325" spans="61:61">
      <c r="BI4325" s="405"/>
    </row>
    <row r="4326" spans="61:61">
      <c r="BI4326" s="405"/>
    </row>
    <row r="4327" spans="61:61">
      <c r="BI4327" s="405"/>
    </row>
    <row r="4328" spans="61:61">
      <c r="BI4328" s="405"/>
    </row>
    <row r="4329" spans="61:61">
      <c r="BI4329" s="405"/>
    </row>
    <row r="4330" spans="61:61">
      <c r="BI4330" s="405"/>
    </row>
    <row r="4331" spans="61:61">
      <c r="BI4331" s="405"/>
    </row>
    <row r="4332" spans="61:61">
      <c r="BI4332" s="405"/>
    </row>
    <row r="4333" spans="61:61">
      <c r="BI4333" s="405"/>
    </row>
    <row r="4334" spans="61:61">
      <c r="BI4334" s="405"/>
    </row>
    <row r="4335" spans="61:61">
      <c r="BI4335" s="405"/>
    </row>
    <row r="4336" spans="61:61">
      <c r="BI4336" s="405"/>
    </row>
    <row r="4337" spans="61:61">
      <c r="BI4337" s="405"/>
    </row>
    <row r="4338" spans="61:61">
      <c r="BI4338" s="405"/>
    </row>
    <row r="4339" spans="61:61">
      <c r="BI4339" s="405"/>
    </row>
    <row r="4340" spans="61:61">
      <c r="BI4340" s="405"/>
    </row>
    <row r="4341" spans="61:61">
      <c r="BI4341" s="405"/>
    </row>
    <row r="4342" spans="61:61">
      <c r="BI4342" s="405"/>
    </row>
    <row r="4343" spans="61:61">
      <c r="BI4343" s="405"/>
    </row>
    <row r="4344" spans="61:61">
      <c r="BI4344" s="405"/>
    </row>
    <row r="4345" spans="61:61">
      <c r="BI4345" s="405"/>
    </row>
    <row r="4346" spans="61:61">
      <c r="BI4346" s="405"/>
    </row>
    <row r="4347" spans="61:61">
      <c r="BI4347" s="405"/>
    </row>
    <row r="4348" spans="61:61">
      <c r="BI4348" s="405"/>
    </row>
    <row r="4349" spans="61:61">
      <c r="BI4349" s="405"/>
    </row>
    <row r="4350" spans="61:61">
      <c r="BI4350" s="405"/>
    </row>
    <row r="4351" spans="61:61">
      <c r="BI4351" s="405"/>
    </row>
    <row r="4352" spans="61:61">
      <c r="BI4352" s="405"/>
    </row>
    <row r="4353" spans="61:61">
      <c r="BI4353" s="405"/>
    </row>
    <row r="4354" spans="61:61">
      <c r="BI4354" s="405"/>
    </row>
    <row r="4355" spans="61:61">
      <c r="BI4355" s="405"/>
    </row>
    <row r="4356" spans="61:61">
      <c r="BI4356" s="405"/>
    </row>
    <row r="4357" spans="61:61">
      <c r="BI4357" s="405"/>
    </row>
    <row r="4358" spans="61:61">
      <c r="BI4358" s="405"/>
    </row>
    <row r="4359" spans="61:61">
      <c r="BI4359" s="405"/>
    </row>
    <row r="4360" spans="61:61">
      <c r="BI4360" s="405"/>
    </row>
    <row r="4361" spans="61:61">
      <c r="BI4361" s="405"/>
    </row>
    <row r="4362" spans="61:61">
      <c r="BI4362" s="405"/>
    </row>
    <row r="4363" spans="61:61">
      <c r="BI4363" s="405"/>
    </row>
    <row r="4364" spans="61:61">
      <c r="BI4364" s="405"/>
    </row>
    <row r="4365" spans="61:61">
      <c r="BI4365" s="405"/>
    </row>
    <row r="4366" spans="61:61">
      <c r="BI4366" s="405"/>
    </row>
    <row r="4367" spans="61:61">
      <c r="BI4367" s="405"/>
    </row>
    <row r="4368" spans="61:61">
      <c r="BI4368" s="405"/>
    </row>
    <row r="4369" spans="61:61">
      <c r="BI4369" s="405"/>
    </row>
    <row r="4370" spans="61:61">
      <c r="BI4370" s="405"/>
    </row>
    <row r="4371" spans="61:61">
      <c r="BI4371" s="405"/>
    </row>
    <row r="4372" spans="61:61">
      <c r="BI4372" s="405"/>
    </row>
    <row r="4373" spans="61:61">
      <c r="BI4373" s="405"/>
    </row>
    <row r="4374" spans="61:61">
      <c r="BI4374" s="405"/>
    </row>
    <row r="4375" spans="61:61">
      <c r="BI4375" s="405"/>
    </row>
    <row r="4376" spans="61:61">
      <c r="BI4376" s="405"/>
    </row>
    <row r="4377" spans="61:61">
      <c r="BI4377" s="405"/>
    </row>
    <row r="4378" spans="61:61">
      <c r="BI4378" s="405"/>
    </row>
    <row r="4379" spans="61:61">
      <c r="BI4379" s="405"/>
    </row>
    <row r="4380" spans="61:61">
      <c r="BI4380" s="405"/>
    </row>
    <row r="4381" spans="61:61">
      <c r="BI4381" s="405"/>
    </row>
    <row r="4382" spans="61:61">
      <c r="BI4382" s="405"/>
    </row>
    <row r="4383" spans="61:61">
      <c r="BI4383" s="405"/>
    </row>
    <row r="4384" spans="61:61">
      <c r="BI4384" s="405"/>
    </row>
    <row r="4385" spans="61:61">
      <c r="BI4385" s="405"/>
    </row>
    <row r="4386" spans="61:61">
      <c r="BI4386" s="405"/>
    </row>
    <row r="4387" spans="61:61">
      <c r="BI4387" s="405"/>
    </row>
    <row r="4388" spans="61:61">
      <c r="BI4388" s="405"/>
    </row>
  </sheetData>
  <phoneticPr fontId="15" type="noConversion"/>
  <conditionalFormatting sqref="BQ125:BQ65421">
    <cfRule type="cellIs" dxfId="5" priority="1" stopIfTrue="1" operator="lessThan">
      <formula>0</formula>
    </cfRule>
  </conditionalFormatting>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M126"/>
  <sheetViews>
    <sheetView workbookViewId="0">
      <pane xSplit="3" ySplit="4" topLeftCell="D80" activePane="bottomRight" state="frozen"/>
      <selection pane="topRight" activeCell="D1" sqref="D1"/>
      <selection pane="bottomLeft" activeCell="A5" sqref="A5"/>
      <selection pane="bottomRight" activeCell="E80" sqref="E80:G105"/>
    </sheetView>
  </sheetViews>
  <sheetFormatPr defaultColWidth="9.21875" defaultRowHeight="13.2"/>
  <cols>
    <col min="1" max="1" width="8.77734375" style="221" customWidth="1"/>
    <col min="2" max="2" width="44.77734375" style="222" bestFit="1" customWidth="1"/>
    <col min="3" max="3" width="15.77734375" style="222" bestFit="1" customWidth="1"/>
    <col min="4" max="4" width="8.77734375" style="221" customWidth="1"/>
    <col min="5" max="5" width="9.77734375" style="171" bestFit="1" customWidth="1"/>
    <col min="6" max="6" width="9.21875" style="171"/>
    <col min="7" max="7" width="9.77734375" style="171" bestFit="1" customWidth="1"/>
    <col min="8" max="8" width="2.44140625" style="169" customWidth="1"/>
    <col min="9" max="9" width="9.77734375" style="291" bestFit="1" customWidth="1"/>
    <col min="10" max="10" width="9.77734375" style="292" bestFit="1" customWidth="1"/>
    <col min="11" max="16384" width="9.21875" style="169"/>
  </cols>
  <sheetData>
    <row r="1" spans="1:13">
      <c r="A1" s="238" t="s">
        <v>1385</v>
      </c>
      <c r="B1" s="246"/>
      <c r="C1" s="246"/>
      <c r="D1" s="403"/>
      <c r="E1" s="406"/>
      <c r="F1" s="406"/>
      <c r="G1" s="406"/>
      <c r="H1" s="251"/>
      <c r="I1" s="407"/>
      <c r="K1" s="251"/>
      <c r="L1" s="251"/>
      <c r="M1" s="251"/>
    </row>
    <row r="2" spans="1:13">
      <c r="A2" s="403"/>
      <c r="B2" s="246"/>
      <c r="C2" s="246"/>
      <c r="D2" s="403"/>
      <c r="E2" s="408"/>
      <c r="F2" s="406"/>
      <c r="G2" s="406"/>
      <c r="H2" s="251"/>
      <c r="I2" s="407"/>
      <c r="K2" s="251"/>
      <c r="L2" s="251"/>
      <c r="M2" s="251"/>
    </row>
    <row r="3" spans="1:13">
      <c r="A3" s="298">
        <v>1</v>
      </c>
      <c r="B3" s="237">
        <v>2</v>
      </c>
      <c r="C3" s="400">
        <v>3</v>
      </c>
      <c r="D3" s="298">
        <v>4</v>
      </c>
      <c r="E3" s="406">
        <v>5</v>
      </c>
      <c r="F3" s="406">
        <v>6</v>
      </c>
      <c r="G3" s="406"/>
      <c r="H3" s="251"/>
      <c r="I3" s="407"/>
      <c r="K3" s="251"/>
      <c r="L3" s="251"/>
      <c r="M3" s="251"/>
    </row>
    <row r="4" spans="1:13" s="240" customFormat="1" ht="39.6">
      <c r="A4" s="217" t="s">
        <v>882</v>
      </c>
      <c r="B4" s="264" t="s">
        <v>881</v>
      </c>
      <c r="C4" s="218" t="s">
        <v>877</v>
      </c>
      <c r="D4" s="217" t="s">
        <v>1371</v>
      </c>
      <c r="E4" s="254" t="s">
        <v>1386</v>
      </c>
      <c r="F4" s="254" t="s">
        <v>676</v>
      </c>
      <c r="G4" s="239" t="s">
        <v>1387</v>
      </c>
      <c r="H4" s="409"/>
      <c r="I4" s="293" t="s">
        <v>1388</v>
      </c>
      <c r="J4" s="294" t="s">
        <v>1389</v>
      </c>
      <c r="K4" s="409"/>
      <c r="L4" s="409"/>
      <c r="M4" s="409"/>
    </row>
    <row r="5" spans="1:13" ht="13.8">
      <c r="A5" s="288">
        <v>3373</v>
      </c>
      <c r="B5" s="288" t="s">
        <v>707</v>
      </c>
      <c r="C5" s="248" t="str">
        <f>IF(LEFT(A5,1)="1","Nursery",IF(LEFT(A5,1)="2","Primary",IF(LEFT(A5,1)="3","Primary",IF(LEFT(A5,1)="7","Special","NA"))))</f>
        <v>Primary</v>
      </c>
      <c r="D5" s="399"/>
      <c r="E5" s="284">
        <f>VLOOKUP($A5,'Data - CFR 2024-25'!$B$4:$CO$134,69,0)+VLOOKUP($A5,'Data - CFR 2024-25'!$B$4:$CJ$134,70,0)</f>
        <v>39157.279999999897</v>
      </c>
      <c r="F5" s="284">
        <f>VLOOKUP($A5,'Data - CFR 2024-25'!$B$4:$CO$134,71,0)</f>
        <v>0</v>
      </c>
      <c r="G5" s="207">
        <f>SUM(E5:F5)</f>
        <v>39157.279999999897</v>
      </c>
      <c r="H5" s="251"/>
      <c r="I5" s="410"/>
      <c r="J5" s="295">
        <f>G5-I5</f>
        <v>39157.279999999897</v>
      </c>
      <c r="K5" s="251"/>
      <c r="L5" s="251"/>
      <c r="M5" s="411"/>
    </row>
    <row r="6" spans="1:13" ht="13.8">
      <c r="A6" s="288">
        <v>3061</v>
      </c>
      <c r="B6" s="288" t="s">
        <v>709</v>
      </c>
      <c r="C6" s="248" t="str">
        <f t="shared" ref="C6:C69" si="0">IF(LEFT(A6,1)="1","Nursery",IF(LEFT(A6,1)="2","Primary",IF(LEFT(A6,1)="3","Primary",IF(LEFT(A6,1)="7","Special","NA"))))</f>
        <v>Primary</v>
      </c>
      <c r="D6" s="399"/>
      <c r="E6" s="284">
        <f>VLOOKUP($A6,'Data - CFR 2024-25'!$B$4:$CO$134,69,0)+VLOOKUP($A6,'Data - CFR 2024-25'!$B$4:$CJ$134,70,0)</f>
        <v>61084.52000000004</v>
      </c>
      <c r="F6" s="284">
        <f>VLOOKUP($A6,'Data - CFR 2024-25'!$B$4:$CO$134,71,0)</f>
        <v>0</v>
      </c>
      <c r="G6" s="207">
        <f t="shared" ref="G6:G16" si="1">SUM(E6:F6)</f>
        <v>61084.52000000004</v>
      </c>
      <c r="H6" s="251"/>
      <c r="I6" s="410"/>
      <c r="J6" s="295">
        <f t="shared" ref="J6:J26" si="2">G6-I6</f>
        <v>61084.52000000004</v>
      </c>
      <c r="K6" s="251"/>
      <c r="L6" s="251"/>
      <c r="M6" s="411"/>
    </row>
    <row r="7" spans="1:13" ht="13.8">
      <c r="A7" s="288">
        <v>2083</v>
      </c>
      <c r="B7" s="288" t="s">
        <v>710</v>
      </c>
      <c r="C7" s="248" t="str">
        <f t="shared" si="0"/>
        <v>Primary</v>
      </c>
      <c r="D7" s="399"/>
      <c r="E7" s="284">
        <f>VLOOKUP($A7,'Data - CFR 2024-25'!$B$4:$CO$134,69,0)+VLOOKUP($A7,'Data - CFR 2024-25'!$B$4:$CJ$134,70,0)</f>
        <v>120628.11000000013</v>
      </c>
      <c r="F7" s="284">
        <f>VLOOKUP($A7,'Data - CFR 2024-25'!$B$4:$CO$134,71,0)</f>
        <v>0</v>
      </c>
      <c r="G7" s="207">
        <f t="shared" si="1"/>
        <v>120628.11000000013</v>
      </c>
      <c r="H7" s="251"/>
      <c r="I7" s="410"/>
      <c r="J7" s="295">
        <f t="shared" si="2"/>
        <v>120628.11000000013</v>
      </c>
      <c r="K7" s="251"/>
      <c r="L7" s="251"/>
      <c r="M7" s="411"/>
    </row>
    <row r="8" spans="1:13" ht="13.8">
      <c r="A8" s="288">
        <v>2118</v>
      </c>
      <c r="B8" s="288" t="s">
        <v>711</v>
      </c>
      <c r="C8" s="248" t="str">
        <f t="shared" si="0"/>
        <v>Primary</v>
      </c>
      <c r="D8" s="399"/>
      <c r="E8" s="284">
        <f>VLOOKUP($A8,'Data - CFR 2024-25'!$B$4:$CO$134,69,0)+VLOOKUP($A8,'Data - CFR 2024-25'!$B$4:$CJ$134,70,0)</f>
        <v>299812.85000000091</v>
      </c>
      <c r="F8" s="284">
        <f>VLOOKUP($A8,'Data - CFR 2024-25'!$B$4:$CO$134,71,0)</f>
        <v>0</v>
      </c>
      <c r="G8" s="207">
        <f t="shared" si="1"/>
        <v>299812.85000000091</v>
      </c>
      <c r="H8" s="251"/>
      <c r="I8" s="410"/>
      <c r="J8" s="295">
        <f t="shared" si="2"/>
        <v>299812.85000000091</v>
      </c>
      <c r="K8" s="251"/>
      <c r="L8" s="251"/>
      <c r="M8" s="411"/>
    </row>
    <row r="9" spans="1:13" ht="13.8">
      <c r="A9" s="288">
        <v>2217</v>
      </c>
      <c r="B9" s="288" t="s">
        <v>712</v>
      </c>
      <c r="C9" s="248" t="str">
        <f t="shared" si="0"/>
        <v>Primary</v>
      </c>
      <c r="D9" s="399"/>
      <c r="E9" s="284">
        <f>VLOOKUP($A9,'Data - CFR 2024-25'!$B$4:$CO$134,69,0)+VLOOKUP($A9,'Data - CFR 2024-25'!$B$4:$CJ$134,70,0)</f>
        <v>-9975.4900000000271</v>
      </c>
      <c r="F9" s="284">
        <f>VLOOKUP($A9,'Data - CFR 2024-25'!$B$4:$CO$134,71,0)</f>
        <v>6330.7000000000007</v>
      </c>
      <c r="G9" s="207">
        <f t="shared" si="1"/>
        <v>-3644.7900000000263</v>
      </c>
      <c r="H9" s="251"/>
      <c r="I9" s="410"/>
      <c r="J9" s="295">
        <f t="shared" si="2"/>
        <v>-3644.7900000000263</v>
      </c>
      <c r="K9" s="251"/>
      <c r="L9" s="251"/>
      <c r="M9" s="411"/>
    </row>
    <row r="10" spans="1:13" ht="13.8">
      <c r="A10" s="288">
        <v>3067</v>
      </c>
      <c r="B10" s="288" t="s">
        <v>713</v>
      </c>
      <c r="C10" s="248" t="str">
        <f t="shared" si="0"/>
        <v>Primary</v>
      </c>
      <c r="D10" s="399"/>
      <c r="E10" s="284">
        <f>VLOOKUP($A10,'Data - CFR 2024-25'!$B$4:$CO$134,69,0)+VLOOKUP($A10,'Data - CFR 2024-25'!$B$4:$CJ$134,70,0)</f>
        <v>125131.43000000008</v>
      </c>
      <c r="F10" s="284">
        <f>VLOOKUP($A10,'Data - CFR 2024-25'!$B$4:$CO$134,71,0)</f>
        <v>0</v>
      </c>
      <c r="G10" s="207">
        <f t="shared" si="1"/>
        <v>125131.43000000008</v>
      </c>
      <c r="H10" s="251"/>
      <c r="I10" s="410"/>
      <c r="J10" s="295">
        <f t="shared" si="2"/>
        <v>125131.43000000008</v>
      </c>
      <c r="K10" s="251"/>
      <c r="L10" s="251"/>
      <c r="M10" s="411"/>
    </row>
    <row r="11" spans="1:13" ht="13.8">
      <c r="A11" s="289">
        <v>3001</v>
      </c>
      <c r="B11" s="289" t="s">
        <v>714</v>
      </c>
      <c r="C11" s="248" t="str">
        <f t="shared" si="0"/>
        <v>Primary</v>
      </c>
      <c r="D11" s="399"/>
      <c r="E11" s="284">
        <f>VLOOKUP($A11,'Data - CFR 2024-25'!$B$4:$CO$134,69,0)+VLOOKUP($A11,'Data - CFR 2024-25'!$B$4:$CJ$134,70,0)</f>
        <v>-16095.159999999363</v>
      </c>
      <c r="F11" s="284">
        <f>VLOOKUP($A11,'Data - CFR 2024-25'!$B$4:$CO$134,71,0)</f>
        <v>0</v>
      </c>
      <c r="G11" s="207">
        <f t="shared" si="1"/>
        <v>-16095.159999999363</v>
      </c>
      <c r="H11" s="251"/>
      <c r="I11" s="410"/>
      <c r="J11" s="295">
        <f t="shared" si="2"/>
        <v>-16095.159999999363</v>
      </c>
      <c r="K11" s="251"/>
      <c r="L11" s="251"/>
      <c r="M11" s="411"/>
    </row>
    <row r="12" spans="1:13" ht="13.8">
      <c r="A12" s="288">
        <v>3301</v>
      </c>
      <c r="B12" s="288" t="s">
        <v>715</v>
      </c>
      <c r="C12" s="248" t="str">
        <f t="shared" si="0"/>
        <v>Primary</v>
      </c>
      <c r="D12" s="399"/>
      <c r="E12" s="284">
        <f>VLOOKUP($A12,'Data - CFR 2024-25'!$B$4:$CO$134,69,0)+VLOOKUP($A12,'Data - CFR 2024-25'!$B$4:$CJ$134,70,0)</f>
        <v>62089.769999999706</v>
      </c>
      <c r="F12" s="284">
        <f>VLOOKUP($A12,'Data - CFR 2024-25'!$B$4:$CO$134,71,0)</f>
        <v>0</v>
      </c>
      <c r="G12" s="207">
        <f t="shared" si="1"/>
        <v>62089.769999999706</v>
      </c>
      <c r="H12" s="251"/>
      <c r="I12" s="410"/>
      <c r="J12" s="295">
        <f t="shared" si="2"/>
        <v>62089.769999999706</v>
      </c>
      <c r="K12" s="251"/>
      <c r="L12" s="251"/>
      <c r="M12" s="411"/>
    </row>
    <row r="13" spans="1:13" ht="13.8">
      <c r="A13" s="288">
        <v>2002</v>
      </c>
      <c r="B13" s="288" t="s">
        <v>716</v>
      </c>
      <c r="C13" s="248" t="str">
        <f t="shared" si="0"/>
        <v>Primary</v>
      </c>
      <c r="D13" s="399"/>
      <c r="E13" s="284">
        <f>VLOOKUP($A13,'Data - CFR 2024-25'!$B$4:$CO$134,69,0)+VLOOKUP($A13,'Data - CFR 2024-25'!$B$4:$CJ$134,70,0)</f>
        <v>80153.06</v>
      </c>
      <c r="F13" s="284">
        <f>VLOOKUP($A13,'Data - CFR 2024-25'!$B$4:$CO$134,71,0)</f>
        <v>0</v>
      </c>
      <c r="G13" s="207">
        <f t="shared" si="1"/>
        <v>80153.06</v>
      </c>
      <c r="H13" s="251"/>
      <c r="I13" s="410"/>
      <c r="J13" s="295">
        <f t="shared" si="2"/>
        <v>80153.06</v>
      </c>
      <c r="K13" s="251"/>
      <c r="L13" s="251"/>
      <c r="M13" s="411"/>
    </row>
    <row r="14" spans="1:13" ht="13.8">
      <c r="A14" s="288">
        <v>2082</v>
      </c>
      <c r="B14" s="288" t="s">
        <v>717</v>
      </c>
      <c r="C14" s="248" t="str">
        <f t="shared" si="0"/>
        <v>Primary</v>
      </c>
      <c r="D14" s="399"/>
      <c r="E14" s="284">
        <f>VLOOKUP($A14,'Data - CFR 2024-25'!$B$4:$CO$134,69,0)+VLOOKUP($A14,'Data - CFR 2024-25'!$B$4:$CJ$134,70,0)</f>
        <v>178136.83999999956</v>
      </c>
      <c r="F14" s="284">
        <f>VLOOKUP($A14,'Data - CFR 2024-25'!$B$4:$CO$134,71,0)</f>
        <v>0</v>
      </c>
      <c r="G14" s="207">
        <f t="shared" si="1"/>
        <v>178136.83999999956</v>
      </c>
      <c r="H14" s="251"/>
      <c r="I14" s="410"/>
      <c r="J14" s="295">
        <f t="shared" si="2"/>
        <v>178136.83999999956</v>
      </c>
      <c r="K14" s="251"/>
      <c r="L14" s="251"/>
      <c r="M14" s="411"/>
    </row>
    <row r="15" spans="1:13" ht="13.8">
      <c r="A15" s="288">
        <v>3943</v>
      </c>
      <c r="B15" s="288" t="s">
        <v>718</v>
      </c>
      <c r="C15" s="248" t="str">
        <f t="shared" si="0"/>
        <v>Primary</v>
      </c>
      <c r="D15" s="399"/>
      <c r="E15" s="284">
        <f>VLOOKUP($A15,'Data - CFR 2024-25'!$B$4:$CO$134,69,0)+VLOOKUP($A15,'Data - CFR 2024-25'!$B$4:$CJ$134,70,0)</f>
        <v>248088.50999999983</v>
      </c>
      <c r="F15" s="284">
        <f>VLOOKUP($A15,'Data - CFR 2024-25'!$B$4:$CO$134,71,0)</f>
        <v>0</v>
      </c>
      <c r="G15" s="207">
        <f t="shared" si="1"/>
        <v>248088.50999999983</v>
      </c>
      <c r="H15" s="251"/>
      <c r="I15" s="410"/>
      <c r="J15" s="295">
        <f t="shared" si="2"/>
        <v>248088.50999999983</v>
      </c>
      <c r="K15" s="251"/>
      <c r="L15" s="251"/>
      <c r="M15" s="411"/>
    </row>
    <row r="16" spans="1:13" ht="13.8">
      <c r="A16" s="288">
        <v>2060</v>
      </c>
      <c r="B16" s="288" t="s">
        <v>719</v>
      </c>
      <c r="C16" s="248" t="str">
        <f t="shared" si="0"/>
        <v>Primary</v>
      </c>
      <c r="D16" s="399"/>
      <c r="E16" s="284">
        <f>VLOOKUP($A16,'Data - CFR 2024-25'!$B$4:$CO$134,69,0)+VLOOKUP($A16,'Data - CFR 2024-25'!$B$4:$CJ$134,70,0)</f>
        <v>68298.750000000233</v>
      </c>
      <c r="F16" s="284">
        <f>VLOOKUP($A16,'Data - CFR 2024-25'!$B$4:$CO$134,71,0)</f>
        <v>0</v>
      </c>
      <c r="G16" s="207">
        <f t="shared" si="1"/>
        <v>68298.750000000233</v>
      </c>
      <c r="H16" s="251"/>
      <c r="I16" s="410"/>
      <c r="J16" s="295">
        <f t="shared" si="2"/>
        <v>68298.750000000233</v>
      </c>
      <c r="K16" s="251"/>
      <c r="L16" s="251"/>
      <c r="M16" s="411"/>
    </row>
    <row r="17" spans="1:13" ht="13.8">
      <c r="A17" s="288">
        <v>2312</v>
      </c>
      <c r="B17" s="288" t="s">
        <v>720</v>
      </c>
      <c r="C17" s="248" t="str">
        <f t="shared" si="0"/>
        <v>Primary</v>
      </c>
      <c r="D17" s="399"/>
      <c r="E17" s="284">
        <f>VLOOKUP($A17,'Data - CFR 2024-25'!$B$4:$CO$134,69,0)+VLOOKUP($A17,'Data - CFR 2024-25'!$B$4:$CJ$134,70,0)</f>
        <v>37981.820000000582</v>
      </c>
      <c r="F17" s="284">
        <f>VLOOKUP($A17,'Data - CFR 2024-25'!$B$4:$CO$134,71,0)</f>
        <v>75359.490000000005</v>
      </c>
      <c r="G17" s="207">
        <f t="shared" ref="G17:G26" si="3">SUM(E17:F17)</f>
        <v>113341.31000000058</v>
      </c>
      <c r="H17" s="251"/>
      <c r="I17" s="410"/>
      <c r="J17" s="295">
        <f t="shared" si="2"/>
        <v>113341.31000000058</v>
      </c>
      <c r="K17" s="251"/>
      <c r="L17" s="251"/>
      <c r="M17" s="411"/>
    </row>
    <row r="18" spans="1:13" ht="13.8">
      <c r="A18" s="288">
        <v>3942</v>
      </c>
      <c r="B18" s="288" t="s">
        <v>721</v>
      </c>
      <c r="C18" s="248" t="str">
        <f t="shared" si="0"/>
        <v>Primary</v>
      </c>
      <c r="D18" s="399"/>
      <c r="E18" s="284">
        <f>VLOOKUP($A18,'Data - CFR 2024-25'!$B$4:$CO$134,69,0)+VLOOKUP($A18,'Data - CFR 2024-25'!$B$4:$CJ$134,70,0)</f>
        <v>600323.7000000003</v>
      </c>
      <c r="F18" s="284">
        <f>VLOOKUP($A18,'Data - CFR 2024-25'!$B$4:$CO$134,71,0)</f>
        <v>122524.51999999999</v>
      </c>
      <c r="G18" s="207">
        <f t="shared" si="3"/>
        <v>722848.22000000032</v>
      </c>
      <c r="H18" s="251"/>
      <c r="I18" s="410"/>
      <c r="J18" s="295">
        <f t="shared" si="2"/>
        <v>722848.22000000032</v>
      </c>
      <c r="K18" s="251"/>
      <c r="L18" s="251"/>
      <c r="M18" s="411"/>
    </row>
    <row r="19" spans="1:13" ht="13.8">
      <c r="A19" s="288">
        <v>3081</v>
      </c>
      <c r="B19" s="288" t="s">
        <v>722</v>
      </c>
      <c r="C19" s="248" t="str">
        <f t="shared" si="0"/>
        <v>Primary</v>
      </c>
      <c r="D19" s="399"/>
      <c r="E19" s="284">
        <f>VLOOKUP($A19,'Data - CFR 2024-25'!$B$4:$CO$134,69,0)+VLOOKUP($A19,'Data - CFR 2024-25'!$B$4:$CJ$134,70,0)</f>
        <v>92502.149999999907</v>
      </c>
      <c r="F19" s="284">
        <f>VLOOKUP($A19,'Data - CFR 2024-25'!$B$4:$CO$134,71,0)</f>
        <v>0</v>
      </c>
      <c r="G19" s="207">
        <f t="shared" si="3"/>
        <v>92502.149999999907</v>
      </c>
      <c r="H19" s="251"/>
      <c r="I19" s="410"/>
      <c r="J19" s="295">
        <f t="shared" si="2"/>
        <v>92502.149999999907</v>
      </c>
      <c r="K19" s="251"/>
      <c r="L19" s="251"/>
      <c r="M19" s="411"/>
    </row>
    <row r="20" spans="1:13" ht="13.8">
      <c r="A20" s="288">
        <v>1005</v>
      </c>
      <c r="B20" s="288" t="s">
        <v>723</v>
      </c>
      <c r="C20" s="248" t="str">
        <f t="shared" si="0"/>
        <v>Nursery</v>
      </c>
      <c r="D20" s="399"/>
      <c r="E20" s="284">
        <f>VLOOKUP($A20,'Data - CFR 2024-25'!$B$4:$CO$134,69,0)+VLOOKUP($A20,'Data - CFR 2024-25'!$B$4:$CJ$134,70,0)</f>
        <v>-67373.260000000286</v>
      </c>
      <c r="F20" s="284">
        <f>VLOOKUP($A20,'Data - CFR 2024-25'!$B$4:$CO$134,71,0)</f>
        <v>305004.52</v>
      </c>
      <c r="G20" s="207">
        <f t="shared" si="3"/>
        <v>237631.25999999972</v>
      </c>
      <c r="H20" s="251"/>
      <c r="I20" s="410"/>
      <c r="J20" s="295">
        <f t="shared" si="2"/>
        <v>237631.25999999972</v>
      </c>
      <c r="K20" s="251"/>
      <c r="L20" s="251"/>
      <c r="M20" s="411"/>
    </row>
    <row r="21" spans="1:13" ht="13.8">
      <c r="A21" s="288">
        <v>2327</v>
      </c>
      <c r="B21" s="288" t="s">
        <v>725</v>
      </c>
      <c r="C21" s="248" t="str">
        <f t="shared" si="0"/>
        <v>Primary</v>
      </c>
      <c r="D21" s="399"/>
      <c r="E21" s="284">
        <f>VLOOKUP($A21,'Data - CFR 2024-25'!$B$4:$CO$134,69,0)+VLOOKUP($A21,'Data - CFR 2024-25'!$B$4:$CJ$134,70,0)</f>
        <v>190734.40000000078</v>
      </c>
      <c r="F21" s="284">
        <f>VLOOKUP($A21,'Data - CFR 2024-25'!$B$4:$CO$134,71,0)</f>
        <v>0</v>
      </c>
      <c r="G21" s="207">
        <f t="shared" si="3"/>
        <v>190734.40000000078</v>
      </c>
      <c r="H21" s="251"/>
      <c r="I21" s="410"/>
      <c r="J21" s="295">
        <f t="shared" si="2"/>
        <v>190734.40000000078</v>
      </c>
      <c r="K21" s="251"/>
      <c r="L21" s="251"/>
      <c r="M21" s="411"/>
    </row>
    <row r="22" spans="1:13" ht="13.8">
      <c r="A22" s="288">
        <v>2452</v>
      </c>
      <c r="B22" s="288" t="s">
        <v>726</v>
      </c>
      <c r="C22" s="248" t="str">
        <f t="shared" si="0"/>
        <v>Primary</v>
      </c>
      <c r="D22" s="399"/>
      <c r="E22" s="284">
        <f>VLOOKUP($A22,'Data - CFR 2024-25'!$B$4:$CO$134,69,0)+VLOOKUP($A22,'Data - CFR 2024-25'!$B$4:$CJ$134,70,0)</f>
        <v>-6519.7300000001269</v>
      </c>
      <c r="F22" s="284">
        <f>VLOOKUP($A22,'Data - CFR 2024-25'!$B$4:$CO$134,71,0)</f>
        <v>0</v>
      </c>
      <c r="G22" s="207">
        <f t="shared" si="3"/>
        <v>-6519.7300000001269</v>
      </c>
      <c r="H22" s="251"/>
      <c r="I22" s="410"/>
      <c r="J22" s="295">
        <f t="shared" si="2"/>
        <v>-6519.7300000001269</v>
      </c>
      <c r="K22" s="251"/>
      <c r="L22" s="251"/>
      <c r="M22" s="411"/>
    </row>
    <row r="23" spans="1:13" ht="13.8">
      <c r="A23" s="288">
        <v>2004</v>
      </c>
      <c r="B23" s="288" t="s">
        <v>727</v>
      </c>
      <c r="C23" s="248" t="str">
        <f t="shared" si="0"/>
        <v>Primary</v>
      </c>
      <c r="D23" s="399"/>
      <c r="E23" s="284">
        <f>VLOOKUP($A23,'Data - CFR 2024-25'!$B$4:$CO$134,69,0)+VLOOKUP($A23,'Data - CFR 2024-25'!$B$4:$CJ$134,70,0)</f>
        <v>34206.039999999964</v>
      </c>
      <c r="F23" s="284">
        <f>VLOOKUP($A23,'Data - CFR 2024-25'!$B$4:$CO$134,71,0)</f>
        <v>0</v>
      </c>
      <c r="G23" s="207">
        <f t="shared" si="3"/>
        <v>34206.039999999964</v>
      </c>
      <c r="H23" s="251"/>
      <c r="I23" s="410"/>
      <c r="J23" s="295">
        <f t="shared" si="2"/>
        <v>34206.039999999964</v>
      </c>
      <c r="K23" s="251"/>
      <c r="L23" s="251"/>
      <c r="M23" s="411"/>
    </row>
    <row r="24" spans="1:13" ht="13.8">
      <c r="A24" s="288">
        <v>3008</v>
      </c>
      <c r="B24" s="288" t="s">
        <v>728</v>
      </c>
      <c r="C24" s="248" t="str">
        <f t="shared" si="0"/>
        <v>Primary</v>
      </c>
      <c r="D24" s="399"/>
      <c r="E24" s="284">
        <f>VLOOKUP($A24,'Data - CFR 2024-25'!$B$4:$CO$134,69,0)+VLOOKUP($A24,'Data - CFR 2024-25'!$B$4:$CJ$134,70,0)</f>
        <v>-4508.4000000002234</v>
      </c>
      <c r="F24" s="284">
        <f>VLOOKUP($A24,'Data - CFR 2024-25'!$B$4:$CO$134,71,0)</f>
        <v>0</v>
      </c>
      <c r="G24" s="207">
        <f t="shared" si="3"/>
        <v>-4508.4000000002234</v>
      </c>
      <c r="H24" s="251"/>
      <c r="I24" s="410"/>
      <c r="J24" s="295">
        <f t="shared" si="2"/>
        <v>-4508.4000000002234</v>
      </c>
      <c r="K24" s="251"/>
      <c r="L24" s="251"/>
      <c r="M24" s="411"/>
    </row>
    <row r="25" spans="1:13" ht="13.8">
      <c r="A25" s="288">
        <v>7026</v>
      </c>
      <c r="B25" s="288" t="s">
        <v>729</v>
      </c>
      <c r="C25" s="248" t="str">
        <f t="shared" si="0"/>
        <v>Special</v>
      </c>
      <c r="D25" s="399"/>
      <c r="E25" s="284">
        <f>VLOOKUP($A25,'Data - CFR 2024-25'!$B$4:$CO$134,69,0)+VLOOKUP($A25,'Data - CFR 2024-25'!$B$4:$CJ$134,70,0)</f>
        <v>-921025.14999999735</v>
      </c>
      <c r="F25" s="284">
        <f>VLOOKUP($A25,'Data - CFR 2024-25'!$B$4:$CO$134,71,0)</f>
        <v>0</v>
      </c>
      <c r="G25" s="207">
        <f t="shared" si="3"/>
        <v>-921025.14999999735</v>
      </c>
      <c r="H25" s="251"/>
      <c r="I25" s="410"/>
      <c r="J25" s="295">
        <f t="shared" si="2"/>
        <v>-921025.14999999735</v>
      </c>
      <c r="K25" s="251"/>
      <c r="L25" s="251"/>
      <c r="M25" s="411"/>
    </row>
    <row r="26" spans="1:13" ht="13.8">
      <c r="A26" s="288">
        <v>3050</v>
      </c>
      <c r="B26" s="288" t="s">
        <v>731</v>
      </c>
      <c r="C26" s="248" t="str">
        <f t="shared" si="0"/>
        <v>Primary</v>
      </c>
      <c r="D26" s="399"/>
      <c r="E26" s="284">
        <f>VLOOKUP($A26,'Data - CFR 2024-25'!$B$4:$CO$134,69,0)+VLOOKUP($A26,'Data - CFR 2024-25'!$B$4:$CJ$134,70,0)</f>
        <v>-17906.739999999907</v>
      </c>
      <c r="F26" s="284">
        <f>VLOOKUP($A26,'Data - CFR 2024-25'!$B$4:$CO$134,71,0)</f>
        <v>0</v>
      </c>
      <c r="G26" s="207">
        <f t="shared" si="3"/>
        <v>-17906.739999999907</v>
      </c>
      <c r="H26" s="251"/>
      <c r="I26" s="410"/>
      <c r="J26" s="295">
        <f t="shared" si="2"/>
        <v>-17906.739999999907</v>
      </c>
      <c r="K26" s="251"/>
      <c r="L26" s="251"/>
      <c r="M26" s="411"/>
    </row>
    <row r="27" spans="1:13" ht="13.8">
      <c r="A27" s="288">
        <v>3009</v>
      </c>
      <c r="B27" s="288" t="s">
        <v>732</v>
      </c>
      <c r="C27" s="248" t="str">
        <f t="shared" si="0"/>
        <v>Primary</v>
      </c>
      <c r="D27" s="399"/>
      <c r="E27" s="284">
        <f>VLOOKUP($A27,'Data - CFR 2024-25'!$B$4:$CO$134,69,0)+VLOOKUP($A27,'Data - CFR 2024-25'!$B$4:$CJ$134,70,0)</f>
        <v>112643.96999999983</v>
      </c>
      <c r="F27" s="284">
        <f>VLOOKUP($A27,'Data - CFR 2024-25'!$B$4:$CO$134,71,0)</f>
        <v>0</v>
      </c>
      <c r="G27" s="207">
        <f t="shared" ref="G27:G39" si="4">SUM(E27:F27)</f>
        <v>112643.96999999983</v>
      </c>
      <c r="H27" s="251"/>
      <c r="I27" s="410"/>
      <c r="J27" s="295">
        <f t="shared" ref="J27:J49" si="5">G27-I27</f>
        <v>112643.96999999983</v>
      </c>
      <c r="K27" s="251"/>
      <c r="L27" s="251"/>
      <c r="M27" s="411"/>
    </row>
    <row r="28" spans="1:13" ht="13.8">
      <c r="A28" s="288">
        <v>2091</v>
      </c>
      <c r="B28" s="288" t="s">
        <v>733</v>
      </c>
      <c r="C28" s="248" t="str">
        <f t="shared" si="0"/>
        <v>Primary</v>
      </c>
      <c r="D28" s="399"/>
      <c r="E28" s="284">
        <f>VLOOKUP($A28,'Data - CFR 2024-25'!$B$4:$CO$134,69,0)+VLOOKUP($A28,'Data - CFR 2024-25'!$B$4:$CJ$134,70,0)</f>
        <v>240297.92000000025</v>
      </c>
      <c r="F28" s="284">
        <f>VLOOKUP($A28,'Data - CFR 2024-25'!$B$4:$CO$134,71,0)</f>
        <v>0</v>
      </c>
      <c r="G28" s="207">
        <f t="shared" si="4"/>
        <v>240297.92000000025</v>
      </c>
      <c r="H28" s="251"/>
      <c r="I28" s="410"/>
      <c r="J28" s="295">
        <f t="shared" si="5"/>
        <v>240297.92000000025</v>
      </c>
      <c r="K28" s="251"/>
      <c r="L28" s="251"/>
      <c r="M28" s="411"/>
    </row>
    <row r="29" spans="1:13" ht="13.8">
      <c r="A29" s="288">
        <v>2065</v>
      </c>
      <c r="B29" s="288" t="s">
        <v>734</v>
      </c>
      <c r="C29" s="248" t="str">
        <f t="shared" si="0"/>
        <v>Primary</v>
      </c>
      <c r="D29" s="399"/>
      <c r="E29" s="284">
        <f>VLOOKUP($A29,'Data - CFR 2024-25'!$B$4:$CO$134,69,0)+VLOOKUP($A29,'Data - CFR 2024-25'!$B$4:$CJ$134,70,0)</f>
        <v>196682.21</v>
      </c>
      <c r="F29" s="284">
        <f>VLOOKUP($A29,'Data - CFR 2024-25'!$B$4:$CO$134,71,0)</f>
        <v>29945.919999999995</v>
      </c>
      <c r="G29" s="207">
        <f t="shared" si="4"/>
        <v>226628.12999999998</v>
      </c>
      <c r="H29" s="251"/>
      <c r="I29" s="410"/>
      <c r="J29" s="295">
        <f t="shared" si="5"/>
        <v>226628.12999999998</v>
      </c>
      <c r="K29" s="251"/>
      <c r="L29" s="251"/>
      <c r="M29" s="411"/>
    </row>
    <row r="30" spans="1:13" ht="13.8">
      <c r="A30" s="288">
        <v>1006</v>
      </c>
      <c r="B30" s="288" t="s">
        <v>735</v>
      </c>
      <c r="C30" s="248" t="str">
        <f t="shared" si="0"/>
        <v>Nursery</v>
      </c>
      <c r="D30" s="399"/>
      <c r="E30" s="284">
        <f>VLOOKUP($A30,'Data - CFR 2024-25'!$B$4:$CO$134,69,0)+VLOOKUP($A30,'Data - CFR 2024-25'!$B$4:$CJ$134,70,0)</f>
        <v>-88401.629999999917</v>
      </c>
      <c r="F30" s="284">
        <f>VLOOKUP($A30,'Data - CFR 2024-25'!$B$4:$CO$134,71,0)</f>
        <v>2579.34</v>
      </c>
      <c r="G30" s="207">
        <f t="shared" si="4"/>
        <v>-85822.289999999921</v>
      </c>
      <c r="H30" s="251"/>
      <c r="I30" s="410"/>
      <c r="J30" s="295">
        <f t="shared" si="5"/>
        <v>-85822.289999999921</v>
      </c>
      <c r="K30" s="251"/>
      <c r="L30" s="251"/>
      <c r="M30" s="411"/>
    </row>
    <row r="31" spans="1:13" ht="13.8">
      <c r="A31" s="288">
        <v>2119</v>
      </c>
      <c r="B31" s="288" t="s">
        <v>736</v>
      </c>
      <c r="C31" s="248" t="str">
        <f t="shared" si="0"/>
        <v>Primary</v>
      </c>
      <c r="D31" s="399"/>
      <c r="E31" s="284">
        <f>VLOOKUP($A31,'Data - CFR 2024-25'!$B$4:$CO$134,69,0)+VLOOKUP($A31,'Data - CFR 2024-25'!$B$4:$CJ$134,70,0)</f>
        <v>44998.710000000152</v>
      </c>
      <c r="F31" s="284">
        <f>VLOOKUP($A31,'Data - CFR 2024-25'!$B$4:$CO$134,71,0)</f>
        <v>0</v>
      </c>
      <c r="G31" s="207">
        <f t="shared" si="4"/>
        <v>44998.710000000152</v>
      </c>
      <c r="H31" s="251"/>
      <c r="I31" s="410"/>
      <c r="J31" s="295">
        <f t="shared" si="5"/>
        <v>44998.710000000152</v>
      </c>
      <c r="K31" s="251"/>
      <c r="L31" s="251"/>
      <c r="M31" s="411"/>
    </row>
    <row r="32" spans="1:13" ht="13.8">
      <c r="A32" s="288">
        <v>3011</v>
      </c>
      <c r="B32" s="288" t="s">
        <v>737</v>
      </c>
      <c r="C32" s="248" t="str">
        <f t="shared" si="0"/>
        <v>Primary</v>
      </c>
      <c r="D32" s="399"/>
      <c r="E32" s="284">
        <f>VLOOKUP($A32,'Data - CFR 2024-25'!$B$4:$CO$134,69,0)+VLOOKUP($A32,'Data - CFR 2024-25'!$B$4:$CJ$134,70,0)</f>
        <v>-26158.479999999909</v>
      </c>
      <c r="F32" s="284">
        <f>VLOOKUP($A32,'Data - CFR 2024-25'!$B$4:$CO$134,71,0)</f>
        <v>0</v>
      </c>
      <c r="G32" s="207">
        <f t="shared" si="4"/>
        <v>-26158.479999999909</v>
      </c>
      <c r="H32" s="251"/>
      <c r="I32" s="410"/>
      <c r="J32" s="295">
        <f t="shared" si="5"/>
        <v>-26158.479999999909</v>
      </c>
      <c r="K32" s="251"/>
      <c r="L32" s="251"/>
      <c r="M32" s="411"/>
    </row>
    <row r="33" spans="1:13" ht="13.8">
      <c r="A33" s="288">
        <v>2006</v>
      </c>
      <c r="B33" s="288" t="s">
        <v>738</v>
      </c>
      <c r="C33" s="248" t="str">
        <f t="shared" si="0"/>
        <v>Primary</v>
      </c>
      <c r="D33" s="399"/>
      <c r="E33" s="284">
        <f>VLOOKUP($A33,'Data - CFR 2024-25'!$B$4:$CO$134,69,0)+VLOOKUP($A33,'Data - CFR 2024-25'!$B$4:$CJ$134,70,0)</f>
        <v>140623.15999999963</v>
      </c>
      <c r="F33" s="284">
        <f>VLOOKUP($A33,'Data - CFR 2024-25'!$B$4:$CO$134,71,0)</f>
        <v>0</v>
      </c>
      <c r="G33" s="207">
        <f t="shared" si="4"/>
        <v>140623.15999999963</v>
      </c>
      <c r="H33" s="251"/>
      <c r="I33" s="410"/>
      <c r="J33" s="295">
        <f t="shared" si="5"/>
        <v>140623.15999999963</v>
      </c>
      <c r="K33" s="251"/>
      <c r="L33" s="251"/>
      <c r="M33" s="411"/>
    </row>
    <row r="34" spans="1:13" ht="13.8">
      <c r="A34" s="288">
        <v>3012</v>
      </c>
      <c r="B34" s="288" t="s">
        <v>739</v>
      </c>
      <c r="C34" s="248" t="str">
        <f t="shared" si="0"/>
        <v>Primary</v>
      </c>
      <c r="D34" s="399"/>
      <c r="E34" s="284">
        <f>VLOOKUP($A34,'Data - CFR 2024-25'!$B$4:$CO$134,69,0)+VLOOKUP($A34,'Data - CFR 2024-25'!$B$4:$CJ$134,70,0)</f>
        <v>52731.590000000127</v>
      </c>
      <c r="F34" s="284">
        <f>VLOOKUP($A34,'Data - CFR 2024-25'!$B$4:$CO$134,71,0)</f>
        <v>0</v>
      </c>
      <c r="G34" s="207">
        <f t="shared" si="4"/>
        <v>52731.590000000127</v>
      </c>
      <c r="H34" s="251"/>
      <c r="I34" s="410"/>
      <c r="J34" s="295">
        <f t="shared" si="5"/>
        <v>52731.590000000127</v>
      </c>
      <c r="K34" s="251"/>
      <c r="L34" s="251"/>
      <c r="M34" s="411"/>
    </row>
    <row r="35" spans="1:13" ht="13.8">
      <c r="A35" s="288">
        <v>3041</v>
      </c>
      <c r="B35" s="288" t="s">
        <v>740</v>
      </c>
      <c r="C35" s="248" t="str">
        <f t="shared" si="0"/>
        <v>Primary</v>
      </c>
      <c r="D35" s="399"/>
      <c r="E35" s="284">
        <f>VLOOKUP($A35,'Data - CFR 2024-25'!$B$4:$CO$134,69,0)+VLOOKUP($A35,'Data - CFR 2024-25'!$B$4:$CJ$134,70,0)</f>
        <v>23240.79000000003</v>
      </c>
      <c r="F35" s="284">
        <f>VLOOKUP($A35,'Data - CFR 2024-25'!$B$4:$CO$134,71,0)</f>
        <v>0</v>
      </c>
      <c r="G35" s="207">
        <f t="shared" si="4"/>
        <v>23240.79000000003</v>
      </c>
      <c r="H35" s="251"/>
      <c r="I35" s="410"/>
      <c r="J35" s="295">
        <f t="shared" si="5"/>
        <v>23240.79000000003</v>
      </c>
      <c r="K35" s="251"/>
      <c r="L35" s="251"/>
      <c r="M35" s="411"/>
    </row>
    <row r="36" spans="1:13" ht="13.8">
      <c r="A36" s="288">
        <v>2246</v>
      </c>
      <c r="B36" s="288" t="s">
        <v>741</v>
      </c>
      <c r="C36" s="248" t="str">
        <f t="shared" si="0"/>
        <v>Primary</v>
      </c>
      <c r="D36" s="399"/>
      <c r="E36" s="284">
        <f>VLOOKUP($A36,'Data - CFR 2024-25'!$B$4:$CO$134,69,0)+VLOOKUP($A36,'Data - CFR 2024-25'!$B$4:$CJ$134,70,0)</f>
        <v>-58316.290000000168</v>
      </c>
      <c r="F36" s="284">
        <f>VLOOKUP($A36,'Data - CFR 2024-25'!$B$4:$CO$134,71,0)</f>
        <v>0</v>
      </c>
      <c r="G36" s="207">
        <f t="shared" si="4"/>
        <v>-58316.290000000168</v>
      </c>
      <c r="H36" s="251"/>
      <c r="I36" s="410"/>
      <c r="J36" s="295">
        <f t="shared" si="5"/>
        <v>-58316.290000000168</v>
      </c>
      <c r="K36" s="251"/>
      <c r="L36" s="251"/>
      <c r="M36" s="411"/>
    </row>
    <row r="37" spans="1:13" ht="13.8">
      <c r="A37" s="288">
        <v>3308</v>
      </c>
      <c r="B37" s="288" t="s">
        <v>742</v>
      </c>
      <c r="C37" s="248" t="str">
        <f t="shared" si="0"/>
        <v>Primary</v>
      </c>
      <c r="D37" s="399"/>
      <c r="E37" s="284">
        <f>VLOOKUP($A37,'Data - CFR 2024-25'!$B$4:$CO$134,69,0)+VLOOKUP($A37,'Data - CFR 2024-25'!$B$4:$CJ$134,70,0)</f>
        <v>121629.11000000022</v>
      </c>
      <c r="F37" s="284">
        <f>VLOOKUP($A37,'Data - CFR 2024-25'!$B$4:$CO$134,71,0)</f>
        <v>0</v>
      </c>
      <c r="G37" s="207">
        <f t="shared" si="4"/>
        <v>121629.11000000022</v>
      </c>
      <c r="H37" s="251"/>
      <c r="I37" s="410"/>
      <c r="J37" s="295">
        <f t="shared" si="5"/>
        <v>121629.11000000022</v>
      </c>
      <c r="K37" s="251"/>
      <c r="L37" s="251"/>
      <c r="M37" s="411"/>
    </row>
    <row r="38" spans="1:13" ht="13.8">
      <c r="A38" s="288">
        <v>3368</v>
      </c>
      <c r="B38" s="288" t="s">
        <v>743</v>
      </c>
      <c r="C38" s="248" t="str">
        <f t="shared" si="0"/>
        <v>Primary</v>
      </c>
      <c r="D38" s="399"/>
      <c r="E38" s="284">
        <f>VLOOKUP($A38,'Data - CFR 2024-25'!$B$4:$CO$134,69,0)+VLOOKUP($A38,'Data - CFR 2024-25'!$B$4:$CJ$134,70,0)</f>
        <v>73211.559999999939</v>
      </c>
      <c r="F38" s="284">
        <f>VLOOKUP($A38,'Data - CFR 2024-25'!$B$4:$CO$134,71,0)</f>
        <v>0</v>
      </c>
      <c r="G38" s="207">
        <f t="shared" si="4"/>
        <v>73211.559999999939</v>
      </c>
      <c r="H38" s="251"/>
      <c r="I38" s="410"/>
      <c r="J38" s="295">
        <f t="shared" si="5"/>
        <v>73211.559999999939</v>
      </c>
      <c r="K38" s="251"/>
      <c r="L38" s="251"/>
      <c r="M38" s="411"/>
    </row>
    <row r="39" spans="1:13" ht="13.8">
      <c r="A39" s="288">
        <v>2444</v>
      </c>
      <c r="B39" s="288" t="s">
        <v>744</v>
      </c>
      <c r="C39" s="248" t="str">
        <f t="shared" si="0"/>
        <v>Primary</v>
      </c>
      <c r="D39" s="399"/>
      <c r="E39" s="284">
        <f>VLOOKUP($A39,'Data - CFR 2024-25'!$B$4:$CO$134,69,0)+VLOOKUP($A39,'Data - CFR 2024-25'!$B$4:$CJ$134,70,0)</f>
        <v>47227.870000000374</v>
      </c>
      <c r="F39" s="284">
        <f>VLOOKUP($A39,'Data - CFR 2024-25'!$B$4:$CO$134,71,0)</f>
        <v>0</v>
      </c>
      <c r="G39" s="207">
        <f t="shared" si="4"/>
        <v>47227.870000000374</v>
      </c>
      <c r="H39" s="251"/>
      <c r="I39" s="410"/>
      <c r="J39" s="295">
        <f t="shared" si="5"/>
        <v>47227.870000000374</v>
      </c>
      <c r="K39" s="251"/>
      <c r="L39" s="251"/>
      <c r="M39" s="411"/>
    </row>
    <row r="40" spans="1:13" ht="13.8">
      <c r="A40" s="288">
        <v>3074</v>
      </c>
      <c r="B40" s="288" t="s">
        <v>745</v>
      </c>
      <c r="C40" s="248" t="str">
        <f t="shared" si="0"/>
        <v>Primary</v>
      </c>
      <c r="D40" s="399"/>
      <c r="E40" s="284">
        <f>VLOOKUP($A40,'Data - CFR 2024-25'!$B$4:$CO$134,69,0)+VLOOKUP($A40,'Data - CFR 2024-25'!$B$4:$CJ$134,70,0)</f>
        <v>120013.83000000044</v>
      </c>
      <c r="F40" s="284">
        <f>VLOOKUP($A40,'Data - CFR 2024-25'!$B$4:$CO$134,71,0)</f>
        <v>31386.979999999981</v>
      </c>
      <c r="G40" s="207">
        <f t="shared" ref="G40:G49" si="6">SUM(E40:F40)</f>
        <v>151400.81000000041</v>
      </c>
      <c r="H40" s="251"/>
      <c r="I40" s="410"/>
      <c r="J40" s="295">
        <f t="shared" si="5"/>
        <v>151400.81000000041</v>
      </c>
      <c r="K40" s="251"/>
      <c r="L40" s="251"/>
      <c r="M40" s="411"/>
    </row>
    <row r="41" spans="1:13" ht="13.8">
      <c r="A41" s="288">
        <v>2336</v>
      </c>
      <c r="B41" s="288" t="s">
        <v>1378</v>
      </c>
      <c r="C41" s="248" t="str">
        <f t="shared" si="0"/>
        <v>Primary</v>
      </c>
      <c r="D41" s="399"/>
      <c r="E41" s="284">
        <f>VLOOKUP($A41,'Data - CFR 2024-25'!$B$4:$CO$134,69,0)+VLOOKUP($A41,'Data - CFR 2024-25'!$B$4:$CJ$134,70,0)</f>
        <v>201995.71999999945</v>
      </c>
      <c r="F41" s="284">
        <f>VLOOKUP($A41,'Data - CFR 2024-25'!$B$4:$CO$134,71,0)</f>
        <v>0</v>
      </c>
      <c r="G41" s="207">
        <f t="shared" si="6"/>
        <v>201995.71999999945</v>
      </c>
      <c r="H41" s="251"/>
      <c r="I41" s="410"/>
      <c r="J41" s="295">
        <f t="shared" si="5"/>
        <v>201995.71999999945</v>
      </c>
      <c r="K41" s="251"/>
      <c r="L41" s="251"/>
      <c r="M41" s="411"/>
    </row>
    <row r="42" spans="1:13" ht="13.8">
      <c r="A42" s="288">
        <v>2010</v>
      </c>
      <c r="B42" s="288" t="s">
        <v>746</v>
      </c>
      <c r="C42" s="248" t="str">
        <f t="shared" si="0"/>
        <v>Primary</v>
      </c>
      <c r="D42" s="399"/>
      <c r="E42" s="284">
        <f>VLOOKUP($A42,'Data - CFR 2024-25'!$B$4:$CO$134,69,0)+VLOOKUP($A42,'Data - CFR 2024-25'!$B$4:$CJ$134,70,0)</f>
        <v>-27355.349999999908</v>
      </c>
      <c r="F42" s="284">
        <f>VLOOKUP($A42,'Data - CFR 2024-25'!$B$4:$CO$134,71,0)</f>
        <v>0</v>
      </c>
      <c r="G42" s="207">
        <f t="shared" si="6"/>
        <v>-27355.349999999908</v>
      </c>
      <c r="H42" s="251"/>
      <c r="I42" s="410"/>
      <c r="J42" s="295">
        <f t="shared" si="5"/>
        <v>-27355.349999999908</v>
      </c>
      <c r="K42" s="251"/>
      <c r="L42" s="251"/>
      <c r="M42" s="411"/>
    </row>
    <row r="43" spans="1:13" ht="13.8">
      <c r="A43" s="288">
        <v>2208</v>
      </c>
      <c r="B43" s="288" t="s">
        <v>747</v>
      </c>
      <c r="C43" s="248" t="str">
        <f t="shared" si="0"/>
        <v>Primary</v>
      </c>
      <c r="D43" s="399"/>
      <c r="E43" s="284">
        <f>VLOOKUP($A43,'Data - CFR 2024-25'!$B$4:$CO$134,69,0)+VLOOKUP($A43,'Data - CFR 2024-25'!$B$4:$CJ$134,70,0)</f>
        <v>68190.499999999913</v>
      </c>
      <c r="F43" s="284">
        <f>VLOOKUP($A43,'Data - CFR 2024-25'!$B$4:$CO$134,71,0)</f>
        <v>49991.429999999978</v>
      </c>
      <c r="G43" s="207">
        <f t="shared" si="6"/>
        <v>118181.92999999989</v>
      </c>
      <c r="H43" s="251"/>
      <c r="I43" s="410"/>
      <c r="J43" s="295">
        <f t="shared" si="5"/>
        <v>118181.92999999989</v>
      </c>
      <c r="K43" s="251"/>
      <c r="L43" s="251"/>
      <c r="M43" s="411"/>
    </row>
    <row r="44" spans="1:13" ht="13.8">
      <c r="A44" s="288">
        <v>3065</v>
      </c>
      <c r="B44" s="288" t="s">
        <v>748</v>
      </c>
      <c r="C44" s="248" t="str">
        <f t="shared" si="0"/>
        <v>Primary</v>
      </c>
      <c r="D44" s="399"/>
      <c r="E44" s="284">
        <f>VLOOKUP($A44,'Data - CFR 2024-25'!$B$4:$CO$134,69,0)+VLOOKUP($A44,'Data - CFR 2024-25'!$B$4:$CJ$134,70,0)</f>
        <v>-5013.720000000144</v>
      </c>
      <c r="F44" s="284">
        <f>VLOOKUP($A44,'Data - CFR 2024-25'!$B$4:$CO$134,71,0)</f>
        <v>0</v>
      </c>
      <c r="G44" s="207">
        <f t="shared" si="6"/>
        <v>-5013.720000000144</v>
      </c>
      <c r="H44" s="251"/>
      <c r="I44" s="410"/>
      <c r="J44" s="295">
        <f t="shared" si="5"/>
        <v>-5013.720000000144</v>
      </c>
      <c r="K44" s="251"/>
      <c r="L44" s="251"/>
      <c r="M44" s="411"/>
    </row>
    <row r="45" spans="1:13" ht="13.8">
      <c r="A45" s="288">
        <v>3014</v>
      </c>
      <c r="B45" s="288" t="s">
        <v>749</v>
      </c>
      <c r="C45" s="248" t="str">
        <f t="shared" si="0"/>
        <v>Primary</v>
      </c>
      <c r="D45" s="399"/>
      <c r="E45" s="284">
        <f>VLOOKUP($A45,'Data - CFR 2024-25'!$B$4:$CO$134,69,0)+VLOOKUP($A45,'Data - CFR 2024-25'!$B$4:$CJ$134,70,0)</f>
        <v>185919.45999999973</v>
      </c>
      <c r="F45" s="284">
        <f>VLOOKUP($A45,'Data - CFR 2024-25'!$B$4:$CO$134,71,0)</f>
        <v>0</v>
      </c>
      <c r="G45" s="207">
        <f t="shared" si="6"/>
        <v>185919.45999999973</v>
      </c>
      <c r="H45" s="251"/>
      <c r="I45" s="410"/>
      <c r="J45" s="295">
        <f t="shared" si="5"/>
        <v>185919.45999999973</v>
      </c>
      <c r="K45" s="251"/>
      <c r="L45" s="251"/>
      <c r="M45" s="411"/>
    </row>
    <row r="46" spans="1:13" ht="13.8">
      <c r="A46" s="288">
        <v>2321</v>
      </c>
      <c r="B46" s="288" t="s">
        <v>750</v>
      </c>
      <c r="C46" s="248" t="str">
        <f t="shared" si="0"/>
        <v>Primary</v>
      </c>
      <c r="D46" s="399"/>
      <c r="E46" s="284">
        <f>VLOOKUP($A46,'Data - CFR 2024-25'!$B$4:$CO$134,69,0)+VLOOKUP($A46,'Data - CFR 2024-25'!$B$4:$CJ$134,70,0)</f>
        <v>275300.25999999896</v>
      </c>
      <c r="F46" s="284">
        <f>VLOOKUP($A46,'Data - CFR 2024-25'!$B$4:$CO$134,71,0)</f>
        <v>1853.2000000000003</v>
      </c>
      <c r="G46" s="207">
        <f t="shared" si="6"/>
        <v>277153.45999999897</v>
      </c>
      <c r="H46" s="251"/>
      <c r="I46" s="410"/>
      <c r="J46" s="295">
        <f t="shared" si="5"/>
        <v>277153.45999999897</v>
      </c>
      <c r="K46" s="251"/>
      <c r="L46" s="251"/>
      <c r="M46" s="411"/>
    </row>
    <row r="47" spans="1:13" ht="13.8">
      <c r="A47" s="288">
        <v>2011</v>
      </c>
      <c r="B47" s="288" t="s">
        <v>751</v>
      </c>
      <c r="C47" s="248" t="str">
        <f t="shared" si="0"/>
        <v>Primary</v>
      </c>
      <c r="D47" s="399"/>
      <c r="E47" s="284">
        <f>VLOOKUP($A47,'Data - CFR 2024-25'!$B$4:$CO$134,69,0)+VLOOKUP($A47,'Data - CFR 2024-25'!$B$4:$CJ$134,70,0)</f>
        <v>29553.110000000008</v>
      </c>
      <c r="F47" s="284">
        <f>VLOOKUP($A47,'Data - CFR 2024-25'!$B$4:$CO$134,71,0)</f>
        <v>0</v>
      </c>
      <c r="G47" s="207">
        <f t="shared" si="6"/>
        <v>29553.110000000008</v>
      </c>
      <c r="H47" s="251"/>
      <c r="I47" s="410"/>
      <c r="J47" s="295">
        <f t="shared" si="5"/>
        <v>29553.110000000008</v>
      </c>
      <c r="K47" s="251"/>
      <c r="L47" s="251"/>
      <c r="M47" s="411"/>
    </row>
    <row r="48" spans="1:13" ht="13.8">
      <c r="A48" s="288">
        <v>2012</v>
      </c>
      <c r="B48" s="288" t="s">
        <v>752</v>
      </c>
      <c r="C48" s="248" t="str">
        <f t="shared" si="0"/>
        <v>Primary</v>
      </c>
      <c r="D48" s="399"/>
      <c r="E48" s="284">
        <f>VLOOKUP($A48,'Data - CFR 2024-25'!$B$4:$CO$134,69,0)+VLOOKUP($A48,'Data - CFR 2024-25'!$B$4:$CJ$134,70,0)</f>
        <v>163532.3600000001</v>
      </c>
      <c r="F48" s="284">
        <f>VLOOKUP($A48,'Data - CFR 2024-25'!$B$4:$CO$134,71,0)</f>
        <v>0</v>
      </c>
      <c r="G48" s="207">
        <f t="shared" si="6"/>
        <v>163532.3600000001</v>
      </c>
      <c r="H48" s="251"/>
      <c r="I48" s="410"/>
      <c r="J48" s="295">
        <f t="shared" si="5"/>
        <v>163532.3600000001</v>
      </c>
      <c r="K48" s="251"/>
      <c r="L48" s="251"/>
      <c r="M48" s="411"/>
    </row>
    <row r="49" spans="1:13" ht="13.8">
      <c r="A49" s="288">
        <v>2068</v>
      </c>
      <c r="B49" s="288" t="s">
        <v>753</v>
      </c>
      <c r="C49" s="248" t="str">
        <f t="shared" si="0"/>
        <v>Primary</v>
      </c>
      <c r="D49" s="399"/>
      <c r="E49" s="284">
        <f>VLOOKUP($A49,'Data - CFR 2024-25'!$B$4:$CO$134,69,0)+VLOOKUP($A49,'Data - CFR 2024-25'!$B$4:$CJ$134,70,0)</f>
        <v>-58976.639999999905</v>
      </c>
      <c r="F49" s="284">
        <f>VLOOKUP($A49,'Data - CFR 2024-25'!$B$4:$CO$134,71,0)</f>
        <v>0</v>
      </c>
      <c r="G49" s="207">
        <f t="shared" si="6"/>
        <v>-58976.639999999905</v>
      </c>
      <c r="H49" s="251"/>
      <c r="I49" s="410"/>
      <c r="J49" s="295">
        <f t="shared" si="5"/>
        <v>-58976.639999999905</v>
      </c>
      <c r="K49" s="251"/>
      <c r="L49" s="251"/>
      <c r="M49" s="411"/>
    </row>
    <row r="50" spans="1:13" ht="13.8">
      <c r="A50" s="288">
        <v>2328</v>
      </c>
      <c r="B50" s="288" t="s">
        <v>754</v>
      </c>
      <c r="C50" s="248" t="str">
        <f t="shared" si="0"/>
        <v>Primary</v>
      </c>
      <c r="D50" s="399"/>
      <c r="E50" s="284">
        <f>VLOOKUP($A50,'Data - CFR 2024-25'!$B$4:$CO$134,69,0)+VLOOKUP($A50,'Data - CFR 2024-25'!$B$4:$CJ$134,70,0)</f>
        <v>127486.24000000017</v>
      </c>
      <c r="F50" s="284">
        <f>VLOOKUP($A50,'Data - CFR 2024-25'!$B$4:$CO$134,71,0)</f>
        <v>0</v>
      </c>
      <c r="G50" s="207">
        <f t="shared" ref="G50:G60" si="7">SUM(E50:F50)</f>
        <v>127486.24000000017</v>
      </c>
      <c r="H50" s="251"/>
      <c r="I50" s="410"/>
      <c r="J50" s="295">
        <f t="shared" ref="J50:J64" si="8">G50-I50</f>
        <v>127486.24000000017</v>
      </c>
      <c r="K50" s="251"/>
      <c r="L50" s="251"/>
      <c r="M50" s="411"/>
    </row>
    <row r="51" spans="1:13" ht="13.8">
      <c r="A51" s="288">
        <v>7025</v>
      </c>
      <c r="B51" s="288" t="s">
        <v>755</v>
      </c>
      <c r="C51" s="248" t="str">
        <f t="shared" si="0"/>
        <v>Special</v>
      </c>
      <c r="D51" s="399"/>
      <c r="E51" s="284">
        <f>VLOOKUP($A51,'Data - CFR 2024-25'!$B$4:$CO$134,69,0)+VLOOKUP($A51,'Data - CFR 2024-25'!$B$4:$CJ$134,70,0)</f>
        <v>-201459.88000000169</v>
      </c>
      <c r="F51" s="284">
        <f>VLOOKUP($A51,'Data - CFR 2024-25'!$B$4:$CO$134,71,0)</f>
        <v>0</v>
      </c>
      <c r="G51" s="207">
        <f t="shared" si="7"/>
        <v>-201459.88000000169</v>
      </c>
      <c r="H51" s="251"/>
      <c r="I51" s="410"/>
      <c r="J51" s="295">
        <f t="shared" si="8"/>
        <v>-201459.88000000169</v>
      </c>
      <c r="K51" s="251"/>
      <c r="L51" s="251"/>
      <c r="M51" s="411"/>
    </row>
    <row r="52" spans="1:13" ht="13.8">
      <c r="A52" s="288">
        <v>2016</v>
      </c>
      <c r="B52" s="288" t="s">
        <v>756</v>
      </c>
      <c r="C52" s="248" t="str">
        <f t="shared" si="0"/>
        <v>Primary</v>
      </c>
      <c r="D52" s="399"/>
      <c r="E52" s="284">
        <f>VLOOKUP($A52,'Data - CFR 2024-25'!$B$4:$CO$134,69,0)+VLOOKUP($A52,'Data - CFR 2024-25'!$B$4:$CJ$134,70,0)</f>
        <v>15612.940000000264</v>
      </c>
      <c r="F52" s="284">
        <f>VLOOKUP($A52,'Data - CFR 2024-25'!$B$4:$CO$134,71,0)</f>
        <v>0</v>
      </c>
      <c r="G52" s="207">
        <f t="shared" si="7"/>
        <v>15612.940000000264</v>
      </c>
      <c r="H52" s="251"/>
      <c r="I52" s="410"/>
      <c r="J52" s="295">
        <f t="shared" si="8"/>
        <v>15612.940000000264</v>
      </c>
      <c r="K52" s="251"/>
      <c r="L52" s="251"/>
      <c r="M52" s="411"/>
    </row>
    <row r="53" spans="1:13" ht="13.8">
      <c r="A53" s="288">
        <v>3310</v>
      </c>
      <c r="B53" s="288" t="s">
        <v>757</v>
      </c>
      <c r="C53" s="248" t="str">
        <f t="shared" si="0"/>
        <v>Primary</v>
      </c>
      <c r="D53" s="399"/>
      <c r="E53" s="284">
        <f>VLOOKUP($A53,'Data - CFR 2024-25'!$B$4:$CO$134,69,0)+VLOOKUP($A53,'Data - CFR 2024-25'!$B$4:$CJ$134,70,0)</f>
        <v>-28398.360000000197</v>
      </c>
      <c r="F53" s="284">
        <f>VLOOKUP($A53,'Data - CFR 2024-25'!$B$4:$CO$134,71,0)</f>
        <v>-28871.23000000004</v>
      </c>
      <c r="G53" s="207">
        <f t="shared" si="7"/>
        <v>-57269.590000000237</v>
      </c>
      <c r="H53" s="251"/>
      <c r="I53" s="410"/>
      <c r="J53" s="295">
        <f t="shared" si="8"/>
        <v>-57269.590000000237</v>
      </c>
      <c r="K53" s="251"/>
      <c r="L53" s="251"/>
      <c r="M53" s="411"/>
    </row>
    <row r="54" spans="1:13" ht="13.8">
      <c r="A54" s="288">
        <v>3068</v>
      </c>
      <c r="B54" s="288" t="s">
        <v>758</v>
      </c>
      <c r="C54" s="248" t="str">
        <f t="shared" si="0"/>
        <v>Primary</v>
      </c>
      <c r="D54" s="399"/>
      <c r="E54" s="284">
        <f>VLOOKUP($A54,'Data - CFR 2024-25'!$B$4:$CO$134,69,0)+VLOOKUP($A54,'Data - CFR 2024-25'!$B$4:$CJ$134,70,0)</f>
        <v>-25467.799999999857</v>
      </c>
      <c r="F54" s="284">
        <f>VLOOKUP($A54,'Data - CFR 2024-25'!$B$4:$CO$134,71,0)</f>
        <v>0</v>
      </c>
      <c r="G54" s="207">
        <f t="shared" si="7"/>
        <v>-25467.799999999857</v>
      </c>
      <c r="H54" s="251"/>
      <c r="I54" s="410"/>
      <c r="J54" s="295">
        <f t="shared" si="8"/>
        <v>-25467.799999999857</v>
      </c>
      <c r="K54" s="251"/>
      <c r="L54" s="251"/>
      <c r="M54" s="411"/>
    </row>
    <row r="55" spans="1:13" ht="13.8">
      <c r="A55" s="288">
        <v>2315</v>
      </c>
      <c r="B55" s="288" t="s">
        <v>759</v>
      </c>
      <c r="C55" s="248" t="str">
        <f t="shared" si="0"/>
        <v>Primary</v>
      </c>
      <c r="D55" s="399"/>
      <c r="E55" s="284">
        <f>VLOOKUP($A55,'Data - CFR 2024-25'!$B$4:$CO$134,69,0)+VLOOKUP($A55,'Data - CFR 2024-25'!$B$4:$CJ$134,70,0)</f>
        <v>142715.32999999958</v>
      </c>
      <c r="F55" s="284">
        <f>VLOOKUP($A55,'Data - CFR 2024-25'!$B$4:$CO$134,71,0)</f>
        <v>0</v>
      </c>
      <c r="G55" s="207">
        <f t="shared" si="7"/>
        <v>142715.32999999958</v>
      </c>
      <c r="H55" s="251"/>
      <c r="I55" s="410"/>
      <c r="J55" s="295">
        <f t="shared" si="8"/>
        <v>142715.32999999958</v>
      </c>
      <c r="K55" s="251"/>
      <c r="L55" s="251"/>
      <c r="M55" s="411"/>
    </row>
    <row r="56" spans="1:13" ht="13.8">
      <c r="A56" s="288">
        <v>2018</v>
      </c>
      <c r="B56" s="288" t="s">
        <v>760</v>
      </c>
      <c r="C56" s="248" t="str">
        <f t="shared" si="0"/>
        <v>Primary</v>
      </c>
      <c r="D56" s="399"/>
      <c r="E56" s="284">
        <f>VLOOKUP($A56,'Data - CFR 2024-25'!$B$4:$CO$134,69,0)+VLOOKUP($A56,'Data - CFR 2024-25'!$B$4:$CJ$134,70,0)</f>
        <v>0</v>
      </c>
      <c r="F56" s="284">
        <f>VLOOKUP($A56,'Data - CFR 2024-25'!$B$4:$CO$134,71,0)</f>
        <v>0</v>
      </c>
      <c r="G56" s="207">
        <f t="shared" si="7"/>
        <v>0</v>
      </c>
      <c r="H56" s="251"/>
      <c r="I56" s="410"/>
      <c r="J56" s="295">
        <f t="shared" si="8"/>
        <v>0</v>
      </c>
      <c r="K56" s="251"/>
      <c r="L56" s="251"/>
      <c r="M56" s="411"/>
    </row>
    <row r="57" spans="1:13" ht="13.8">
      <c r="A57" s="288">
        <v>3035</v>
      </c>
      <c r="B57" s="288" t="s">
        <v>761</v>
      </c>
      <c r="C57" s="248" t="str">
        <f t="shared" si="0"/>
        <v>Primary</v>
      </c>
      <c r="D57" s="399"/>
      <c r="E57" s="284">
        <f>VLOOKUP($A57,'Data - CFR 2024-25'!$B$4:$CO$134,69,0)+VLOOKUP($A57,'Data - CFR 2024-25'!$B$4:$CJ$134,70,0)</f>
        <v>111438.42000000027</v>
      </c>
      <c r="F57" s="284">
        <f>VLOOKUP($A57,'Data - CFR 2024-25'!$B$4:$CO$134,71,0)</f>
        <v>0</v>
      </c>
      <c r="G57" s="207">
        <f t="shared" si="7"/>
        <v>111438.42000000027</v>
      </c>
      <c r="H57" s="251"/>
      <c r="I57" s="410"/>
      <c r="J57" s="295">
        <f t="shared" si="8"/>
        <v>111438.42000000027</v>
      </c>
      <c r="K57" s="251"/>
      <c r="L57" s="251"/>
      <c r="M57" s="411"/>
    </row>
    <row r="58" spans="1:13" ht="13.8">
      <c r="A58" s="288">
        <v>2205</v>
      </c>
      <c r="B58" s="288" t="s">
        <v>762</v>
      </c>
      <c r="C58" s="248" t="str">
        <f t="shared" si="0"/>
        <v>Primary</v>
      </c>
      <c r="D58" s="399"/>
      <c r="E58" s="284">
        <f>VLOOKUP($A58,'Data - CFR 2024-25'!$B$4:$CO$134,69,0)+VLOOKUP($A58,'Data - CFR 2024-25'!$B$4:$CJ$134,70,0)</f>
        <v>-15071.609999999637</v>
      </c>
      <c r="F58" s="284">
        <f>VLOOKUP($A58,'Data - CFR 2024-25'!$B$4:$CO$134,71,0)</f>
        <v>0</v>
      </c>
      <c r="G58" s="207">
        <f t="shared" si="7"/>
        <v>-15071.609999999637</v>
      </c>
      <c r="H58" s="251"/>
      <c r="I58" s="410"/>
      <c r="J58" s="295">
        <f t="shared" si="8"/>
        <v>-15071.609999999637</v>
      </c>
      <c r="K58" s="251"/>
      <c r="L58" s="251"/>
      <c r="M58" s="411"/>
    </row>
    <row r="59" spans="1:13" ht="13.8">
      <c r="A59" s="288">
        <v>2211</v>
      </c>
      <c r="B59" s="288" t="s">
        <v>763</v>
      </c>
      <c r="C59" s="248" t="str">
        <f t="shared" si="0"/>
        <v>Primary</v>
      </c>
      <c r="D59" s="399"/>
      <c r="E59" s="284">
        <f>VLOOKUP($A59,'Data - CFR 2024-25'!$B$4:$CO$134,69,0)+VLOOKUP($A59,'Data - CFR 2024-25'!$B$4:$CJ$134,70,0)</f>
        <v>72710.490000000311</v>
      </c>
      <c r="F59" s="284">
        <f>VLOOKUP($A59,'Data - CFR 2024-25'!$B$4:$CO$134,71,0)</f>
        <v>-21856.83</v>
      </c>
      <c r="G59" s="207">
        <f t="shared" si="7"/>
        <v>50853.660000000309</v>
      </c>
      <c r="H59" s="251"/>
      <c r="I59" s="410"/>
      <c r="J59" s="295">
        <f t="shared" si="8"/>
        <v>50853.660000000309</v>
      </c>
      <c r="K59" s="251"/>
      <c r="L59" s="251"/>
      <c r="M59" s="411"/>
    </row>
    <row r="60" spans="1:13" ht="13.8">
      <c r="A60" s="288">
        <v>1003</v>
      </c>
      <c r="B60" s="288" t="s">
        <v>764</v>
      </c>
      <c r="C60" s="248" t="str">
        <f t="shared" si="0"/>
        <v>Nursery</v>
      </c>
      <c r="D60" s="399"/>
      <c r="E60" s="284">
        <f>VLOOKUP($A60,'Data - CFR 2024-25'!$B$4:$CO$134,69,0)+VLOOKUP($A60,'Data - CFR 2024-25'!$B$4:$CJ$134,70,0)</f>
        <v>-53622.170000000071</v>
      </c>
      <c r="F60" s="284">
        <f>VLOOKUP($A60,'Data - CFR 2024-25'!$B$4:$CO$134,71,0)</f>
        <v>466403.37</v>
      </c>
      <c r="G60" s="207">
        <f t="shared" si="7"/>
        <v>412781.19999999995</v>
      </c>
      <c r="H60" s="251"/>
      <c r="I60" s="410"/>
      <c r="J60" s="295">
        <f t="shared" si="8"/>
        <v>412781.19999999995</v>
      </c>
      <c r="K60" s="251"/>
      <c r="L60" s="251"/>
      <c r="M60" s="411"/>
    </row>
    <row r="61" spans="1:13" ht="13.8">
      <c r="A61" s="288">
        <v>3071</v>
      </c>
      <c r="B61" s="288" t="s">
        <v>765</v>
      </c>
      <c r="C61" s="248" t="str">
        <f t="shared" si="0"/>
        <v>Primary</v>
      </c>
      <c r="D61" s="399"/>
      <c r="E61" s="284">
        <f>VLOOKUP($A61,'Data - CFR 2024-25'!$B$4:$CO$134,69,0)+VLOOKUP($A61,'Data - CFR 2024-25'!$B$4:$CJ$134,70,0)</f>
        <v>-29356.370000000381</v>
      </c>
      <c r="F61" s="284">
        <f>VLOOKUP($A61,'Data - CFR 2024-25'!$B$4:$CO$134,71,0)</f>
        <v>0</v>
      </c>
      <c r="G61" s="207">
        <f t="shared" ref="G61:G124" si="9">SUM(E61:F61)</f>
        <v>-29356.370000000381</v>
      </c>
      <c r="H61" s="251"/>
      <c r="I61" s="410"/>
      <c r="J61" s="295">
        <f t="shared" si="8"/>
        <v>-29356.370000000381</v>
      </c>
      <c r="K61" s="251"/>
      <c r="L61" s="251"/>
      <c r="M61" s="411"/>
    </row>
    <row r="62" spans="1:13" ht="13.8">
      <c r="A62" s="288">
        <v>1002</v>
      </c>
      <c r="B62" s="288" t="s">
        <v>766</v>
      </c>
      <c r="C62" s="248" t="str">
        <f t="shared" si="0"/>
        <v>Nursery</v>
      </c>
      <c r="D62" s="399"/>
      <c r="E62" s="284">
        <f>VLOOKUP($A62,'Data - CFR 2024-25'!$B$4:$CO$134,69,0)+VLOOKUP($A62,'Data - CFR 2024-25'!$B$4:$CJ$134,70,0)</f>
        <v>59582.049999999857</v>
      </c>
      <c r="F62" s="284">
        <f>VLOOKUP($A62,'Data - CFR 2024-25'!$B$4:$CO$134,71,0)</f>
        <v>50828.229999999952</v>
      </c>
      <c r="G62" s="207">
        <f t="shared" si="9"/>
        <v>110410.27999999981</v>
      </c>
      <c r="H62" s="251"/>
      <c r="I62" s="410"/>
      <c r="J62" s="295">
        <f t="shared" si="8"/>
        <v>110410.27999999981</v>
      </c>
      <c r="K62" s="251"/>
      <c r="L62" s="251"/>
      <c r="M62" s="411"/>
    </row>
    <row r="63" spans="1:13" ht="13.8">
      <c r="A63" s="288">
        <v>2212</v>
      </c>
      <c r="B63" s="288" t="s">
        <v>767</v>
      </c>
      <c r="C63" s="248" t="str">
        <f t="shared" si="0"/>
        <v>Primary</v>
      </c>
      <c r="D63" s="399"/>
      <c r="E63" s="284">
        <f>VLOOKUP($A63,'Data - CFR 2024-25'!$B$4:$CO$134,69,0)+VLOOKUP($A63,'Data - CFR 2024-25'!$B$4:$CJ$134,70,0)</f>
        <v>-46426.36999999985</v>
      </c>
      <c r="F63" s="284">
        <f>VLOOKUP($A63,'Data - CFR 2024-25'!$B$4:$CO$134,71,0)</f>
        <v>0</v>
      </c>
      <c r="G63" s="207">
        <f t="shared" si="9"/>
        <v>-46426.36999999985</v>
      </c>
      <c r="H63" s="251"/>
      <c r="I63" s="410"/>
      <c r="J63" s="295">
        <f t="shared" si="8"/>
        <v>-46426.36999999985</v>
      </c>
      <c r="K63" s="251"/>
      <c r="L63" s="251"/>
      <c r="M63" s="411"/>
    </row>
    <row r="64" spans="1:13" ht="13.8">
      <c r="A64" s="288">
        <v>1007</v>
      </c>
      <c r="B64" s="288" t="s">
        <v>768</v>
      </c>
      <c r="C64" s="248" t="str">
        <f t="shared" si="0"/>
        <v>Nursery</v>
      </c>
      <c r="D64" s="399"/>
      <c r="E64" s="284">
        <f>VLOOKUP($A64,'Data - CFR 2024-25'!$B$4:$CO$134,69,0)+VLOOKUP($A64,'Data - CFR 2024-25'!$B$4:$CJ$134,70,0)</f>
        <v>-289888.95999999973</v>
      </c>
      <c r="F64" s="284">
        <f>VLOOKUP($A64,'Data - CFR 2024-25'!$B$4:$CO$134,71,0)</f>
        <v>16188.20000000003</v>
      </c>
      <c r="G64" s="207">
        <f t="shared" si="9"/>
        <v>-273700.75999999972</v>
      </c>
      <c r="H64" s="251"/>
      <c r="I64" s="410"/>
      <c r="J64" s="295">
        <f t="shared" si="8"/>
        <v>-273700.75999999972</v>
      </c>
      <c r="K64" s="251"/>
      <c r="L64" s="251"/>
      <c r="M64" s="411"/>
    </row>
    <row r="65" spans="1:13" ht="13.8">
      <c r="A65" s="288">
        <v>3945</v>
      </c>
      <c r="B65" s="288" t="s">
        <v>769</v>
      </c>
      <c r="C65" s="248" t="str">
        <f t="shared" si="0"/>
        <v>Primary</v>
      </c>
      <c r="D65" s="403"/>
      <c r="E65" s="284">
        <f>VLOOKUP($A65,'Data - CFR 2024-25'!$B$4:$CO$134,69,0)+VLOOKUP($A65,'Data - CFR 2024-25'!$B$4:$CJ$134,70,0)</f>
        <v>59735.980000000076</v>
      </c>
      <c r="F65" s="284">
        <f>VLOOKUP($A65,'Data - CFR 2024-25'!$B$4:$CO$134,71,0)</f>
        <v>0</v>
      </c>
      <c r="G65" s="207">
        <f t="shared" si="9"/>
        <v>59735.980000000076</v>
      </c>
      <c r="H65" s="251"/>
      <c r="I65" s="407"/>
      <c r="K65" s="251"/>
      <c r="L65" s="251"/>
      <c r="M65" s="411"/>
    </row>
    <row r="66" spans="1:13" ht="13.8">
      <c r="A66" s="288">
        <v>3022</v>
      </c>
      <c r="B66" s="288" t="s">
        <v>770</v>
      </c>
      <c r="C66" s="248" t="str">
        <f t="shared" si="0"/>
        <v>Primary</v>
      </c>
      <c r="D66" s="403"/>
      <c r="E66" s="284">
        <f>VLOOKUP($A66,'Data - CFR 2024-25'!$B$4:$CO$134,69,0)+VLOOKUP($A66,'Data - CFR 2024-25'!$B$4:$CJ$134,70,0)</f>
        <v>17069.60000000014</v>
      </c>
      <c r="F66" s="284">
        <f>VLOOKUP($A66,'Data - CFR 2024-25'!$B$4:$CO$134,71,0)</f>
        <v>0</v>
      </c>
      <c r="G66" s="207">
        <f t="shared" si="9"/>
        <v>17069.60000000014</v>
      </c>
      <c r="H66" s="251"/>
      <c r="I66" s="407"/>
      <c r="K66" s="251"/>
      <c r="L66" s="251"/>
      <c r="M66" s="411"/>
    </row>
    <row r="67" spans="1:13" ht="13.8">
      <c r="A67" s="288">
        <v>2442</v>
      </c>
      <c r="B67" s="288" t="s">
        <v>771</v>
      </c>
      <c r="C67" s="248" t="str">
        <f t="shared" si="0"/>
        <v>Primary</v>
      </c>
      <c r="D67" s="403"/>
      <c r="E67" s="284">
        <f>VLOOKUP($A67,'Data - CFR 2024-25'!$B$4:$CO$134,69,0)+VLOOKUP($A67,'Data - CFR 2024-25'!$B$4:$CJ$134,70,0)</f>
        <v>132179.76</v>
      </c>
      <c r="F67" s="284">
        <f>VLOOKUP($A67,'Data - CFR 2024-25'!$B$4:$CO$134,71,0)</f>
        <v>0</v>
      </c>
      <c r="G67" s="207">
        <f t="shared" si="9"/>
        <v>132179.76</v>
      </c>
      <c r="H67" s="251"/>
      <c r="I67" s="407"/>
      <c r="K67" s="251"/>
      <c r="L67" s="251"/>
      <c r="M67" s="411"/>
    </row>
    <row r="68" spans="1:13" ht="13.8">
      <c r="A68" s="288">
        <v>2331</v>
      </c>
      <c r="B68" s="288" t="s">
        <v>772</v>
      </c>
      <c r="C68" s="248" t="str">
        <f t="shared" si="0"/>
        <v>Primary</v>
      </c>
      <c r="D68" s="403"/>
      <c r="E68" s="284">
        <f>VLOOKUP($A68,'Data - CFR 2024-25'!$B$4:$CO$134,69,0)+VLOOKUP($A68,'Data - CFR 2024-25'!$B$4:$CJ$134,70,0)</f>
        <v>85230.859999999666</v>
      </c>
      <c r="F68" s="284">
        <f>VLOOKUP($A68,'Data - CFR 2024-25'!$B$4:$CO$134,71,0)</f>
        <v>0</v>
      </c>
      <c r="G68" s="207">
        <f t="shared" si="9"/>
        <v>85230.859999999666</v>
      </c>
      <c r="H68" s="251"/>
      <c r="I68" s="407"/>
      <c r="K68" s="251"/>
      <c r="L68" s="251"/>
      <c r="M68" s="411"/>
    </row>
    <row r="69" spans="1:13" ht="13.8">
      <c r="A69" s="288">
        <v>1000</v>
      </c>
      <c r="B69" s="288" t="s">
        <v>1379</v>
      </c>
      <c r="C69" s="248" t="str">
        <f t="shared" si="0"/>
        <v>Nursery</v>
      </c>
      <c r="D69" s="403"/>
      <c r="E69" s="284">
        <f>VLOOKUP($A69,'Data - CFR 2024-25'!$B$4:$CO$134,69,0)+VLOOKUP($A69,'Data - CFR 2024-25'!$B$4:$CJ$134,70,0)</f>
        <v>206678.69999999998</v>
      </c>
      <c r="F69" s="284">
        <f>VLOOKUP($A69,'Data - CFR 2024-25'!$B$4:$CO$134,71,0)</f>
        <v>0</v>
      </c>
      <c r="G69" s="207">
        <f t="shared" si="9"/>
        <v>206678.69999999998</v>
      </c>
      <c r="H69" s="251"/>
      <c r="I69" s="407"/>
      <c r="K69" s="251"/>
      <c r="L69" s="251"/>
      <c r="M69" s="411"/>
    </row>
    <row r="70" spans="1:13" ht="13.8">
      <c r="A70" s="288">
        <v>2446</v>
      </c>
      <c r="B70" s="288" t="s">
        <v>1380</v>
      </c>
      <c r="C70" s="248" t="str">
        <f t="shared" ref="C70:C126" si="10">IF(LEFT(A70,1)="1","Nursery",IF(LEFT(A70,1)="2","Primary",IF(LEFT(A70,1)="3","Primary",IF(LEFT(A70,1)="7","Special","NA"))))</f>
        <v>Primary</v>
      </c>
      <c r="D70" s="403"/>
      <c r="E70" s="284">
        <f>VLOOKUP($A70,'Data - CFR 2024-25'!$B$4:$CO$134,69,0)+VLOOKUP($A70,'Data - CFR 2024-25'!$B$4:$CJ$134,70,0)</f>
        <v>773128.26999999967</v>
      </c>
      <c r="F70" s="284">
        <f>VLOOKUP($A70,'Data - CFR 2024-25'!$B$4:$CO$134,71,0)</f>
        <v>0</v>
      </c>
      <c r="G70" s="207">
        <f t="shared" si="9"/>
        <v>773128.26999999967</v>
      </c>
      <c r="H70" s="251"/>
      <c r="I70" s="407"/>
      <c r="K70" s="251"/>
      <c r="L70" s="251"/>
      <c r="M70" s="411"/>
    </row>
    <row r="71" spans="1:13" ht="13.8">
      <c r="A71" s="288">
        <v>3317</v>
      </c>
      <c r="B71" s="288" t="s">
        <v>773</v>
      </c>
      <c r="C71" s="248" t="str">
        <f t="shared" si="10"/>
        <v>Primary</v>
      </c>
      <c r="D71" s="403"/>
      <c r="E71" s="284">
        <f>VLOOKUP($A71,'Data - CFR 2024-25'!$B$4:$CO$134,69,0)+VLOOKUP($A71,'Data - CFR 2024-25'!$B$4:$CJ$134,70,0)</f>
        <v>-214394.30999999979</v>
      </c>
      <c r="F71" s="284">
        <f>VLOOKUP($A71,'Data - CFR 2024-25'!$B$4:$CO$134,71,0)</f>
        <v>0</v>
      </c>
      <c r="G71" s="207">
        <f t="shared" si="9"/>
        <v>-214394.30999999979</v>
      </c>
      <c r="H71" s="251"/>
      <c r="I71" s="407"/>
      <c r="K71" s="251"/>
      <c r="L71" s="251"/>
      <c r="M71" s="411"/>
    </row>
    <row r="72" spans="1:13" ht="13.8">
      <c r="A72" s="290">
        <v>2066</v>
      </c>
      <c r="B72" s="290" t="s">
        <v>774</v>
      </c>
      <c r="C72" s="248" t="str">
        <f t="shared" si="10"/>
        <v>Primary</v>
      </c>
      <c r="D72" s="403"/>
      <c r="E72" s="284">
        <f>VLOOKUP($A72,'Data - CFR 2024-25'!$B$4:$CO$134,69,0)+VLOOKUP($A72,'Data - CFR 2024-25'!$B$4:$CJ$134,70,0)</f>
        <v>-56494.410000000367</v>
      </c>
      <c r="F72" s="284">
        <f>VLOOKUP($A72,'Data - CFR 2024-25'!$B$4:$CO$134,71,0)</f>
        <v>458.01000000000477</v>
      </c>
      <c r="G72" s="207">
        <f t="shared" si="9"/>
        <v>-56036.400000000365</v>
      </c>
      <c r="H72" s="251"/>
      <c r="I72" s="407"/>
      <c r="K72" s="251"/>
      <c r="L72" s="251"/>
      <c r="M72" s="411"/>
    </row>
    <row r="73" spans="1:13" ht="13.8">
      <c r="A73" s="288">
        <v>2293</v>
      </c>
      <c r="B73" s="288" t="s">
        <v>775</v>
      </c>
      <c r="C73" s="248" t="str">
        <f t="shared" si="10"/>
        <v>Primary</v>
      </c>
      <c r="D73" s="403"/>
      <c r="E73" s="284">
        <f>VLOOKUP($A73,'Data - CFR 2024-25'!$B$4:$CO$134,69,0)+VLOOKUP($A73,'Data - CFR 2024-25'!$B$4:$CJ$134,70,0)</f>
        <v>102736.06000000003</v>
      </c>
      <c r="F73" s="284">
        <f>VLOOKUP($A73,'Data - CFR 2024-25'!$B$4:$CO$134,71,0)</f>
        <v>0</v>
      </c>
      <c r="G73" s="207">
        <f t="shared" si="9"/>
        <v>102736.06000000003</v>
      </c>
      <c r="H73" s="251"/>
      <c r="I73" s="407"/>
      <c r="K73" s="251"/>
      <c r="L73" s="251"/>
      <c r="M73" s="411"/>
    </row>
    <row r="74" spans="1:13" ht="13.8">
      <c r="A74" s="288">
        <v>2074</v>
      </c>
      <c r="B74" s="288" t="s">
        <v>776</v>
      </c>
      <c r="C74" s="248" t="str">
        <f t="shared" si="10"/>
        <v>Primary</v>
      </c>
      <c r="D74" s="403"/>
      <c r="E74" s="284">
        <f>VLOOKUP($A74,'Data - CFR 2024-25'!$B$4:$CO$134,69,0)+VLOOKUP($A74,'Data - CFR 2024-25'!$B$4:$CJ$134,70,0)</f>
        <v>132634.81000000137</v>
      </c>
      <c r="F74" s="284">
        <f>VLOOKUP($A74,'Data - CFR 2024-25'!$B$4:$CO$134,71,0)</f>
        <v>-15483.959999999985</v>
      </c>
      <c r="G74" s="207">
        <f t="shared" si="9"/>
        <v>117150.85000000137</v>
      </c>
      <c r="H74" s="251"/>
      <c r="I74" s="407"/>
      <c r="K74" s="251"/>
      <c r="L74" s="251"/>
      <c r="M74" s="411"/>
    </row>
    <row r="75" spans="1:13" ht="13.8">
      <c r="A75" s="288">
        <v>2075</v>
      </c>
      <c r="B75" s="288" t="s">
        <v>777</v>
      </c>
      <c r="C75" s="248" t="str">
        <f t="shared" si="10"/>
        <v>Primary</v>
      </c>
      <c r="D75" s="403"/>
      <c r="E75" s="284">
        <f>VLOOKUP($A75,'Data - CFR 2024-25'!$B$4:$CO$134,69,0)+VLOOKUP($A75,'Data - CFR 2024-25'!$B$4:$CJ$134,70,0)</f>
        <v>125509.11999999985</v>
      </c>
      <c r="F75" s="284">
        <f>VLOOKUP($A75,'Data - CFR 2024-25'!$B$4:$CO$134,71,0)</f>
        <v>15692.36</v>
      </c>
      <c r="G75" s="207">
        <f t="shared" si="9"/>
        <v>141201.47999999986</v>
      </c>
      <c r="H75" s="251"/>
      <c r="I75" s="407"/>
      <c r="K75" s="251"/>
      <c r="L75" s="251"/>
      <c r="M75" s="411"/>
    </row>
    <row r="76" spans="1:13" ht="13.8">
      <c r="A76" s="288">
        <v>2121</v>
      </c>
      <c r="B76" s="288" t="s">
        <v>778</v>
      </c>
      <c r="C76" s="248" t="str">
        <f t="shared" si="10"/>
        <v>Primary</v>
      </c>
      <c r="D76" s="403"/>
      <c r="E76" s="284">
        <f>VLOOKUP($A76,'Data - CFR 2024-25'!$B$4:$CO$134,69,0)+VLOOKUP($A76,'Data - CFR 2024-25'!$B$4:$CJ$134,70,0)</f>
        <v>-133806.28999999899</v>
      </c>
      <c r="F76" s="284">
        <f>VLOOKUP($A76,'Data - CFR 2024-25'!$B$4:$CO$134,71,0)</f>
        <v>0</v>
      </c>
      <c r="G76" s="207">
        <f t="shared" si="9"/>
        <v>-133806.28999999899</v>
      </c>
      <c r="H76" s="251"/>
      <c r="I76" s="407"/>
      <c r="K76" s="251"/>
      <c r="L76" s="251"/>
      <c r="M76" s="411"/>
    </row>
    <row r="77" spans="1:13" ht="13.8">
      <c r="A77" s="288">
        <v>2028</v>
      </c>
      <c r="B77" s="288" t="s">
        <v>779</v>
      </c>
      <c r="C77" s="248" t="str">
        <f t="shared" si="10"/>
        <v>Primary</v>
      </c>
      <c r="D77" s="403"/>
      <c r="E77" s="284">
        <f>VLOOKUP($A77,'Data - CFR 2024-25'!$B$4:$CO$134,69,0)+VLOOKUP($A77,'Data - CFR 2024-25'!$B$4:$CJ$134,70,0)</f>
        <v>69122.729999999137</v>
      </c>
      <c r="F77" s="284">
        <f>VLOOKUP($A77,'Data - CFR 2024-25'!$B$4:$CO$134,71,0)</f>
        <v>0</v>
      </c>
      <c r="G77" s="207">
        <f t="shared" si="9"/>
        <v>69122.729999999137</v>
      </c>
      <c r="H77" s="251"/>
      <c r="I77" s="407"/>
      <c r="K77" s="251"/>
      <c r="L77" s="251"/>
      <c r="M77" s="411"/>
    </row>
    <row r="78" spans="1:13" ht="13.8">
      <c r="A78" s="288">
        <v>2029</v>
      </c>
      <c r="B78" s="288" t="s">
        <v>780</v>
      </c>
      <c r="C78" s="248" t="str">
        <f t="shared" si="10"/>
        <v>Primary</v>
      </c>
      <c r="D78" s="403"/>
      <c r="E78" s="284">
        <f>VLOOKUP($A78,'Data - CFR 2024-25'!$B$4:$CO$134,69,0)+VLOOKUP($A78,'Data - CFR 2024-25'!$B$4:$CJ$134,70,0)</f>
        <v>129736.46999999991</v>
      </c>
      <c r="F78" s="284">
        <f>VLOOKUP($A78,'Data - CFR 2024-25'!$B$4:$CO$134,71,0)</f>
        <v>92812.48000000001</v>
      </c>
      <c r="G78" s="207">
        <f t="shared" si="9"/>
        <v>222548.94999999992</v>
      </c>
      <c r="H78" s="251"/>
      <c r="I78" s="407"/>
      <c r="K78" s="251"/>
      <c r="L78" s="251"/>
      <c r="M78" s="411"/>
    </row>
    <row r="79" spans="1:13" ht="13.8">
      <c r="A79" s="288">
        <v>2059</v>
      </c>
      <c r="B79" s="288" t="s">
        <v>781</v>
      </c>
      <c r="C79" s="248" t="str">
        <f t="shared" si="10"/>
        <v>Primary</v>
      </c>
      <c r="D79" s="403"/>
      <c r="E79" s="284">
        <f>VLOOKUP($A79,'Data - CFR 2024-25'!$B$4:$CO$134,69,0)+VLOOKUP($A79,'Data - CFR 2024-25'!$B$4:$CJ$134,70,0)</f>
        <v>-150743.9699999998</v>
      </c>
      <c r="F79" s="284">
        <f>VLOOKUP($A79,'Data - CFR 2024-25'!$B$4:$CO$134,71,0)</f>
        <v>0</v>
      </c>
      <c r="G79" s="207">
        <f t="shared" si="9"/>
        <v>-150743.9699999998</v>
      </c>
      <c r="H79" s="251"/>
      <c r="I79" s="407"/>
      <c r="K79" s="251"/>
      <c r="L79" s="251"/>
      <c r="M79" s="411"/>
    </row>
    <row r="80" spans="1:13" ht="13.8">
      <c r="A80" s="288">
        <v>3386</v>
      </c>
      <c r="B80" s="288" t="s">
        <v>782</v>
      </c>
      <c r="C80" s="248" t="str">
        <f t="shared" si="10"/>
        <v>Primary</v>
      </c>
      <c r="D80" s="403"/>
      <c r="E80" s="284">
        <f>VLOOKUP($A80,'Data - CFR 2024-25'!$B$4:$CO$134,69,0)+VLOOKUP($A80,'Data - CFR 2024-25'!$B$4:$CJ$134,70,0)</f>
        <v>358495.43999999913</v>
      </c>
      <c r="F80" s="284">
        <f>VLOOKUP($A80,'Data - CFR 2024-25'!$B$4:$CO$134,71,0)</f>
        <v>0</v>
      </c>
      <c r="G80" s="207">
        <f t="shared" si="9"/>
        <v>358495.43999999913</v>
      </c>
      <c r="H80" s="251"/>
      <c r="I80" s="407"/>
      <c r="K80" s="251"/>
      <c r="L80" s="251"/>
      <c r="M80" s="411"/>
    </row>
    <row r="81" spans="1:13" ht="13.8">
      <c r="A81" s="288">
        <v>2449</v>
      </c>
      <c r="B81" s="288" t="s">
        <v>783</v>
      </c>
      <c r="C81" s="248" t="str">
        <f t="shared" si="10"/>
        <v>Primary</v>
      </c>
      <c r="D81" s="403"/>
      <c r="E81" s="284">
        <f>VLOOKUP($A81,'Data - CFR 2024-25'!$B$4:$CO$134,69,0)+VLOOKUP($A81,'Data - CFR 2024-25'!$B$4:$CJ$134,70,0)</f>
        <v>550661.12999999931</v>
      </c>
      <c r="F81" s="284">
        <f>VLOOKUP($A81,'Data - CFR 2024-25'!$B$4:$CO$134,71,0)</f>
        <v>135164.31000000006</v>
      </c>
      <c r="G81" s="207">
        <f t="shared" si="9"/>
        <v>685825.43999999936</v>
      </c>
      <c r="H81" s="251"/>
      <c r="I81" s="407"/>
      <c r="K81" s="251"/>
      <c r="L81" s="251"/>
      <c r="M81" s="411"/>
    </row>
    <row r="82" spans="1:13" ht="13.8">
      <c r="A82" s="288">
        <v>2107</v>
      </c>
      <c r="B82" s="288" t="s">
        <v>784</v>
      </c>
      <c r="C82" s="248" t="str">
        <f t="shared" si="10"/>
        <v>Primary</v>
      </c>
      <c r="D82" s="403"/>
      <c r="E82" s="284">
        <f>VLOOKUP($A82,'Data - CFR 2024-25'!$B$4:$CO$134,69,0)+VLOOKUP($A82,'Data - CFR 2024-25'!$B$4:$CJ$134,70,0)</f>
        <v>159145.73999999985</v>
      </c>
      <c r="F82" s="284">
        <f>VLOOKUP($A82,'Data - CFR 2024-25'!$B$4:$CO$134,71,0)</f>
        <v>0</v>
      </c>
      <c r="G82" s="207">
        <f t="shared" si="9"/>
        <v>159145.73999999985</v>
      </c>
      <c r="H82" s="251"/>
      <c r="I82" s="407"/>
      <c r="K82" s="251"/>
      <c r="L82" s="251"/>
      <c r="M82" s="411"/>
    </row>
    <row r="83" spans="1:13" ht="13.8">
      <c r="A83" s="288">
        <v>2109</v>
      </c>
      <c r="B83" s="288" t="s">
        <v>785</v>
      </c>
      <c r="C83" s="248" t="str">
        <f t="shared" si="10"/>
        <v>Primary</v>
      </c>
      <c r="D83" s="403"/>
      <c r="E83" s="284">
        <f>VLOOKUP($A83,'Data - CFR 2024-25'!$B$4:$CO$134,69,0)+VLOOKUP($A83,'Data - CFR 2024-25'!$B$4:$CJ$134,70,0)</f>
        <v>59794.429999999469</v>
      </c>
      <c r="F83" s="284">
        <f>VLOOKUP($A83,'Data - CFR 2024-25'!$B$4:$CO$134,71,0)</f>
        <v>0</v>
      </c>
      <c r="G83" s="207">
        <f t="shared" si="9"/>
        <v>59794.429999999469</v>
      </c>
      <c r="H83" s="251"/>
      <c r="I83" s="407"/>
      <c r="K83" s="251"/>
      <c r="L83" s="251"/>
      <c r="M83" s="411"/>
    </row>
    <row r="84" spans="1:13" ht="13.8">
      <c r="A84" s="288">
        <v>3390</v>
      </c>
      <c r="B84" s="288" t="s">
        <v>786</v>
      </c>
      <c r="C84" s="248" t="str">
        <f t="shared" si="10"/>
        <v>Primary</v>
      </c>
      <c r="D84" s="403"/>
      <c r="E84" s="284">
        <f>VLOOKUP($A84,'Data - CFR 2024-25'!$B$4:$CO$134,69,0)+VLOOKUP($A84,'Data - CFR 2024-25'!$B$4:$CJ$134,70,0)</f>
        <v>-198.47000000037951</v>
      </c>
      <c r="F84" s="284">
        <f>VLOOKUP($A84,'Data - CFR 2024-25'!$B$4:$CO$134,71,0)</f>
        <v>0</v>
      </c>
      <c r="G84" s="207">
        <f t="shared" si="9"/>
        <v>-198.47000000037951</v>
      </c>
      <c r="H84" s="251"/>
      <c r="I84" s="407"/>
      <c r="K84" s="251"/>
      <c r="L84" s="251"/>
      <c r="M84" s="411"/>
    </row>
    <row r="85" spans="1:13" ht="13.8">
      <c r="A85" s="290">
        <v>2031</v>
      </c>
      <c r="B85" s="290" t="s">
        <v>787</v>
      </c>
      <c r="C85" s="248" t="str">
        <f t="shared" si="10"/>
        <v>Primary</v>
      </c>
      <c r="D85" s="403"/>
      <c r="E85" s="284">
        <f>VLOOKUP($A85,'Data - CFR 2024-25'!$B$4:$CO$134,69,0)+VLOOKUP($A85,'Data - CFR 2024-25'!$B$4:$CJ$134,70,0)</f>
        <v>-36563.860000000277</v>
      </c>
      <c r="F85" s="284">
        <f>VLOOKUP($A85,'Data - CFR 2024-25'!$B$4:$CO$134,71,0)</f>
        <v>0</v>
      </c>
      <c r="G85" s="207">
        <f t="shared" si="9"/>
        <v>-36563.860000000277</v>
      </c>
      <c r="H85" s="251"/>
      <c r="I85" s="407"/>
      <c r="K85" s="251"/>
      <c r="L85" s="251"/>
      <c r="M85" s="411"/>
    </row>
    <row r="86" spans="1:13" ht="13.8">
      <c r="A86" s="288">
        <v>3350</v>
      </c>
      <c r="B86" s="288" t="s">
        <v>788</v>
      </c>
      <c r="C86" s="248" t="str">
        <f t="shared" si="10"/>
        <v>Primary</v>
      </c>
      <c r="D86" s="403"/>
      <c r="E86" s="284">
        <f>VLOOKUP($A86,'Data - CFR 2024-25'!$B$4:$CO$134,69,0)+VLOOKUP($A86,'Data - CFR 2024-25'!$B$4:$CJ$134,70,0)</f>
        <v>67396.830000000147</v>
      </c>
      <c r="F86" s="284">
        <f>VLOOKUP($A86,'Data - CFR 2024-25'!$B$4:$CO$134,71,0)</f>
        <v>0</v>
      </c>
      <c r="G86" s="207">
        <f t="shared" si="9"/>
        <v>67396.830000000147</v>
      </c>
      <c r="H86" s="251"/>
      <c r="I86" s="407"/>
      <c r="K86" s="251"/>
      <c r="L86" s="251"/>
      <c r="M86" s="411"/>
    </row>
    <row r="87" spans="1:13" ht="13.8">
      <c r="A87" s="288">
        <v>2033</v>
      </c>
      <c r="B87" s="288" t="s">
        <v>789</v>
      </c>
      <c r="C87" s="248" t="str">
        <f t="shared" si="10"/>
        <v>Primary</v>
      </c>
      <c r="D87" s="403"/>
      <c r="E87" s="284">
        <f>VLOOKUP($A87,'Data - CFR 2024-25'!$B$4:$CO$134,69,0)+VLOOKUP($A87,'Data - CFR 2024-25'!$B$4:$CJ$134,70,0)</f>
        <v>138959.09999999934</v>
      </c>
      <c r="F87" s="284">
        <f>VLOOKUP($A87,'Data - CFR 2024-25'!$B$4:$CO$134,71,0)</f>
        <v>26166.780000000002</v>
      </c>
      <c r="G87" s="207">
        <f t="shared" si="9"/>
        <v>165125.87999999934</v>
      </c>
      <c r="H87" s="251"/>
      <c r="I87" s="407"/>
      <c r="K87" s="251"/>
      <c r="L87" s="251"/>
      <c r="M87" s="411"/>
    </row>
    <row r="88" spans="1:13" ht="13.8">
      <c r="A88" s="288">
        <v>3331</v>
      </c>
      <c r="B88" s="288" t="s">
        <v>790</v>
      </c>
      <c r="C88" s="248" t="str">
        <f t="shared" si="10"/>
        <v>Primary</v>
      </c>
      <c r="D88" s="403"/>
      <c r="E88" s="284">
        <f>VLOOKUP($A88,'Data - CFR 2024-25'!$B$4:$CO$134,69,0)+VLOOKUP($A88,'Data - CFR 2024-25'!$B$4:$CJ$134,70,0)</f>
        <v>57759.349999999919</v>
      </c>
      <c r="F88" s="284">
        <f>VLOOKUP($A88,'Data - CFR 2024-25'!$B$4:$CO$134,71,0)</f>
        <v>0</v>
      </c>
      <c r="G88" s="207">
        <f t="shared" si="9"/>
        <v>57759.349999999919</v>
      </c>
      <c r="H88" s="251"/>
      <c r="I88" s="407"/>
      <c r="K88" s="251"/>
      <c r="L88" s="251"/>
      <c r="M88" s="411"/>
    </row>
    <row r="89" spans="1:13" ht="13.8">
      <c r="A89" s="288">
        <v>2239</v>
      </c>
      <c r="B89" s="288" t="s">
        <v>791</v>
      </c>
      <c r="C89" s="248" t="str">
        <f t="shared" si="10"/>
        <v>Primary</v>
      </c>
      <c r="D89" s="403"/>
      <c r="E89" s="284">
        <f>VLOOKUP($A89,'Data - CFR 2024-25'!$B$4:$CO$134,69,0)+VLOOKUP($A89,'Data - CFR 2024-25'!$B$4:$CJ$134,70,0)</f>
        <v>342374.94999999984</v>
      </c>
      <c r="F89" s="284">
        <f>VLOOKUP($A89,'Data - CFR 2024-25'!$B$4:$CO$134,71,0)</f>
        <v>0</v>
      </c>
      <c r="G89" s="207">
        <f t="shared" si="9"/>
        <v>342374.94999999984</v>
      </c>
      <c r="H89" s="251"/>
      <c r="I89" s="407"/>
      <c r="K89" s="251"/>
      <c r="L89" s="251"/>
      <c r="M89" s="411"/>
    </row>
    <row r="90" spans="1:13" ht="13.8">
      <c r="A90" s="288">
        <v>2219</v>
      </c>
      <c r="B90" s="288" t="s">
        <v>792</v>
      </c>
      <c r="C90" s="248" t="str">
        <f t="shared" si="10"/>
        <v>Primary</v>
      </c>
      <c r="D90" s="403"/>
      <c r="E90" s="284">
        <f>VLOOKUP($A90,'Data - CFR 2024-25'!$B$4:$CO$134,69,0)+VLOOKUP($A90,'Data - CFR 2024-25'!$B$4:$CJ$134,70,0)</f>
        <v>332951.87000000005</v>
      </c>
      <c r="F90" s="284">
        <f>VLOOKUP($A90,'Data - CFR 2024-25'!$B$4:$CO$134,71,0)</f>
        <v>178330.58000000002</v>
      </c>
      <c r="G90" s="207">
        <f t="shared" si="9"/>
        <v>511282.45000000007</v>
      </c>
      <c r="H90" s="251"/>
      <c r="I90" s="407"/>
      <c r="K90" s="251"/>
      <c r="L90" s="251"/>
      <c r="M90" s="411"/>
    </row>
    <row r="91" spans="1:13" ht="13.8">
      <c r="A91" s="288">
        <v>2333</v>
      </c>
      <c r="B91" s="288" t="s">
        <v>793</v>
      </c>
      <c r="C91" s="248" t="str">
        <f t="shared" si="10"/>
        <v>Primary</v>
      </c>
      <c r="D91" s="403"/>
      <c r="E91" s="284">
        <f>VLOOKUP($A91,'Data - CFR 2024-25'!$B$4:$CO$134,69,0)+VLOOKUP($A91,'Data - CFR 2024-25'!$B$4:$CJ$134,70,0)</f>
        <v>176505.36000000007</v>
      </c>
      <c r="F91" s="284">
        <f>VLOOKUP($A91,'Data - CFR 2024-25'!$B$4:$CO$134,71,0)</f>
        <v>0</v>
      </c>
      <c r="G91" s="207">
        <f t="shared" si="9"/>
        <v>176505.36000000007</v>
      </c>
      <c r="H91" s="251"/>
      <c r="I91" s="407"/>
      <c r="K91" s="251"/>
      <c r="L91" s="251"/>
      <c r="M91" s="411"/>
    </row>
    <row r="92" spans="1:13" ht="13.8">
      <c r="A92" s="288">
        <v>3946</v>
      </c>
      <c r="B92" s="288" t="s">
        <v>794</v>
      </c>
      <c r="C92" s="248" t="str">
        <f t="shared" si="10"/>
        <v>Primary</v>
      </c>
      <c r="D92" s="403"/>
      <c r="E92" s="284">
        <f>VLOOKUP($A92,'Data - CFR 2024-25'!$B$4:$CO$134,69,0)+VLOOKUP($A92,'Data - CFR 2024-25'!$B$4:$CJ$134,70,0)</f>
        <v>-468387.18999999983</v>
      </c>
      <c r="F92" s="284">
        <f>VLOOKUP($A92,'Data - CFR 2024-25'!$B$4:$CO$134,71,0)</f>
        <v>0</v>
      </c>
      <c r="G92" s="207">
        <f t="shared" si="9"/>
        <v>-468387.18999999983</v>
      </c>
      <c r="H92" s="251"/>
      <c r="I92" s="407"/>
      <c r="K92" s="251"/>
      <c r="L92" s="251"/>
      <c r="M92" s="411"/>
    </row>
    <row r="93" spans="1:13" ht="13.8">
      <c r="A93" s="288">
        <v>2453</v>
      </c>
      <c r="B93" s="288" t="s">
        <v>795</v>
      </c>
      <c r="C93" s="248" t="str">
        <f t="shared" si="10"/>
        <v>Primary</v>
      </c>
      <c r="D93" s="403"/>
      <c r="E93" s="284">
        <f>VLOOKUP($A93,'Data - CFR 2024-25'!$B$4:$CO$134,69,0)+VLOOKUP($A93,'Data - CFR 2024-25'!$B$4:$CJ$134,70,0)</f>
        <v>178084.21000000049</v>
      </c>
      <c r="F93" s="284">
        <f>VLOOKUP($A93,'Data - CFR 2024-25'!$B$4:$CO$134,71,0)</f>
        <v>19821.629999999997</v>
      </c>
      <c r="G93" s="207">
        <f t="shared" si="9"/>
        <v>197905.84000000049</v>
      </c>
      <c r="H93" s="251"/>
      <c r="I93" s="407"/>
      <c r="K93" s="251"/>
      <c r="L93" s="251"/>
      <c r="M93" s="411"/>
    </row>
    <row r="94" spans="1:13" ht="13.8">
      <c r="A94" s="288">
        <v>2070</v>
      </c>
      <c r="B94" s="288" t="s">
        <v>796</v>
      </c>
      <c r="C94" s="248" t="str">
        <f t="shared" si="10"/>
        <v>Primary</v>
      </c>
      <c r="D94" s="403"/>
      <c r="E94" s="284">
        <f>VLOOKUP($A94,'Data - CFR 2024-25'!$B$4:$CO$134,69,0)+VLOOKUP($A94,'Data - CFR 2024-25'!$B$4:$CJ$134,70,0)</f>
        <v>155477.48999999935</v>
      </c>
      <c r="F94" s="284">
        <f>VLOOKUP($A94,'Data - CFR 2024-25'!$B$4:$CO$134,71,0)</f>
        <v>0</v>
      </c>
      <c r="G94" s="207">
        <f t="shared" si="9"/>
        <v>155477.48999999935</v>
      </c>
      <c r="H94" s="251"/>
      <c r="I94" s="407"/>
      <c r="K94" s="251"/>
      <c r="L94" s="251"/>
      <c r="M94" s="411"/>
    </row>
    <row r="95" spans="1:13" ht="13.8">
      <c r="A95" s="288">
        <v>7023</v>
      </c>
      <c r="B95" s="288" t="s">
        <v>797</v>
      </c>
      <c r="C95" s="248" t="str">
        <f t="shared" si="10"/>
        <v>Special</v>
      </c>
      <c r="D95" s="403"/>
      <c r="E95" s="284">
        <f>VLOOKUP($A95,'Data - CFR 2024-25'!$B$4:$CO$134,69,0)+VLOOKUP($A95,'Data - CFR 2024-25'!$B$4:$CJ$134,70,0)</f>
        <v>284394.91999999981</v>
      </c>
      <c r="F95" s="284">
        <f>VLOOKUP($A95,'Data - CFR 2024-25'!$B$4:$CO$134,71,0)</f>
        <v>0</v>
      </c>
      <c r="G95" s="207">
        <f t="shared" si="9"/>
        <v>284394.91999999981</v>
      </c>
      <c r="H95" s="251"/>
      <c r="I95" s="407"/>
      <c r="K95" s="251"/>
      <c r="L95" s="251"/>
      <c r="M95" s="411"/>
    </row>
    <row r="96" spans="1:13" ht="13.8">
      <c r="A96" s="288">
        <v>2255</v>
      </c>
      <c r="B96" s="288" t="s">
        <v>798</v>
      </c>
      <c r="C96" s="248" t="str">
        <f t="shared" si="10"/>
        <v>Primary</v>
      </c>
      <c r="D96" s="403"/>
      <c r="E96" s="284">
        <f>VLOOKUP($A96,'Data - CFR 2024-25'!$B$4:$CO$134,69,0)+VLOOKUP($A96,'Data - CFR 2024-25'!$B$4:$CJ$134,70,0)</f>
        <v>201223.73999999993</v>
      </c>
      <c r="F96" s="284">
        <f>VLOOKUP($A96,'Data - CFR 2024-25'!$B$4:$CO$134,71,0)</f>
        <v>0</v>
      </c>
      <c r="G96" s="207">
        <f t="shared" si="9"/>
        <v>201223.73999999993</v>
      </c>
      <c r="H96" s="251"/>
      <c r="I96" s="407"/>
      <c r="K96" s="251"/>
      <c r="L96" s="251"/>
      <c r="M96" s="411"/>
    </row>
    <row r="97" spans="1:13" ht="13.8">
      <c r="A97" s="288">
        <v>2115</v>
      </c>
      <c r="B97" s="288" t="s">
        <v>799</v>
      </c>
      <c r="C97" s="248" t="str">
        <f t="shared" si="10"/>
        <v>Primary</v>
      </c>
      <c r="D97" s="403"/>
      <c r="E97" s="284">
        <f>VLOOKUP($A97,'Data - CFR 2024-25'!$B$4:$CO$134,69,0)+VLOOKUP($A97,'Data - CFR 2024-25'!$B$4:$CJ$134,70,0)</f>
        <v>-180869.30000000037</v>
      </c>
      <c r="F97" s="284">
        <f>VLOOKUP($A97,'Data - CFR 2024-25'!$B$4:$CO$134,71,0)</f>
        <v>0</v>
      </c>
      <c r="G97" s="207">
        <f t="shared" si="9"/>
        <v>-180869.30000000037</v>
      </c>
      <c r="H97" s="251"/>
      <c r="I97" s="407"/>
      <c r="K97" s="251"/>
      <c r="L97" s="251"/>
      <c r="M97" s="411"/>
    </row>
    <row r="98" spans="1:13" ht="13.8">
      <c r="A98" s="288">
        <v>2329</v>
      </c>
      <c r="B98" s="288" t="s">
        <v>800</v>
      </c>
      <c r="C98" s="248" t="str">
        <f t="shared" si="10"/>
        <v>Primary</v>
      </c>
      <c r="D98" s="403"/>
      <c r="E98" s="284">
        <f>VLOOKUP($A98,'Data - CFR 2024-25'!$B$4:$CO$134,69,0)+VLOOKUP($A98,'Data - CFR 2024-25'!$B$4:$CJ$134,70,0)</f>
        <v>-61808.539999999892</v>
      </c>
      <c r="F98" s="284">
        <f>VLOOKUP($A98,'Data - CFR 2024-25'!$B$4:$CO$134,71,0)</f>
        <v>3491.3099999999831</v>
      </c>
      <c r="G98" s="207">
        <f t="shared" si="9"/>
        <v>-58317.229999999909</v>
      </c>
      <c r="H98" s="251"/>
      <c r="I98" s="407"/>
      <c r="K98" s="251"/>
      <c r="L98" s="251"/>
      <c r="M98" s="411"/>
    </row>
    <row r="99" spans="1:13" ht="13.8">
      <c r="A99" s="288">
        <v>3384</v>
      </c>
      <c r="B99" s="288" t="s">
        <v>801</v>
      </c>
      <c r="C99" s="248" t="str">
        <f t="shared" si="10"/>
        <v>Primary</v>
      </c>
      <c r="D99" s="403"/>
      <c r="E99" s="284">
        <f>VLOOKUP($A99,'Data - CFR 2024-25'!$B$4:$CO$134,69,0)+VLOOKUP($A99,'Data - CFR 2024-25'!$B$4:$CJ$134,70,0)</f>
        <v>-97886.929999999847</v>
      </c>
      <c r="F99" s="284">
        <f>VLOOKUP($A99,'Data - CFR 2024-25'!$B$4:$CO$134,71,0)</f>
        <v>0</v>
      </c>
      <c r="G99" s="207">
        <f t="shared" si="9"/>
        <v>-97886.929999999847</v>
      </c>
      <c r="H99" s="251"/>
      <c r="I99" s="407"/>
      <c r="K99" s="251"/>
      <c r="L99" s="251"/>
      <c r="M99" s="411"/>
    </row>
    <row r="100" spans="1:13" ht="13.8">
      <c r="A100" s="288">
        <v>5200</v>
      </c>
      <c r="B100" s="288" t="s">
        <v>802</v>
      </c>
      <c r="C100" s="248" t="str">
        <f t="shared" si="10"/>
        <v>NA</v>
      </c>
      <c r="D100" s="403"/>
      <c r="E100" s="284">
        <f>VLOOKUP($A100,'Data - CFR 2024-25'!$B$4:$CO$134,69,0)+VLOOKUP($A100,'Data - CFR 2024-25'!$B$4:$CJ$134,70,0)</f>
        <v>-60628.239999999714</v>
      </c>
      <c r="F100" s="284">
        <f>VLOOKUP($A100,'Data - CFR 2024-25'!$B$4:$CO$134,71,0)</f>
        <v>0</v>
      </c>
      <c r="G100" s="207">
        <f t="shared" si="9"/>
        <v>-60628.239999999714</v>
      </c>
      <c r="H100" s="251"/>
      <c r="I100" s="407"/>
      <c r="K100" s="251"/>
      <c r="L100" s="251"/>
      <c r="M100" s="411"/>
    </row>
    <row r="101" spans="1:13" ht="13.8">
      <c r="A101" s="288">
        <v>2317</v>
      </c>
      <c r="B101" s="288" t="s">
        <v>804</v>
      </c>
      <c r="C101" s="248" t="str">
        <f t="shared" si="10"/>
        <v>Primary</v>
      </c>
      <c r="D101" s="403"/>
      <c r="E101" s="284">
        <f>VLOOKUP($A101,'Data - CFR 2024-25'!$B$4:$CO$134,69,0)+VLOOKUP($A101,'Data - CFR 2024-25'!$B$4:$CJ$134,70,0)</f>
        <v>-147045.11999999909</v>
      </c>
      <c r="F101" s="284">
        <f>VLOOKUP($A101,'Data - CFR 2024-25'!$B$4:$CO$134,71,0)</f>
        <v>0</v>
      </c>
      <c r="G101" s="207">
        <f t="shared" si="9"/>
        <v>-147045.11999999909</v>
      </c>
      <c r="H101" s="251"/>
      <c r="I101" s="407"/>
      <c r="K101" s="251"/>
      <c r="L101" s="251"/>
      <c r="M101" s="411"/>
    </row>
    <row r="102" spans="1:13" ht="13.8">
      <c r="A102" s="288">
        <v>3356</v>
      </c>
      <c r="B102" s="288" t="s">
        <v>805</v>
      </c>
      <c r="C102" s="248" t="str">
        <f t="shared" si="10"/>
        <v>Primary</v>
      </c>
      <c r="D102" s="403"/>
      <c r="E102" s="284">
        <f>VLOOKUP($A102,'Data - CFR 2024-25'!$B$4:$CO$134,69,0)+VLOOKUP($A102,'Data - CFR 2024-25'!$B$4:$CJ$134,70,0)</f>
        <v>257639.14000000013</v>
      </c>
      <c r="F102" s="284">
        <f>VLOOKUP($A102,'Data - CFR 2024-25'!$B$4:$CO$134,71,0)</f>
        <v>0</v>
      </c>
      <c r="G102" s="207">
        <f t="shared" si="9"/>
        <v>257639.14000000013</v>
      </c>
      <c r="H102" s="251"/>
      <c r="I102" s="407"/>
      <c r="K102" s="251"/>
      <c r="L102" s="251"/>
      <c r="M102" s="411"/>
    </row>
    <row r="103" spans="1:13" ht="13.8">
      <c r="A103" s="288">
        <v>3358</v>
      </c>
      <c r="B103" s="288" t="s">
        <v>806</v>
      </c>
      <c r="C103" s="248" t="str">
        <f t="shared" si="10"/>
        <v>Primary</v>
      </c>
      <c r="D103" s="403"/>
      <c r="E103" s="284">
        <f>VLOOKUP($A103,'Data - CFR 2024-25'!$B$4:$CO$134,69,0)+VLOOKUP($A103,'Data - CFR 2024-25'!$B$4:$CJ$134,70,0)</f>
        <v>29824.039999999943</v>
      </c>
      <c r="F103" s="284">
        <f>VLOOKUP($A103,'Data - CFR 2024-25'!$B$4:$CO$134,71,0)</f>
        <v>428.99999999999943</v>
      </c>
      <c r="G103" s="207">
        <f t="shared" si="9"/>
        <v>30253.039999999943</v>
      </c>
      <c r="H103" s="251"/>
      <c r="I103" s="407"/>
      <c r="K103" s="251"/>
      <c r="L103" s="251"/>
      <c r="M103" s="411"/>
    </row>
    <row r="104" spans="1:13" ht="13.8">
      <c r="A104" s="288">
        <v>3029</v>
      </c>
      <c r="B104" s="288" t="s">
        <v>807</v>
      </c>
      <c r="C104" s="248" t="str">
        <f t="shared" si="10"/>
        <v>Primary</v>
      </c>
      <c r="D104" s="403"/>
      <c r="E104" s="284">
        <f>VLOOKUP($A104,'Data - CFR 2024-25'!$B$4:$CO$134,69,0)+VLOOKUP($A104,'Data - CFR 2024-25'!$B$4:$CJ$134,70,0)</f>
        <v>-59558.049999999806</v>
      </c>
      <c r="F104" s="284">
        <f>VLOOKUP($A104,'Data - CFR 2024-25'!$B$4:$CO$134,71,0)</f>
        <v>0</v>
      </c>
      <c r="G104" s="207">
        <f t="shared" si="9"/>
        <v>-59558.049999999806</v>
      </c>
      <c r="H104" s="251"/>
      <c r="I104" s="407"/>
      <c r="K104" s="251"/>
      <c r="L104" s="251"/>
      <c r="M104" s="411"/>
    </row>
    <row r="105" spans="1:13" ht="13.8">
      <c r="A105" s="288">
        <v>2084</v>
      </c>
      <c r="B105" s="288" t="s">
        <v>808</v>
      </c>
      <c r="C105" s="248" t="str">
        <f t="shared" si="10"/>
        <v>Primary</v>
      </c>
      <c r="D105" s="403"/>
      <c r="E105" s="284">
        <f>VLOOKUP($A105,'Data - CFR 2024-25'!$B$4:$CO$134,69,0)+VLOOKUP($A105,'Data - CFR 2024-25'!$B$4:$CJ$134,70,0)</f>
        <v>41908.050000000454</v>
      </c>
      <c r="F105" s="284">
        <f>VLOOKUP($A105,'Data - CFR 2024-25'!$B$4:$CO$134,71,0)</f>
        <v>0</v>
      </c>
      <c r="G105" s="207">
        <f t="shared" si="9"/>
        <v>41908.050000000454</v>
      </c>
      <c r="H105" s="251"/>
      <c r="I105" s="407"/>
      <c r="K105" s="251"/>
      <c r="L105" s="251"/>
      <c r="M105" s="411"/>
    </row>
    <row r="106" spans="1:13" ht="13.8">
      <c r="A106" s="288">
        <v>2443</v>
      </c>
      <c r="B106" s="288" t="s">
        <v>809</v>
      </c>
      <c r="C106" s="248" t="str">
        <f t="shared" si="10"/>
        <v>Primary</v>
      </c>
      <c r="D106" s="403"/>
      <c r="E106" s="284">
        <f>VLOOKUP($A106,'Data - CFR 2024-25'!$B$4:$CO$134,69,0)+VLOOKUP($A106,'Data - CFR 2024-25'!$B$4:$CJ$134,70,0)</f>
        <v>97625.819999999541</v>
      </c>
      <c r="F106" s="284">
        <f>VLOOKUP($A106,'Data - CFR 2024-25'!$B$4:$CO$134,71,0)</f>
        <v>0</v>
      </c>
      <c r="G106" s="207">
        <f t="shared" si="9"/>
        <v>97625.819999999541</v>
      </c>
      <c r="H106" s="251"/>
      <c r="I106" s="407"/>
      <c r="K106" s="251"/>
      <c r="L106" s="251"/>
      <c r="M106" s="411"/>
    </row>
    <row r="107" spans="1:13" ht="13.8">
      <c r="A107" s="288">
        <v>3052</v>
      </c>
      <c r="B107" s="288" t="s">
        <v>810</v>
      </c>
      <c r="C107" s="248" t="str">
        <f t="shared" si="10"/>
        <v>Primary</v>
      </c>
      <c r="D107" s="403"/>
      <c r="E107" s="284">
        <f>VLOOKUP($A107,'Data - CFR 2024-25'!$B$4:$CO$134,69,0)+VLOOKUP($A107,'Data - CFR 2024-25'!$B$4:$CJ$134,70,0)</f>
        <v>32413.149999999929</v>
      </c>
      <c r="F107" s="284">
        <f>VLOOKUP($A107,'Data - CFR 2024-25'!$B$4:$CO$134,71,0)</f>
        <v>50459.100000000006</v>
      </c>
      <c r="G107" s="207">
        <f t="shared" si="9"/>
        <v>82872.249999999942</v>
      </c>
      <c r="H107" s="251"/>
      <c r="I107" s="407"/>
      <c r="K107" s="251"/>
      <c r="L107" s="251"/>
      <c r="M107" s="411"/>
    </row>
    <row r="108" spans="1:13" ht="13.8">
      <c r="A108" s="288">
        <v>2046</v>
      </c>
      <c r="B108" s="288" t="s">
        <v>811</v>
      </c>
      <c r="C108" s="248" t="str">
        <f t="shared" si="10"/>
        <v>Primary</v>
      </c>
      <c r="D108" s="403"/>
      <c r="E108" s="284">
        <f>VLOOKUP($A108,'Data - CFR 2024-25'!$B$4:$CO$134,69,0)+VLOOKUP($A108,'Data - CFR 2024-25'!$B$4:$CJ$134,70,0)</f>
        <v>124477.64999999985</v>
      </c>
      <c r="F108" s="284">
        <f>VLOOKUP($A108,'Data - CFR 2024-25'!$B$4:$CO$134,71,0)</f>
        <v>65869.909999999974</v>
      </c>
      <c r="G108" s="207">
        <f t="shared" si="9"/>
        <v>190347.55999999982</v>
      </c>
      <c r="H108" s="251"/>
      <c r="I108" s="407"/>
      <c r="K108" s="251"/>
      <c r="L108" s="251"/>
      <c r="M108" s="251"/>
    </row>
    <row r="109" spans="1:13" ht="13.8">
      <c r="A109" s="288">
        <v>3325</v>
      </c>
      <c r="B109" s="288" t="s">
        <v>812</v>
      </c>
      <c r="C109" s="248" t="str">
        <f t="shared" si="10"/>
        <v>Primary</v>
      </c>
      <c r="D109" s="403"/>
      <c r="E109" s="284">
        <f>VLOOKUP($A109,'Data - CFR 2024-25'!$B$4:$CO$134,69,0)+VLOOKUP($A109,'Data - CFR 2024-25'!$B$4:$CJ$134,70,0)</f>
        <v>49673.150000000009</v>
      </c>
      <c r="F109" s="284">
        <f>VLOOKUP($A109,'Data - CFR 2024-25'!$B$4:$CO$134,71,0)</f>
        <v>175.29000000000974</v>
      </c>
      <c r="G109" s="207">
        <f t="shared" si="9"/>
        <v>49848.440000000017</v>
      </c>
      <c r="H109" s="251"/>
      <c r="I109" s="407"/>
      <c r="K109" s="251"/>
      <c r="L109" s="251"/>
      <c r="M109" s="251"/>
    </row>
    <row r="110" spans="1:13" ht="13.8">
      <c r="A110" s="288">
        <v>1001</v>
      </c>
      <c r="B110" s="288" t="s">
        <v>813</v>
      </c>
      <c r="C110" s="248" t="str">
        <f t="shared" si="10"/>
        <v>Nursery</v>
      </c>
      <c r="D110" s="403"/>
      <c r="E110" s="284">
        <f>VLOOKUP($A110,'Data - CFR 2024-25'!$B$4:$CO$134,69,0)+VLOOKUP($A110,'Data - CFR 2024-25'!$B$4:$CJ$134,70,0)</f>
        <v>-183897.10999999964</v>
      </c>
      <c r="F110" s="284">
        <f>VLOOKUP($A110,'Data - CFR 2024-25'!$B$4:$CO$134,71,0)</f>
        <v>-823.4099999999944</v>
      </c>
      <c r="G110" s="207">
        <f t="shared" si="9"/>
        <v>-184720.51999999964</v>
      </c>
      <c r="H110" s="251"/>
      <c r="I110" s="407"/>
      <c r="K110" s="251"/>
      <c r="L110" s="251"/>
      <c r="M110" s="251"/>
    </row>
    <row r="111" spans="1:13" ht="13.8">
      <c r="A111" s="288">
        <v>2123</v>
      </c>
      <c r="B111" s="288" t="s">
        <v>814</v>
      </c>
      <c r="C111" s="248" t="str">
        <f t="shared" si="10"/>
        <v>Primary</v>
      </c>
      <c r="D111" s="403"/>
      <c r="E111" s="284">
        <f>VLOOKUP($A111,'Data - CFR 2024-25'!$B$4:$CO$134,69,0)+VLOOKUP($A111,'Data - CFR 2024-25'!$B$4:$CJ$134,70,0)</f>
        <v>-35330.170000000158</v>
      </c>
      <c r="F111" s="284">
        <f>VLOOKUP($A111,'Data - CFR 2024-25'!$B$4:$CO$134,71,0)</f>
        <v>15503.43</v>
      </c>
      <c r="G111" s="207">
        <f t="shared" si="9"/>
        <v>-19826.740000000158</v>
      </c>
      <c r="H111" s="251"/>
      <c r="I111" s="407"/>
      <c r="K111" s="251"/>
      <c r="L111" s="251"/>
      <c r="M111" s="251"/>
    </row>
    <row r="112" spans="1:13" ht="13.8">
      <c r="A112" s="288">
        <v>2260</v>
      </c>
      <c r="B112" s="288" t="s">
        <v>815</v>
      </c>
      <c r="C112" s="248" t="str">
        <f t="shared" si="10"/>
        <v>Primary</v>
      </c>
      <c r="D112" s="403"/>
      <c r="E112" s="284">
        <f>VLOOKUP($A112,'Data - CFR 2024-25'!$B$4:$CO$134,69,0)+VLOOKUP($A112,'Data - CFR 2024-25'!$B$4:$CJ$134,70,0)</f>
        <v>61400.200000000084</v>
      </c>
      <c r="F112" s="284">
        <f>VLOOKUP($A112,'Data - CFR 2024-25'!$B$4:$CO$134,71,0)</f>
        <v>0</v>
      </c>
      <c r="G112" s="207">
        <f t="shared" si="9"/>
        <v>61400.200000000084</v>
      </c>
      <c r="H112" s="251"/>
      <c r="I112" s="407"/>
      <c r="K112" s="251"/>
      <c r="L112" s="251"/>
      <c r="M112" s="251"/>
    </row>
    <row r="113" spans="1:7" ht="13.8">
      <c r="A113" s="288">
        <v>3058</v>
      </c>
      <c r="B113" s="288" t="s">
        <v>816</v>
      </c>
      <c r="C113" s="248" t="str">
        <f t="shared" si="10"/>
        <v>Primary</v>
      </c>
      <c r="D113" s="403"/>
      <c r="E113" s="284">
        <f>VLOOKUP($A113,'Data - CFR 2024-25'!$B$4:$CO$134,69,0)+VLOOKUP($A113,'Data - CFR 2024-25'!$B$4:$CJ$134,70,0)</f>
        <v>56568.560000000129</v>
      </c>
      <c r="F113" s="284">
        <f>VLOOKUP($A113,'Data - CFR 2024-25'!$B$4:$CO$134,71,0)</f>
        <v>26769.540000000008</v>
      </c>
      <c r="G113" s="207">
        <f t="shared" si="9"/>
        <v>83338.100000000137</v>
      </c>
    </row>
    <row r="114" spans="1:7" ht="13.8">
      <c r="A114" s="288">
        <v>2335</v>
      </c>
      <c r="B114" s="288" t="s">
        <v>817</v>
      </c>
      <c r="C114" s="248" t="str">
        <f t="shared" si="10"/>
        <v>Primary</v>
      </c>
      <c r="D114" s="403"/>
      <c r="E114" s="284">
        <f>VLOOKUP($A114,'Data - CFR 2024-25'!$B$4:$CO$134,69,0)+VLOOKUP($A114,'Data - CFR 2024-25'!$B$4:$CJ$134,70,0)</f>
        <v>100696.98000000053</v>
      </c>
      <c r="F114" s="284">
        <f>VLOOKUP($A114,'Data - CFR 2024-25'!$B$4:$CO$134,71,0)</f>
        <v>0</v>
      </c>
      <c r="G114" s="207">
        <f t="shared" si="9"/>
        <v>100696.98000000053</v>
      </c>
    </row>
    <row r="115" spans="1:7" ht="13.8">
      <c r="A115" s="288">
        <v>3389</v>
      </c>
      <c r="B115" s="288" t="s">
        <v>818</v>
      </c>
      <c r="C115" s="248" t="str">
        <f t="shared" si="10"/>
        <v>Primary</v>
      </c>
      <c r="D115" s="403"/>
      <c r="E115" s="284">
        <f>VLOOKUP($A115,'Data - CFR 2024-25'!$B$4:$CO$134,69,0)+VLOOKUP($A115,'Data - CFR 2024-25'!$B$4:$CJ$134,70,0)</f>
        <v>121950.59999999928</v>
      </c>
      <c r="F115" s="284">
        <f>VLOOKUP($A115,'Data - CFR 2024-25'!$B$4:$CO$134,71,0)</f>
        <v>99159.23</v>
      </c>
      <c r="G115" s="207">
        <f t="shared" si="9"/>
        <v>221109.82999999926</v>
      </c>
    </row>
    <row r="116" spans="1:7" ht="13.8">
      <c r="A116" s="290">
        <v>2001</v>
      </c>
      <c r="B116" s="290" t="s">
        <v>819</v>
      </c>
      <c r="C116" s="248" t="str">
        <f t="shared" si="10"/>
        <v>Primary</v>
      </c>
      <c r="D116" s="403"/>
      <c r="E116" s="284">
        <f>VLOOKUP($A116,'Data - CFR 2024-25'!$B$4:$CO$134,69,0)+VLOOKUP($A116,'Data - CFR 2024-25'!$B$4:$CJ$134,70,0)</f>
        <v>-146308.51000000135</v>
      </c>
      <c r="F116" s="284">
        <f>VLOOKUP($A116,'Data - CFR 2024-25'!$B$4:$CO$134,71,0)</f>
        <v>42960.049999999967</v>
      </c>
      <c r="G116" s="207">
        <f t="shared" si="9"/>
        <v>-103348.46000000139</v>
      </c>
    </row>
    <row r="117" spans="1:7" ht="13.8">
      <c r="A117" s="288">
        <v>2064</v>
      </c>
      <c r="B117" s="288" t="s">
        <v>820</v>
      </c>
      <c r="C117" s="248" t="str">
        <f t="shared" si="10"/>
        <v>Primary</v>
      </c>
      <c r="D117" s="403"/>
      <c r="E117" s="284">
        <f>VLOOKUP($A117,'Data - CFR 2024-25'!$B$4:$CO$134,69,0)+VLOOKUP($A117,'Data - CFR 2024-25'!$B$4:$CJ$134,70,0)</f>
        <v>166839.16999999984</v>
      </c>
      <c r="F117" s="284">
        <f>VLOOKUP($A117,'Data - CFR 2024-25'!$B$4:$CO$134,71,0)</f>
        <v>0</v>
      </c>
      <c r="G117" s="207">
        <f t="shared" si="9"/>
        <v>166839.16999999984</v>
      </c>
    </row>
    <row r="118" spans="1:7" ht="13.8">
      <c r="A118" s="290">
        <v>2000</v>
      </c>
      <c r="B118" s="290" t="s">
        <v>1381</v>
      </c>
      <c r="C118" s="248" t="str">
        <f t="shared" si="10"/>
        <v>Primary</v>
      </c>
      <c r="D118" s="403"/>
      <c r="E118" s="284">
        <f>VLOOKUP($A118,'Data - CFR 2024-25'!$B$4:$CO$134,69,0)+VLOOKUP($A118,'Data - CFR 2024-25'!$B$4:$CJ$134,70,0)</f>
        <v>237299.49000000005</v>
      </c>
      <c r="F118" s="284">
        <f>VLOOKUP($A118,'Data - CFR 2024-25'!$B$4:$CO$134,71,0)</f>
        <v>99920.549999999988</v>
      </c>
      <c r="G118" s="207">
        <f t="shared" si="9"/>
        <v>337220.04000000004</v>
      </c>
    </row>
    <row r="119" spans="1:7" ht="13.8">
      <c r="A119" s="288">
        <v>2048</v>
      </c>
      <c r="B119" s="288" t="s">
        <v>822</v>
      </c>
      <c r="C119" s="248" t="str">
        <f t="shared" si="10"/>
        <v>Primary</v>
      </c>
      <c r="D119" s="403"/>
      <c r="E119" s="284">
        <f>VLOOKUP($A119,'Data - CFR 2024-25'!$B$4:$CO$134,69,0)+VLOOKUP($A119,'Data - CFR 2024-25'!$B$4:$CJ$134,70,0)</f>
        <v>49325.530000000916</v>
      </c>
      <c r="F119" s="284">
        <f>VLOOKUP($A119,'Data - CFR 2024-25'!$B$4:$CO$134,71,0)</f>
        <v>0</v>
      </c>
      <c r="G119" s="207">
        <f t="shared" si="9"/>
        <v>49325.530000000916</v>
      </c>
    </row>
    <row r="120" spans="1:7" ht="13.8">
      <c r="A120" s="288">
        <v>2232</v>
      </c>
      <c r="B120" s="288" t="s">
        <v>823</v>
      </c>
      <c r="C120" s="248" t="str">
        <f t="shared" si="10"/>
        <v>Primary</v>
      </c>
      <c r="D120" s="403"/>
      <c r="E120" s="284">
        <f>VLOOKUP($A120,'Data - CFR 2024-25'!$B$4:$CO$134,69,0)+VLOOKUP($A120,'Data - CFR 2024-25'!$B$4:$CJ$134,70,0)</f>
        <v>-12795.26000000026</v>
      </c>
      <c r="F120" s="284">
        <f>VLOOKUP($A120,'Data - CFR 2024-25'!$B$4:$CO$134,71,0)</f>
        <v>0</v>
      </c>
      <c r="G120" s="207">
        <f t="shared" si="9"/>
        <v>-12795.26000000026</v>
      </c>
    </row>
    <row r="121" spans="1:7" ht="13.8">
      <c r="A121" s="290">
        <v>3392</v>
      </c>
      <c r="B121" s="290" t="s">
        <v>824</v>
      </c>
      <c r="C121" s="248" t="str">
        <f t="shared" si="10"/>
        <v>Primary</v>
      </c>
      <c r="D121" s="403"/>
      <c r="E121" s="284">
        <f>VLOOKUP($A121,'Data - CFR 2024-25'!$B$4:$CO$134,69,0)+VLOOKUP($A121,'Data - CFR 2024-25'!$B$4:$CJ$134,70,0)</f>
        <v>-99667.21000000069</v>
      </c>
      <c r="F121" s="284">
        <f>VLOOKUP($A121,'Data - CFR 2024-25'!$B$4:$CO$134,71,0)</f>
        <v>23482.630000000005</v>
      </c>
      <c r="G121" s="207">
        <f t="shared" si="9"/>
        <v>-76184.580000000686</v>
      </c>
    </row>
    <row r="122" spans="1:7" ht="13.8">
      <c r="A122" s="288">
        <v>3054</v>
      </c>
      <c r="B122" s="288" t="s">
        <v>825</v>
      </c>
      <c r="C122" s="248" t="str">
        <f t="shared" si="10"/>
        <v>Primary</v>
      </c>
      <c r="D122" s="403"/>
      <c r="E122" s="284">
        <f>VLOOKUP($A122,'Data - CFR 2024-25'!$B$4:$CO$134,69,0)+VLOOKUP($A122,'Data - CFR 2024-25'!$B$4:$CJ$134,70,0)</f>
        <v>23693.979999999974</v>
      </c>
      <c r="F122" s="284">
        <f>VLOOKUP($A122,'Data - CFR 2024-25'!$B$4:$CO$134,71,0)</f>
        <v>0</v>
      </c>
      <c r="G122" s="207">
        <f t="shared" si="9"/>
        <v>23693.979999999974</v>
      </c>
    </row>
    <row r="123" spans="1:7" ht="13.8">
      <c r="A123" s="288">
        <v>3032</v>
      </c>
      <c r="B123" s="288" t="s">
        <v>826</v>
      </c>
      <c r="C123" s="248" t="str">
        <f t="shared" si="10"/>
        <v>Primary</v>
      </c>
      <c r="D123" s="403"/>
      <c r="E123" s="284">
        <f>VLOOKUP($A123,'Data - CFR 2024-25'!$B$4:$CO$134,69,0)+VLOOKUP($A123,'Data - CFR 2024-25'!$B$4:$CJ$134,70,0)</f>
        <v>85516.689999999988</v>
      </c>
      <c r="F123" s="284">
        <f>VLOOKUP($A123,'Data - CFR 2024-25'!$B$4:$CO$134,71,0)</f>
        <v>0</v>
      </c>
      <c r="G123" s="207">
        <f t="shared" si="9"/>
        <v>85516.689999999988</v>
      </c>
    </row>
    <row r="124" spans="1:7" ht="13.8">
      <c r="A124" s="288">
        <v>2054</v>
      </c>
      <c r="B124" s="288" t="s">
        <v>827</v>
      </c>
      <c r="C124" s="248" t="str">
        <f t="shared" si="10"/>
        <v>Primary</v>
      </c>
      <c r="D124" s="403"/>
      <c r="E124" s="284">
        <f>VLOOKUP($A124,'Data - CFR 2024-25'!$B$4:$CO$134,69,0)+VLOOKUP($A124,'Data - CFR 2024-25'!$B$4:$CJ$134,70,0)</f>
        <v>141686.00000000003</v>
      </c>
      <c r="F124" s="284">
        <f>VLOOKUP($A124,'Data - CFR 2024-25'!$B$4:$CO$134,71,0)</f>
        <v>65242.610000000037</v>
      </c>
      <c r="G124" s="207">
        <f t="shared" si="9"/>
        <v>206928.61000000007</v>
      </c>
    </row>
    <row r="125" spans="1:7" ht="13.8">
      <c r="A125" s="288">
        <v>2240</v>
      </c>
      <c r="B125" s="288" t="s">
        <v>828</v>
      </c>
      <c r="C125" s="248" t="str">
        <f t="shared" si="10"/>
        <v>Primary</v>
      </c>
      <c r="D125" s="403"/>
      <c r="E125" s="284">
        <f>VLOOKUP($A125,'Data - CFR 2024-25'!$B$4:$CO$134,69,0)+VLOOKUP($A125,'Data - CFR 2024-25'!$B$4:$CJ$134,70,0)</f>
        <v>11502.700000000041</v>
      </c>
      <c r="F125" s="284">
        <f>VLOOKUP($A125,'Data - CFR 2024-25'!$B$4:$CO$134,71,0)</f>
        <v>773.28999999999814</v>
      </c>
      <c r="G125" s="207">
        <f t="shared" ref="G125:G126" si="11">SUM(E125:F125)</f>
        <v>12275.990000000038</v>
      </c>
    </row>
    <row r="126" spans="1:7" ht="13.8">
      <c r="A126" s="288">
        <v>2254</v>
      </c>
      <c r="B126" s="288" t="s">
        <v>829</v>
      </c>
      <c r="C126" s="248" t="str">
        <f t="shared" si="10"/>
        <v>Primary</v>
      </c>
      <c r="D126" s="403"/>
      <c r="E126" s="284">
        <f>VLOOKUP($A126,'Data - CFR 2024-25'!$B$4:$CO$134,69,0)+VLOOKUP($A126,'Data - CFR 2024-25'!$B$4:$CJ$134,70,0)</f>
        <v>51475.040000000037</v>
      </c>
      <c r="F126" s="284">
        <f>VLOOKUP($A126,'Data - CFR 2024-25'!$B$4:$CO$134,71,0)</f>
        <v>0</v>
      </c>
      <c r="G126" s="207">
        <f t="shared" si="11"/>
        <v>51475.040000000037</v>
      </c>
    </row>
  </sheetData>
  <phoneticPr fontId="15" type="noConversion"/>
  <pageMargins left="0.75" right="0.75" top="1" bottom="1" header="0.5" footer="0.5"/>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I124"/>
  <sheetViews>
    <sheetView workbookViewId="0">
      <selection activeCell="F3" sqref="F3"/>
    </sheetView>
  </sheetViews>
  <sheetFormatPr defaultColWidth="9.21875" defaultRowHeight="13.2"/>
  <cols>
    <col min="1" max="1" width="12" style="215" customWidth="1"/>
    <col min="2" max="2" width="8.77734375" style="221" customWidth="1"/>
    <col min="3" max="3" width="44.77734375" style="222" bestFit="1" customWidth="1"/>
    <col min="4" max="4" width="15.77734375" style="222" bestFit="1" customWidth="1"/>
    <col min="5" max="5" width="12.77734375" style="221" bestFit="1" customWidth="1"/>
    <col min="6" max="6" width="9.21875" style="242"/>
    <col min="7" max="7" width="2.44140625" style="215" customWidth="1"/>
    <col min="8" max="8" width="9.21875" style="242"/>
    <col min="9" max="9" width="9.21875" style="261"/>
    <col min="10" max="16384" width="9.21875" style="215"/>
  </cols>
  <sheetData>
    <row r="1" spans="1:9">
      <c r="A1" s="214" t="s">
        <v>1390</v>
      </c>
      <c r="B1" s="298">
        <v>1</v>
      </c>
      <c r="C1" s="298">
        <v>2</v>
      </c>
      <c r="D1" s="400">
        <v>3</v>
      </c>
      <c r="E1" s="298">
        <v>4</v>
      </c>
      <c r="F1" s="404"/>
      <c r="G1" s="247"/>
      <c r="H1" s="404"/>
    </row>
    <row r="2" spans="1:9" s="217" customFormat="1" ht="26.4">
      <c r="A2" s="216" t="s">
        <v>1370</v>
      </c>
      <c r="B2" s="217" t="s">
        <v>882</v>
      </c>
      <c r="C2" s="264" t="s">
        <v>881</v>
      </c>
      <c r="D2" s="218" t="s">
        <v>877</v>
      </c>
      <c r="E2" s="217" t="s">
        <v>1391</v>
      </c>
      <c r="F2" s="296" t="s">
        <v>1392</v>
      </c>
      <c r="H2" s="260" t="s">
        <v>491</v>
      </c>
      <c r="I2" s="262" t="s">
        <v>1389</v>
      </c>
    </row>
    <row r="3" spans="1:9" s="220" customFormat="1" ht="13.8">
      <c r="A3" s="252" t="s">
        <v>1393</v>
      </c>
      <c r="B3" s="288">
        <v>3373</v>
      </c>
      <c r="C3" s="288" t="s">
        <v>707</v>
      </c>
      <c r="D3" s="248" t="str">
        <f>IF(LEFT(B3,1)="1","Nursery",IF(LEFT(B3,1)="2","Primary",IF(LEFT(B3,1)="3","Primary",IF(LEFT(B3,1)="7","Special","NA"))))</f>
        <v>Primary</v>
      </c>
      <c r="E3" s="399"/>
      <c r="F3" s="412"/>
      <c r="G3" s="413"/>
      <c r="H3" s="414">
        <f>VLOOKUP(B3,'Data - CFR 2024-25'!$B$4:$CO$505,85,0)</f>
        <v>0</v>
      </c>
      <c r="I3" s="263"/>
    </row>
    <row r="4" spans="1:9" s="220" customFormat="1" ht="13.8">
      <c r="A4" s="252" t="s">
        <v>1393</v>
      </c>
      <c r="B4" s="288">
        <v>3061</v>
      </c>
      <c r="C4" s="288" t="s">
        <v>709</v>
      </c>
      <c r="D4" s="248" t="str">
        <f t="shared" ref="D4:D67" si="0">IF(LEFT(B4,1)="1","Nursery",IF(LEFT(B4,1)="2","Primary",IF(LEFT(B4,1)="3","Primary",IF(LEFT(B4,1)="7","Special","NA"))))</f>
        <v>Primary</v>
      </c>
      <c r="E4" s="399"/>
      <c r="F4" s="412"/>
      <c r="G4" s="413"/>
      <c r="H4" s="414">
        <f>VLOOKUP(B4,'Data - CFR 2024-25'!$B$4:$CO$505,85,0)</f>
        <v>1840.4700000000012</v>
      </c>
      <c r="I4" s="263"/>
    </row>
    <row r="5" spans="1:9" s="220" customFormat="1" ht="13.8">
      <c r="A5" s="252" t="s">
        <v>1393</v>
      </c>
      <c r="B5" s="288">
        <v>2083</v>
      </c>
      <c r="C5" s="288" t="s">
        <v>710</v>
      </c>
      <c r="D5" s="248" t="str">
        <f t="shared" si="0"/>
        <v>Primary</v>
      </c>
      <c r="E5" s="399"/>
      <c r="F5" s="412"/>
      <c r="G5" s="413"/>
      <c r="H5" s="414">
        <f>VLOOKUP(B5,'Data - CFR 2024-25'!$B$4:$CO$505,85,0)</f>
        <v>13497.98</v>
      </c>
      <c r="I5" s="263"/>
    </row>
    <row r="6" spans="1:9" s="220" customFormat="1" ht="13.8">
      <c r="A6" s="252" t="s">
        <v>1393</v>
      </c>
      <c r="B6" s="288">
        <v>2118</v>
      </c>
      <c r="C6" s="288" t="s">
        <v>711</v>
      </c>
      <c r="D6" s="248" t="str">
        <f t="shared" si="0"/>
        <v>Primary</v>
      </c>
      <c r="E6" s="399"/>
      <c r="F6" s="412"/>
      <c r="G6" s="413"/>
      <c r="H6" s="414">
        <f>VLOOKUP(B6,'Data - CFR 2024-25'!$B$4:$CO$505,85,0)</f>
        <v>83.1299999999992</v>
      </c>
      <c r="I6" s="263"/>
    </row>
    <row r="7" spans="1:9" s="220" customFormat="1" ht="13.8">
      <c r="A7" s="252" t="s">
        <v>1393</v>
      </c>
      <c r="B7" s="288">
        <v>2217</v>
      </c>
      <c r="C7" s="288" t="s">
        <v>712</v>
      </c>
      <c r="D7" s="248" t="str">
        <f t="shared" si="0"/>
        <v>Primary</v>
      </c>
      <c r="E7" s="399"/>
      <c r="F7" s="412"/>
      <c r="G7" s="413"/>
      <c r="H7" s="414">
        <f>VLOOKUP(B7,'Data - CFR 2024-25'!$B$4:$CO$505,85,0)</f>
        <v>15166.81</v>
      </c>
      <c r="I7" s="263"/>
    </row>
    <row r="8" spans="1:9" s="220" customFormat="1" ht="13.8">
      <c r="A8" s="252" t="s">
        <v>1393</v>
      </c>
      <c r="B8" s="288">
        <v>3067</v>
      </c>
      <c r="C8" s="288" t="s">
        <v>713</v>
      </c>
      <c r="D8" s="248" t="str">
        <f t="shared" si="0"/>
        <v>Primary</v>
      </c>
      <c r="E8" s="399"/>
      <c r="F8" s="412"/>
      <c r="G8" s="413"/>
      <c r="H8" s="414">
        <f>VLOOKUP(B8,'Data - CFR 2024-25'!$B$4:$CO$505,85,0)</f>
        <v>51.670000000000528</v>
      </c>
      <c r="I8" s="263"/>
    </row>
    <row r="9" spans="1:9" s="220" customFormat="1" ht="13.8">
      <c r="A9" s="252" t="s">
        <v>1393</v>
      </c>
      <c r="B9" s="289">
        <v>3001</v>
      </c>
      <c r="C9" s="289" t="s">
        <v>714</v>
      </c>
      <c r="D9" s="248" t="str">
        <f t="shared" si="0"/>
        <v>Primary</v>
      </c>
      <c r="E9" s="399"/>
      <c r="F9" s="412"/>
      <c r="G9" s="413"/>
      <c r="H9" s="414">
        <f>VLOOKUP(B9,'Data - CFR 2024-25'!$B$4:$CO$505,85,0)</f>
        <v>8760.2200000000012</v>
      </c>
      <c r="I9" s="263"/>
    </row>
    <row r="10" spans="1:9" s="220" customFormat="1" ht="13.8">
      <c r="A10" s="252" t="s">
        <v>1393</v>
      </c>
      <c r="B10" s="288">
        <v>3301</v>
      </c>
      <c r="C10" s="288" t="s">
        <v>715</v>
      </c>
      <c r="D10" s="248" t="str">
        <f t="shared" si="0"/>
        <v>Primary</v>
      </c>
      <c r="E10" s="399"/>
      <c r="F10" s="412"/>
      <c r="G10" s="413"/>
      <c r="H10" s="414">
        <f>VLOOKUP(B10,'Data - CFR 2024-25'!$B$4:$CO$505,85,0)</f>
        <v>0</v>
      </c>
      <c r="I10" s="263"/>
    </row>
    <row r="11" spans="1:9" s="220" customFormat="1" ht="13.8">
      <c r="A11" s="252" t="s">
        <v>1393</v>
      </c>
      <c r="B11" s="288">
        <v>2002</v>
      </c>
      <c r="C11" s="288" t="s">
        <v>716</v>
      </c>
      <c r="D11" s="248" t="str">
        <f t="shared" si="0"/>
        <v>Primary</v>
      </c>
      <c r="E11" s="399"/>
      <c r="F11" s="412"/>
      <c r="G11" s="413"/>
      <c r="H11" s="414">
        <f>VLOOKUP(B11,'Data - CFR 2024-25'!$B$4:$CO$505,85,0)</f>
        <v>5272.41</v>
      </c>
      <c r="I11" s="263"/>
    </row>
    <row r="12" spans="1:9" s="220" customFormat="1" ht="13.8">
      <c r="A12" s="252" t="s">
        <v>1393</v>
      </c>
      <c r="B12" s="288">
        <v>2082</v>
      </c>
      <c r="C12" s="288" t="s">
        <v>717</v>
      </c>
      <c r="D12" s="248" t="str">
        <f t="shared" si="0"/>
        <v>Primary</v>
      </c>
      <c r="E12" s="399"/>
      <c r="F12" s="412"/>
      <c r="G12" s="413"/>
      <c r="H12" s="414">
        <f>VLOOKUP(B12,'Data - CFR 2024-25'!$B$4:$CO$505,85,0)</f>
        <v>13813.83</v>
      </c>
      <c r="I12" s="263"/>
    </row>
    <row r="13" spans="1:9" s="220" customFormat="1" ht="13.8">
      <c r="A13" s="252" t="s">
        <v>1393</v>
      </c>
      <c r="B13" s="288">
        <v>3943</v>
      </c>
      <c r="C13" s="288" t="s">
        <v>718</v>
      </c>
      <c r="D13" s="248" t="str">
        <f t="shared" si="0"/>
        <v>Primary</v>
      </c>
      <c r="E13" s="399"/>
      <c r="F13" s="412"/>
      <c r="G13" s="413"/>
      <c r="H13" s="414">
        <f>VLOOKUP(B13,'Data - CFR 2024-25'!$B$4:$CO$505,85,0)</f>
        <v>664.63999999999965</v>
      </c>
      <c r="I13" s="263"/>
    </row>
    <row r="14" spans="1:9" s="220" customFormat="1" ht="13.8">
      <c r="A14" s="252" t="s">
        <v>1393</v>
      </c>
      <c r="B14" s="288">
        <v>2060</v>
      </c>
      <c r="C14" s="288" t="s">
        <v>719</v>
      </c>
      <c r="D14" s="248" t="str">
        <f t="shared" si="0"/>
        <v>Primary</v>
      </c>
      <c r="E14" s="399"/>
      <c r="F14" s="412"/>
      <c r="G14" s="413"/>
      <c r="H14" s="414">
        <f>VLOOKUP(B14,'Data - CFR 2024-25'!$B$4:$CO$505,85,0)</f>
        <v>11113.689999999999</v>
      </c>
      <c r="I14" s="263"/>
    </row>
    <row r="15" spans="1:9" s="220" customFormat="1" ht="13.8">
      <c r="A15" s="252" t="s">
        <v>1393</v>
      </c>
      <c r="B15" s="288">
        <v>2312</v>
      </c>
      <c r="C15" s="288" t="s">
        <v>720</v>
      </c>
      <c r="D15" s="248" t="str">
        <f t="shared" si="0"/>
        <v>Primary</v>
      </c>
      <c r="E15" s="399"/>
      <c r="F15" s="412"/>
      <c r="G15" s="413"/>
      <c r="H15" s="414">
        <f>VLOOKUP(B15,'Data - CFR 2024-25'!$B$4:$CO$505,85,0)</f>
        <v>32743.46</v>
      </c>
      <c r="I15" s="263"/>
    </row>
    <row r="16" spans="1:9" s="220" customFormat="1" ht="13.8">
      <c r="A16" s="252" t="s">
        <v>1393</v>
      </c>
      <c r="B16" s="288">
        <v>3942</v>
      </c>
      <c r="C16" s="288" t="s">
        <v>721</v>
      </c>
      <c r="D16" s="248" t="str">
        <f t="shared" si="0"/>
        <v>Primary</v>
      </c>
      <c r="E16" s="399"/>
      <c r="F16" s="412"/>
      <c r="G16" s="413"/>
      <c r="H16" s="414">
        <f>VLOOKUP(B16,'Data - CFR 2024-25'!$B$4:$CO$505,85,0)</f>
        <v>0.33000000000174623</v>
      </c>
      <c r="I16" s="263"/>
    </row>
    <row r="17" spans="1:9" s="220" customFormat="1" ht="13.8">
      <c r="A17" s="252" t="s">
        <v>1393</v>
      </c>
      <c r="B17" s="288">
        <v>3081</v>
      </c>
      <c r="C17" s="288" t="s">
        <v>722</v>
      </c>
      <c r="D17" s="248" t="str">
        <f t="shared" si="0"/>
        <v>Primary</v>
      </c>
      <c r="E17" s="399"/>
      <c r="F17" s="412"/>
      <c r="G17" s="413"/>
      <c r="H17" s="414">
        <f>VLOOKUP(B17,'Data - CFR 2024-25'!$B$4:$CO$505,85,0)</f>
        <v>16870.53</v>
      </c>
      <c r="I17" s="263"/>
    </row>
    <row r="18" spans="1:9" s="220" customFormat="1" ht="13.8">
      <c r="A18" s="252" t="s">
        <v>1393</v>
      </c>
      <c r="B18" s="288">
        <v>1005</v>
      </c>
      <c r="C18" s="288" t="s">
        <v>723</v>
      </c>
      <c r="D18" s="248" t="str">
        <f t="shared" si="0"/>
        <v>Nursery</v>
      </c>
      <c r="E18" s="399"/>
      <c r="F18" s="412"/>
      <c r="G18" s="413"/>
      <c r="H18" s="414">
        <f>VLOOKUP(B18,'Data - CFR 2024-25'!$B$4:$CO$505,85,0)</f>
        <v>5601.5</v>
      </c>
      <c r="I18" s="263"/>
    </row>
    <row r="19" spans="1:9" s="220" customFormat="1" ht="13.8">
      <c r="A19" s="252" t="s">
        <v>1393</v>
      </c>
      <c r="B19" s="288">
        <v>2327</v>
      </c>
      <c r="C19" s="288" t="s">
        <v>725</v>
      </c>
      <c r="D19" s="248" t="str">
        <f t="shared" si="0"/>
        <v>Primary</v>
      </c>
      <c r="E19" s="399"/>
      <c r="F19" s="412"/>
      <c r="G19" s="413"/>
      <c r="H19" s="414">
        <f>VLOOKUP(B19,'Data - CFR 2024-25'!$B$4:$CO$505,85,0)</f>
        <v>37309.910000000003</v>
      </c>
      <c r="I19" s="263"/>
    </row>
    <row r="20" spans="1:9" s="220" customFormat="1" ht="13.8">
      <c r="A20" s="252" t="s">
        <v>1393</v>
      </c>
      <c r="B20" s="288">
        <v>2452</v>
      </c>
      <c r="C20" s="288" t="s">
        <v>726</v>
      </c>
      <c r="D20" s="248" t="str">
        <f t="shared" si="0"/>
        <v>Primary</v>
      </c>
      <c r="E20" s="399"/>
      <c r="F20" s="412"/>
      <c r="G20" s="413"/>
      <c r="H20" s="414">
        <f>VLOOKUP(B20,'Data - CFR 2024-25'!$B$4:$CO$505,85,0)</f>
        <v>0</v>
      </c>
      <c r="I20" s="263"/>
    </row>
    <row r="21" spans="1:9" s="220" customFormat="1" ht="13.8">
      <c r="A21" s="252" t="s">
        <v>1393</v>
      </c>
      <c r="B21" s="288">
        <v>2004</v>
      </c>
      <c r="C21" s="288" t="s">
        <v>727</v>
      </c>
      <c r="D21" s="248" t="str">
        <f t="shared" si="0"/>
        <v>Primary</v>
      </c>
      <c r="E21" s="399"/>
      <c r="F21" s="412"/>
      <c r="G21" s="413"/>
      <c r="H21" s="414">
        <f>VLOOKUP(B21,'Data - CFR 2024-25'!$B$4:$CO$505,85,0)</f>
        <v>1989.8500000000008</v>
      </c>
      <c r="I21" s="263"/>
    </row>
    <row r="22" spans="1:9" s="220" customFormat="1" ht="13.8">
      <c r="A22" s="252" t="s">
        <v>1393</v>
      </c>
      <c r="B22" s="288">
        <v>3008</v>
      </c>
      <c r="C22" s="288" t="s">
        <v>728</v>
      </c>
      <c r="D22" s="248" t="str">
        <f t="shared" si="0"/>
        <v>Primary</v>
      </c>
      <c r="E22" s="399"/>
      <c r="F22" s="412"/>
      <c r="G22" s="413"/>
      <c r="H22" s="414">
        <f>VLOOKUP(B22,'Data - CFR 2024-25'!$B$4:$CO$505,85,0)</f>
        <v>15687.83</v>
      </c>
      <c r="I22" s="263"/>
    </row>
    <row r="23" spans="1:9" s="220" customFormat="1" ht="13.8">
      <c r="A23" s="252" t="s">
        <v>1393</v>
      </c>
      <c r="B23" s="288">
        <v>7026</v>
      </c>
      <c r="C23" s="288" t="s">
        <v>729</v>
      </c>
      <c r="D23" s="248" t="str">
        <f t="shared" si="0"/>
        <v>Special</v>
      </c>
      <c r="E23" s="399"/>
      <c r="F23" s="412"/>
      <c r="G23" s="413"/>
      <c r="H23" s="414">
        <f>VLOOKUP(B23,'Data - CFR 2024-25'!$B$4:$CO$505,85,0)</f>
        <v>0</v>
      </c>
      <c r="I23" s="263"/>
    </row>
    <row r="24" spans="1:9" s="220" customFormat="1" ht="13.8">
      <c r="A24" s="252" t="s">
        <v>1393</v>
      </c>
      <c r="B24" s="288">
        <v>3050</v>
      </c>
      <c r="C24" s="288" t="s">
        <v>731</v>
      </c>
      <c r="D24" s="248" t="str">
        <f t="shared" si="0"/>
        <v>Primary</v>
      </c>
      <c r="E24" s="399"/>
      <c r="F24" s="412"/>
      <c r="G24" s="413"/>
      <c r="H24" s="414">
        <f>VLOOKUP(B24,'Data - CFR 2024-25'!$B$4:$CO$505,85,0)</f>
        <v>13221.78</v>
      </c>
      <c r="I24" s="263"/>
    </row>
    <row r="25" spans="1:9" s="220" customFormat="1" ht="13.8">
      <c r="A25" s="252" t="s">
        <v>1393</v>
      </c>
      <c r="B25" s="288">
        <v>3009</v>
      </c>
      <c r="C25" s="288" t="s">
        <v>732</v>
      </c>
      <c r="D25" s="248" t="str">
        <f t="shared" si="0"/>
        <v>Primary</v>
      </c>
      <c r="E25" s="399"/>
      <c r="F25" s="412"/>
      <c r="G25" s="413"/>
      <c r="H25" s="414">
        <f>VLOOKUP(B25,'Data - CFR 2024-25'!$B$4:$CO$505,85,0)</f>
        <v>23320.26</v>
      </c>
      <c r="I25" s="263"/>
    </row>
    <row r="26" spans="1:9" s="220" customFormat="1" ht="13.8">
      <c r="A26" s="252" t="s">
        <v>1393</v>
      </c>
      <c r="B26" s="288">
        <v>2091</v>
      </c>
      <c r="C26" s="288" t="s">
        <v>733</v>
      </c>
      <c r="D26" s="248" t="str">
        <f t="shared" si="0"/>
        <v>Primary</v>
      </c>
      <c r="E26" s="399"/>
      <c r="F26" s="412"/>
      <c r="G26" s="413"/>
      <c r="H26" s="414">
        <f>VLOOKUP(B26,'Data - CFR 2024-25'!$B$4:$CO$505,85,0)</f>
        <v>0</v>
      </c>
      <c r="I26" s="263"/>
    </row>
    <row r="27" spans="1:9" s="220" customFormat="1" ht="13.8">
      <c r="A27" s="252" t="s">
        <v>1393</v>
      </c>
      <c r="B27" s="288">
        <v>2065</v>
      </c>
      <c r="C27" s="288" t="s">
        <v>734</v>
      </c>
      <c r="D27" s="248" t="str">
        <f t="shared" si="0"/>
        <v>Primary</v>
      </c>
      <c r="E27" s="399"/>
      <c r="F27" s="412"/>
      <c r="G27" s="413"/>
      <c r="H27" s="414">
        <f>VLOOKUP(B27,'Data - CFR 2024-25'!$B$4:$CO$505,85,0)</f>
        <v>19245.66</v>
      </c>
      <c r="I27" s="263"/>
    </row>
    <row r="28" spans="1:9" s="220" customFormat="1" ht="13.8">
      <c r="A28" s="252" t="s">
        <v>1393</v>
      </c>
      <c r="B28" s="288">
        <v>1006</v>
      </c>
      <c r="C28" s="288" t="s">
        <v>735</v>
      </c>
      <c r="D28" s="248" t="str">
        <f t="shared" si="0"/>
        <v>Nursery</v>
      </c>
      <c r="E28" s="399"/>
      <c r="F28" s="412"/>
      <c r="G28" s="413"/>
      <c r="H28" s="414">
        <f>VLOOKUP(B28,'Data - CFR 2024-25'!$B$4:$CO$505,85,0)</f>
        <v>6662.03</v>
      </c>
      <c r="I28" s="263"/>
    </row>
    <row r="29" spans="1:9" s="220" customFormat="1" ht="13.8">
      <c r="A29" s="252" t="s">
        <v>1393</v>
      </c>
      <c r="B29" s="288">
        <v>2119</v>
      </c>
      <c r="C29" s="288" t="s">
        <v>736</v>
      </c>
      <c r="D29" s="248" t="str">
        <f t="shared" si="0"/>
        <v>Primary</v>
      </c>
      <c r="E29" s="399"/>
      <c r="F29" s="412"/>
      <c r="G29" s="413"/>
      <c r="H29" s="414">
        <f>VLOOKUP(B29,'Data - CFR 2024-25'!$B$4:$CO$505,85,0)</f>
        <v>3972.3099999999995</v>
      </c>
      <c r="I29" s="263"/>
    </row>
    <row r="30" spans="1:9" s="220" customFormat="1" ht="13.8">
      <c r="A30" s="252" t="s">
        <v>1393</v>
      </c>
      <c r="B30" s="288">
        <v>3011</v>
      </c>
      <c r="C30" s="288" t="s">
        <v>737</v>
      </c>
      <c r="D30" s="248" t="str">
        <f t="shared" si="0"/>
        <v>Primary</v>
      </c>
      <c r="E30" s="399"/>
      <c r="F30" s="412"/>
      <c r="G30" s="413"/>
      <c r="H30" s="414">
        <f>VLOOKUP(B30,'Data - CFR 2024-25'!$B$4:$CO$505,85,0)</f>
        <v>17765.64</v>
      </c>
      <c r="I30" s="263"/>
    </row>
    <row r="31" spans="1:9" s="220" customFormat="1" ht="13.8">
      <c r="A31" s="252" t="s">
        <v>1393</v>
      </c>
      <c r="B31" s="288">
        <v>2006</v>
      </c>
      <c r="C31" s="288" t="s">
        <v>738</v>
      </c>
      <c r="D31" s="248" t="str">
        <f t="shared" si="0"/>
        <v>Primary</v>
      </c>
      <c r="E31" s="399"/>
      <c r="F31" s="412"/>
      <c r="G31" s="413"/>
      <c r="H31" s="414">
        <f>VLOOKUP(B31,'Data - CFR 2024-25'!$B$4:$CO$505,85,0)</f>
        <v>29966.460000000003</v>
      </c>
      <c r="I31" s="263"/>
    </row>
    <row r="32" spans="1:9" s="220" customFormat="1" ht="13.8">
      <c r="A32" s="252" t="s">
        <v>1393</v>
      </c>
      <c r="B32" s="288">
        <v>3012</v>
      </c>
      <c r="C32" s="288" t="s">
        <v>739</v>
      </c>
      <c r="D32" s="248" t="str">
        <f t="shared" si="0"/>
        <v>Primary</v>
      </c>
      <c r="E32" s="399"/>
      <c r="F32" s="412"/>
      <c r="G32" s="413"/>
      <c r="H32" s="414">
        <f>VLOOKUP(B32,'Data - CFR 2024-25'!$B$4:$CO$505,85,0)</f>
        <v>21942.45</v>
      </c>
      <c r="I32" s="263"/>
    </row>
    <row r="33" spans="1:9" s="220" customFormat="1" ht="13.8">
      <c r="A33" s="252" t="s">
        <v>1393</v>
      </c>
      <c r="B33" s="288">
        <v>3041</v>
      </c>
      <c r="C33" s="288" t="s">
        <v>740</v>
      </c>
      <c r="D33" s="248" t="str">
        <f t="shared" si="0"/>
        <v>Primary</v>
      </c>
      <c r="E33" s="399"/>
      <c r="F33" s="412"/>
      <c r="G33" s="413"/>
      <c r="H33" s="414">
        <f>VLOOKUP(B33,'Data - CFR 2024-25'!$B$4:$CO$505,85,0)</f>
        <v>21298.45</v>
      </c>
      <c r="I33" s="263"/>
    </row>
    <row r="34" spans="1:9" s="220" customFormat="1" ht="13.8">
      <c r="A34" s="252" t="s">
        <v>1393</v>
      </c>
      <c r="B34" s="288">
        <v>2246</v>
      </c>
      <c r="C34" s="288" t="s">
        <v>741</v>
      </c>
      <c r="D34" s="248" t="str">
        <f t="shared" si="0"/>
        <v>Primary</v>
      </c>
      <c r="E34" s="399"/>
      <c r="F34" s="412"/>
      <c r="G34" s="413"/>
      <c r="H34" s="414">
        <f>VLOOKUP(B34,'Data - CFR 2024-25'!$B$4:$CO$505,85,0)</f>
        <v>19151.09</v>
      </c>
      <c r="I34" s="263"/>
    </row>
    <row r="35" spans="1:9" s="220" customFormat="1" ht="13.8">
      <c r="A35" s="252" t="s">
        <v>1393</v>
      </c>
      <c r="B35" s="288">
        <v>3308</v>
      </c>
      <c r="C35" s="288" t="s">
        <v>742</v>
      </c>
      <c r="D35" s="248" t="str">
        <f t="shared" si="0"/>
        <v>Primary</v>
      </c>
      <c r="E35" s="399"/>
      <c r="F35" s="412"/>
      <c r="G35" s="413"/>
      <c r="H35" s="414">
        <f>VLOOKUP(B35,'Data - CFR 2024-25'!$B$4:$CO$505,85,0)</f>
        <v>0</v>
      </c>
      <c r="I35" s="263"/>
    </row>
    <row r="36" spans="1:9" s="220" customFormat="1" ht="13.8">
      <c r="A36" s="252" t="s">
        <v>1393</v>
      </c>
      <c r="B36" s="288">
        <v>3368</v>
      </c>
      <c r="C36" s="288" t="s">
        <v>743</v>
      </c>
      <c r="D36" s="248" t="str">
        <f t="shared" si="0"/>
        <v>Primary</v>
      </c>
      <c r="E36" s="399"/>
      <c r="F36" s="412"/>
      <c r="G36" s="413"/>
      <c r="H36" s="414">
        <f>VLOOKUP(B36,'Data - CFR 2024-25'!$B$4:$CO$505,85,0)</f>
        <v>0</v>
      </c>
      <c r="I36" s="263"/>
    </row>
    <row r="37" spans="1:9" s="220" customFormat="1" ht="13.8">
      <c r="A37" s="252" t="s">
        <v>1393</v>
      </c>
      <c r="B37" s="288">
        <v>2444</v>
      </c>
      <c r="C37" s="288" t="s">
        <v>744</v>
      </c>
      <c r="D37" s="248" t="str">
        <f t="shared" si="0"/>
        <v>Primary</v>
      </c>
      <c r="E37" s="399"/>
      <c r="F37" s="412"/>
      <c r="G37" s="413"/>
      <c r="H37" s="414">
        <f>VLOOKUP(B37,'Data - CFR 2024-25'!$B$4:$CO$505,85,0)</f>
        <v>11776.05</v>
      </c>
      <c r="I37" s="263"/>
    </row>
    <row r="38" spans="1:9" s="220" customFormat="1" ht="13.8">
      <c r="A38" s="252" t="s">
        <v>1393</v>
      </c>
      <c r="B38" s="288">
        <v>3074</v>
      </c>
      <c r="C38" s="288" t="s">
        <v>745</v>
      </c>
      <c r="D38" s="248" t="str">
        <f t="shared" si="0"/>
        <v>Primary</v>
      </c>
      <c r="E38" s="399"/>
      <c r="F38" s="412"/>
      <c r="G38" s="413"/>
      <c r="H38" s="414">
        <f>VLOOKUP(B38,'Data - CFR 2024-25'!$B$4:$CO$505,85,0)</f>
        <v>8770.1</v>
      </c>
      <c r="I38" s="263"/>
    </row>
    <row r="39" spans="1:9" s="220" customFormat="1" ht="13.8">
      <c r="A39" s="252" t="s">
        <v>1393</v>
      </c>
      <c r="B39" s="288">
        <v>2336</v>
      </c>
      <c r="C39" s="288" t="s">
        <v>1378</v>
      </c>
      <c r="D39" s="248" t="str">
        <f t="shared" si="0"/>
        <v>Primary</v>
      </c>
      <c r="E39" s="399"/>
      <c r="F39" s="412"/>
      <c r="G39" s="413"/>
      <c r="H39" s="414">
        <f>VLOOKUP(B39,'Data - CFR 2024-25'!$B$4:$CO$505,85,0)</f>
        <v>543.67000000000007</v>
      </c>
      <c r="I39" s="263"/>
    </row>
    <row r="40" spans="1:9" s="220" customFormat="1" ht="13.8">
      <c r="A40" s="252" t="s">
        <v>1393</v>
      </c>
      <c r="B40" s="288">
        <v>2010</v>
      </c>
      <c r="C40" s="288" t="s">
        <v>746</v>
      </c>
      <c r="D40" s="248" t="str">
        <f t="shared" si="0"/>
        <v>Primary</v>
      </c>
      <c r="E40" s="399"/>
      <c r="F40" s="412"/>
      <c r="G40" s="413"/>
      <c r="H40" s="414">
        <f>VLOOKUP(B40,'Data - CFR 2024-25'!$B$4:$CO$505,85,0)</f>
        <v>7786.02</v>
      </c>
      <c r="I40" s="263"/>
    </row>
    <row r="41" spans="1:9" s="220" customFormat="1" ht="13.8">
      <c r="A41" s="252" t="s">
        <v>1393</v>
      </c>
      <c r="B41" s="288">
        <v>2208</v>
      </c>
      <c r="C41" s="288" t="s">
        <v>747</v>
      </c>
      <c r="D41" s="248" t="str">
        <f t="shared" si="0"/>
        <v>Primary</v>
      </c>
      <c r="E41" s="399"/>
      <c r="F41" s="412"/>
      <c r="G41" s="413"/>
      <c r="H41" s="414">
        <f>VLOOKUP(B41,'Data - CFR 2024-25'!$B$4:$CO$505,85,0)</f>
        <v>14410.32</v>
      </c>
      <c r="I41" s="263"/>
    </row>
    <row r="42" spans="1:9" s="220" customFormat="1" ht="13.8">
      <c r="A42" s="252" t="s">
        <v>1393</v>
      </c>
      <c r="B42" s="288">
        <v>3065</v>
      </c>
      <c r="C42" s="288" t="s">
        <v>748</v>
      </c>
      <c r="D42" s="248" t="str">
        <f t="shared" si="0"/>
        <v>Primary</v>
      </c>
      <c r="E42" s="399"/>
      <c r="F42" s="412"/>
      <c r="G42" s="413"/>
      <c r="H42" s="414">
        <f>VLOOKUP(B42,'Data - CFR 2024-25'!$B$4:$CO$505,85,0)</f>
        <v>4.0023540037736893E-13</v>
      </c>
      <c r="I42" s="263"/>
    </row>
    <row r="43" spans="1:9" s="220" customFormat="1" ht="13.8">
      <c r="A43" s="252" t="s">
        <v>1393</v>
      </c>
      <c r="B43" s="288">
        <v>3014</v>
      </c>
      <c r="C43" s="288" t="s">
        <v>749</v>
      </c>
      <c r="D43" s="248" t="str">
        <f t="shared" si="0"/>
        <v>Primary</v>
      </c>
      <c r="E43" s="399"/>
      <c r="F43" s="412"/>
      <c r="G43" s="413"/>
      <c r="H43" s="414">
        <f>VLOOKUP(B43,'Data - CFR 2024-25'!$B$4:$CO$505,85,0)</f>
        <v>12380.679999999998</v>
      </c>
      <c r="I43" s="263"/>
    </row>
    <row r="44" spans="1:9" s="220" customFormat="1" ht="13.8">
      <c r="A44" s="252" t="s">
        <v>1393</v>
      </c>
      <c r="B44" s="288">
        <v>2321</v>
      </c>
      <c r="C44" s="288" t="s">
        <v>750</v>
      </c>
      <c r="D44" s="248" t="str">
        <f t="shared" si="0"/>
        <v>Primary</v>
      </c>
      <c r="E44" s="399"/>
      <c r="F44" s="412"/>
      <c r="G44" s="413"/>
      <c r="H44" s="414">
        <f>VLOOKUP(B44,'Data - CFR 2024-25'!$B$4:$CO$505,85,0)</f>
        <v>3957.4599999999991</v>
      </c>
      <c r="I44" s="263"/>
    </row>
    <row r="45" spans="1:9" s="220" customFormat="1" ht="13.8">
      <c r="A45" s="252" t="s">
        <v>1393</v>
      </c>
      <c r="B45" s="288">
        <v>2011</v>
      </c>
      <c r="C45" s="288" t="s">
        <v>751</v>
      </c>
      <c r="D45" s="248" t="str">
        <f t="shared" si="0"/>
        <v>Primary</v>
      </c>
      <c r="E45" s="399"/>
      <c r="F45" s="412"/>
      <c r="G45" s="413"/>
      <c r="H45" s="414">
        <f>VLOOKUP(B45,'Data - CFR 2024-25'!$B$4:$CO$505,85,0)</f>
        <v>6126.97</v>
      </c>
      <c r="I45" s="263"/>
    </row>
    <row r="46" spans="1:9" s="220" customFormat="1" ht="13.8">
      <c r="A46" s="252" t="s">
        <v>1393</v>
      </c>
      <c r="B46" s="288">
        <v>2012</v>
      </c>
      <c r="C46" s="288" t="s">
        <v>752</v>
      </c>
      <c r="D46" s="248" t="str">
        <f t="shared" si="0"/>
        <v>Primary</v>
      </c>
      <c r="E46" s="399"/>
      <c r="F46" s="412"/>
      <c r="G46" s="413"/>
      <c r="H46" s="414">
        <f>VLOOKUP(B46,'Data - CFR 2024-25'!$B$4:$CO$505,85,0)</f>
        <v>17845.690000000002</v>
      </c>
      <c r="I46" s="263"/>
    </row>
    <row r="47" spans="1:9" s="220" customFormat="1" ht="13.8">
      <c r="A47" s="252" t="s">
        <v>1393</v>
      </c>
      <c r="B47" s="288">
        <v>2068</v>
      </c>
      <c r="C47" s="288" t="s">
        <v>753</v>
      </c>
      <c r="D47" s="248" t="str">
        <f t="shared" si="0"/>
        <v>Primary</v>
      </c>
      <c r="E47" s="399"/>
      <c r="F47" s="412"/>
      <c r="G47" s="413"/>
      <c r="H47" s="414">
        <f>VLOOKUP(B47,'Data - CFR 2024-25'!$B$4:$CO$505,85,0)</f>
        <v>2632.1000000000022</v>
      </c>
      <c r="I47" s="263"/>
    </row>
    <row r="48" spans="1:9" s="220" customFormat="1" ht="13.8">
      <c r="A48" s="252" t="s">
        <v>1393</v>
      </c>
      <c r="B48" s="288">
        <v>2328</v>
      </c>
      <c r="C48" s="288" t="s">
        <v>754</v>
      </c>
      <c r="D48" s="248" t="str">
        <f t="shared" si="0"/>
        <v>Primary</v>
      </c>
      <c r="E48" s="399"/>
      <c r="F48" s="412"/>
      <c r="G48" s="413"/>
      <c r="H48" s="414">
        <f>VLOOKUP(B48,'Data - CFR 2024-25'!$B$4:$CO$505,85,0)</f>
        <v>14091.759999999998</v>
      </c>
      <c r="I48" s="263"/>
    </row>
    <row r="49" spans="1:9" s="220" customFormat="1" ht="13.8">
      <c r="A49" s="252" t="s">
        <v>1393</v>
      </c>
      <c r="B49" s="288">
        <v>7025</v>
      </c>
      <c r="C49" s="288" t="s">
        <v>755</v>
      </c>
      <c r="D49" s="248" t="str">
        <f t="shared" si="0"/>
        <v>Special</v>
      </c>
      <c r="E49" s="399"/>
      <c r="F49" s="412"/>
      <c r="G49" s="413"/>
      <c r="H49" s="414">
        <f>VLOOKUP(B49,'Data - CFR 2024-25'!$B$4:$CO$505,85,0)</f>
        <v>1448.6299999999992</v>
      </c>
      <c r="I49" s="263"/>
    </row>
    <row r="50" spans="1:9" s="220" customFormat="1" ht="13.8">
      <c r="A50" s="252" t="s">
        <v>1393</v>
      </c>
      <c r="B50" s="288">
        <v>2016</v>
      </c>
      <c r="C50" s="288" t="s">
        <v>756</v>
      </c>
      <c r="D50" s="248" t="str">
        <f t="shared" si="0"/>
        <v>Primary</v>
      </c>
      <c r="E50" s="399"/>
      <c r="F50" s="412"/>
      <c r="G50" s="413"/>
      <c r="H50" s="414">
        <f>VLOOKUP(B50,'Data - CFR 2024-25'!$B$4:$CO$505,85,0)</f>
        <v>21275.850000000002</v>
      </c>
      <c r="I50" s="263"/>
    </row>
    <row r="51" spans="1:9" s="220" customFormat="1" ht="13.8">
      <c r="A51" s="252" t="s">
        <v>1393</v>
      </c>
      <c r="B51" s="288">
        <v>3310</v>
      </c>
      <c r="C51" s="288" t="s">
        <v>757</v>
      </c>
      <c r="D51" s="248" t="str">
        <f t="shared" si="0"/>
        <v>Primary</v>
      </c>
      <c r="E51" s="399"/>
      <c r="F51" s="412"/>
      <c r="G51" s="413"/>
      <c r="H51" s="414">
        <f>VLOOKUP(B51,'Data - CFR 2024-25'!$B$4:$CO$505,85,0)</f>
        <v>0</v>
      </c>
      <c r="I51" s="263"/>
    </row>
    <row r="52" spans="1:9" s="220" customFormat="1" ht="13.8">
      <c r="A52" s="252" t="s">
        <v>1393</v>
      </c>
      <c r="B52" s="288">
        <v>3068</v>
      </c>
      <c r="C52" s="288" t="s">
        <v>758</v>
      </c>
      <c r="D52" s="248" t="str">
        <f t="shared" si="0"/>
        <v>Primary</v>
      </c>
      <c r="E52" s="399"/>
      <c r="F52" s="412"/>
      <c r="G52" s="413"/>
      <c r="H52" s="414">
        <f>VLOOKUP(B52,'Data - CFR 2024-25'!$B$4:$CO$505,85,0)</f>
        <v>5226.25</v>
      </c>
      <c r="I52" s="263"/>
    </row>
    <row r="53" spans="1:9" s="220" customFormat="1" ht="13.8">
      <c r="A53" s="252" t="s">
        <v>1393</v>
      </c>
      <c r="B53" s="288">
        <v>2315</v>
      </c>
      <c r="C53" s="288" t="s">
        <v>759</v>
      </c>
      <c r="D53" s="248" t="str">
        <f t="shared" si="0"/>
        <v>Primary</v>
      </c>
      <c r="E53" s="399"/>
      <c r="F53" s="412"/>
      <c r="G53" s="413"/>
      <c r="H53" s="414">
        <f>VLOOKUP(B53,'Data - CFR 2024-25'!$B$4:$CO$505,85,0)</f>
        <v>17096.100000000006</v>
      </c>
      <c r="I53" s="263"/>
    </row>
    <row r="54" spans="1:9" s="220" customFormat="1" ht="13.8">
      <c r="A54" s="252" t="s">
        <v>1393</v>
      </c>
      <c r="B54" s="288">
        <v>2018</v>
      </c>
      <c r="C54" s="288" t="s">
        <v>760</v>
      </c>
      <c r="D54" s="248" t="str">
        <f t="shared" si="0"/>
        <v>Primary</v>
      </c>
      <c r="E54" s="399"/>
      <c r="F54" s="412"/>
      <c r="G54" s="413"/>
      <c r="H54" s="414">
        <f>VLOOKUP(B54,'Data - CFR 2024-25'!$B$4:$CO$505,85,0)</f>
        <v>0</v>
      </c>
      <c r="I54" s="263"/>
    </row>
    <row r="55" spans="1:9" s="220" customFormat="1" ht="13.8">
      <c r="A55" s="252" t="s">
        <v>1393</v>
      </c>
      <c r="B55" s="288">
        <v>3035</v>
      </c>
      <c r="C55" s="288" t="s">
        <v>761</v>
      </c>
      <c r="D55" s="248" t="str">
        <f t="shared" si="0"/>
        <v>Primary</v>
      </c>
      <c r="E55" s="399"/>
      <c r="F55" s="412"/>
      <c r="G55" s="413"/>
      <c r="H55" s="414">
        <f>VLOOKUP(B55,'Data - CFR 2024-25'!$B$4:$CO$505,85,0)</f>
        <v>2676.84</v>
      </c>
      <c r="I55" s="263"/>
    </row>
    <row r="56" spans="1:9" s="220" customFormat="1" ht="13.8">
      <c r="A56" s="252" t="s">
        <v>1393</v>
      </c>
      <c r="B56" s="288">
        <v>2205</v>
      </c>
      <c r="C56" s="288" t="s">
        <v>762</v>
      </c>
      <c r="D56" s="248" t="str">
        <f t="shared" si="0"/>
        <v>Primary</v>
      </c>
      <c r="E56" s="399"/>
      <c r="F56" s="412"/>
      <c r="G56" s="413"/>
      <c r="H56" s="414">
        <f>VLOOKUP(B56,'Data - CFR 2024-25'!$B$4:$CO$505,85,0)</f>
        <v>23981.940000000002</v>
      </c>
      <c r="I56" s="263"/>
    </row>
    <row r="57" spans="1:9" s="220" customFormat="1" ht="13.8">
      <c r="A57" s="252" t="s">
        <v>1393</v>
      </c>
      <c r="B57" s="288">
        <v>2211</v>
      </c>
      <c r="C57" s="288" t="s">
        <v>763</v>
      </c>
      <c r="D57" s="248" t="str">
        <f t="shared" si="0"/>
        <v>Primary</v>
      </c>
      <c r="E57" s="399"/>
      <c r="F57" s="412"/>
      <c r="G57" s="413"/>
      <c r="H57" s="414">
        <f>VLOOKUP(B57,'Data - CFR 2024-25'!$B$4:$CO$505,85,0)</f>
        <v>1259.6600000000017</v>
      </c>
      <c r="I57" s="263"/>
    </row>
    <row r="58" spans="1:9" s="220" customFormat="1" ht="13.8">
      <c r="A58" s="252" t="s">
        <v>1393</v>
      </c>
      <c r="B58" s="288">
        <v>1003</v>
      </c>
      <c r="C58" s="288" t="s">
        <v>764</v>
      </c>
      <c r="D58" s="248" t="str">
        <f t="shared" si="0"/>
        <v>Nursery</v>
      </c>
      <c r="E58" s="399"/>
      <c r="F58" s="412"/>
      <c r="G58" s="413"/>
      <c r="H58" s="414">
        <f>VLOOKUP(B58,'Data - CFR 2024-25'!$B$4:$CO$505,85,0)</f>
        <v>27353.35</v>
      </c>
      <c r="I58" s="263"/>
    </row>
    <row r="59" spans="1:9" s="220" customFormat="1" ht="13.8">
      <c r="A59" s="252" t="s">
        <v>1393</v>
      </c>
      <c r="B59" s="288">
        <v>3071</v>
      </c>
      <c r="C59" s="288" t="s">
        <v>765</v>
      </c>
      <c r="D59" s="248" t="str">
        <f t="shared" si="0"/>
        <v>Primary</v>
      </c>
      <c r="E59" s="399"/>
      <c r="F59" s="412"/>
      <c r="G59" s="413"/>
      <c r="H59" s="414">
        <f>VLOOKUP(B59,'Data - CFR 2024-25'!$B$4:$CO$505,85,0)</f>
        <v>97.139999999999631</v>
      </c>
      <c r="I59" s="263"/>
    </row>
    <row r="60" spans="1:9" s="220" customFormat="1" ht="13.8">
      <c r="A60" s="252" t="s">
        <v>1393</v>
      </c>
      <c r="B60" s="288">
        <v>1002</v>
      </c>
      <c r="C60" s="288" t="s">
        <v>766</v>
      </c>
      <c r="D60" s="248" t="str">
        <f t="shared" si="0"/>
        <v>Nursery</v>
      </c>
      <c r="E60" s="399"/>
      <c r="F60" s="412"/>
      <c r="G60" s="413"/>
      <c r="H60" s="414">
        <f>VLOOKUP(B60,'Data - CFR 2024-25'!$B$4:$CO$505,85,0)</f>
        <v>11799.53</v>
      </c>
      <c r="I60" s="263"/>
    </row>
    <row r="61" spans="1:9" s="220" customFormat="1" ht="13.8">
      <c r="A61" s="252" t="s">
        <v>1393</v>
      </c>
      <c r="B61" s="288">
        <v>2212</v>
      </c>
      <c r="C61" s="288" t="s">
        <v>767</v>
      </c>
      <c r="D61" s="248" t="str">
        <f t="shared" si="0"/>
        <v>Primary</v>
      </c>
      <c r="E61" s="399"/>
      <c r="F61" s="412"/>
      <c r="G61" s="413"/>
      <c r="H61" s="414">
        <f>VLOOKUP(B61,'Data - CFR 2024-25'!$B$4:$CO$505,85,0)</f>
        <v>10544.810000000001</v>
      </c>
      <c r="I61" s="263"/>
    </row>
    <row r="62" spans="1:9" s="220" customFormat="1" ht="13.8">
      <c r="A62" s="252" t="s">
        <v>1393</v>
      </c>
      <c r="B62" s="288">
        <v>1007</v>
      </c>
      <c r="C62" s="288" t="s">
        <v>768</v>
      </c>
      <c r="D62" s="248" t="str">
        <f t="shared" si="0"/>
        <v>Nursery</v>
      </c>
      <c r="E62" s="399"/>
      <c r="F62" s="412"/>
      <c r="G62" s="413"/>
      <c r="H62" s="414">
        <f>VLOOKUP(B62,'Data - CFR 2024-25'!$B$4:$CO$505,85,0)</f>
        <v>28519.11</v>
      </c>
      <c r="I62" s="263"/>
    </row>
    <row r="63" spans="1:9" ht="13.8">
      <c r="A63" s="252" t="s">
        <v>1393</v>
      </c>
      <c r="B63" s="288">
        <v>3945</v>
      </c>
      <c r="C63" s="288" t="s">
        <v>769</v>
      </c>
      <c r="D63" s="248" t="str">
        <f t="shared" si="0"/>
        <v>Primary</v>
      </c>
      <c r="E63" s="403"/>
      <c r="F63" s="297"/>
      <c r="G63" s="247"/>
      <c r="H63" s="414">
        <f>VLOOKUP(B63,'Data - CFR 2024-25'!$B$4:$CO$505,85,0)</f>
        <v>0</v>
      </c>
    </row>
    <row r="64" spans="1:9" ht="13.8">
      <c r="A64" s="252" t="s">
        <v>1393</v>
      </c>
      <c r="B64" s="288">
        <v>3022</v>
      </c>
      <c r="C64" s="288" t="s">
        <v>770</v>
      </c>
      <c r="D64" s="248" t="str">
        <f t="shared" si="0"/>
        <v>Primary</v>
      </c>
      <c r="E64" s="403"/>
      <c r="F64" s="415"/>
      <c r="G64" s="247"/>
      <c r="H64" s="414">
        <f>VLOOKUP(B64,'Data - CFR 2024-25'!$B$4:$CO$505,85,0)</f>
        <v>8879.7000000000007</v>
      </c>
    </row>
    <row r="65" spans="1:8" ht="13.8">
      <c r="A65" s="252" t="s">
        <v>1393</v>
      </c>
      <c r="B65" s="288">
        <v>2442</v>
      </c>
      <c r="C65" s="288" t="s">
        <v>771</v>
      </c>
      <c r="D65" s="248" t="str">
        <f t="shared" si="0"/>
        <v>Primary</v>
      </c>
      <c r="E65" s="403"/>
      <c r="F65" s="415"/>
      <c r="G65" s="247"/>
      <c r="H65" s="414">
        <f>VLOOKUP(B65,'Data - CFR 2024-25'!$B$4:$CO$505,85,0)</f>
        <v>0</v>
      </c>
    </row>
    <row r="66" spans="1:8" ht="13.8">
      <c r="A66" s="252" t="s">
        <v>1393</v>
      </c>
      <c r="B66" s="288">
        <v>2331</v>
      </c>
      <c r="C66" s="288" t="s">
        <v>772</v>
      </c>
      <c r="D66" s="248" t="str">
        <f t="shared" si="0"/>
        <v>Primary</v>
      </c>
      <c r="E66" s="403"/>
      <c r="F66" s="415"/>
      <c r="G66" s="247"/>
      <c r="H66" s="414">
        <f>VLOOKUP(B66,'Data - CFR 2024-25'!$B$4:$CO$505,85,0)</f>
        <v>971.14999999999964</v>
      </c>
    </row>
    <row r="67" spans="1:8" ht="13.8">
      <c r="A67" s="252" t="s">
        <v>1393</v>
      </c>
      <c r="B67" s="288">
        <v>1000</v>
      </c>
      <c r="C67" s="288" t="s">
        <v>1379</v>
      </c>
      <c r="D67" s="248" t="str">
        <f t="shared" si="0"/>
        <v>Nursery</v>
      </c>
      <c r="E67" s="403"/>
      <c r="F67" s="415"/>
      <c r="G67" s="247"/>
      <c r="H67" s="414">
        <f>VLOOKUP(B67,'Data - CFR 2024-25'!$B$4:$CO$505,85,0)</f>
        <v>4513.09</v>
      </c>
    </row>
    <row r="68" spans="1:8" ht="13.8">
      <c r="A68" s="252" t="s">
        <v>1393</v>
      </c>
      <c r="B68" s="288">
        <v>2446</v>
      </c>
      <c r="C68" s="288" t="s">
        <v>1380</v>
      </c>
      <c r="D68" s="248" t="str">
        <f t="shared" ref="D68:D124" si="1">IF(LEFT(B68,1)="1","Nursery",IF(LEFT(B68,1)="2","Primary",IF(LEFT(B68,1)="3","Primary",IF(LEFT(B68,1)="7","Special","NA"))))</f>
        <v>Primary</v>
      </c>
      <c r="E68" s="403"/>
      <c r="F68" s="415"/>
      <c r="G68" s="247"/>
      <c r="H68" s="414">
        <f>VLOOKUP(B68,'Data - CFR 2024-25'!$B$4:$CO$505,85,0)</f>
        <v>7675.8200000000006</v>
      </c>
    </row>
    <row r="69" spans="1:8" ht="13.8">
      <c r="A69" s="252" t="s">
        <v>1393</v>
      </c>
      <c r="B69" s="288">
        <v>3317</v>
      </c>
      <c r="C69" s="288" t="s">
        <v>773</v>
      </c>
      <c r="D69" s="248" t="str">
        <f t="shared" si="1"/>
        <v>Primary</v>
      </c>
      <c r="E69" s="403"/>
      <c r="F69" s="415"/>
      <c r="G69" s="247"/>
      <c r="H69" s="414">
        <f>VLOOKUP(B69,'Data - CFR 2024-25'!$B$4:$CO$505,85,0)</f>
        <v>0</v>
      </c>
    </row>
    <row r="70" spans="1:8" ht="13.8">
      <c r="A70" s="252" t="s">
        <v>1393</v>
      </c>
      <c r="B70" s="290">
        <v>2066</v>
      </c>
      <c r="C70" s="290" t="s">
        <v>774</v>
      </c>
      <c r="D70" s="248" t="str">
        <f t="shared" si="1"/>
        <v>Primary</v>
      </c>
      <c r="E70" s="403"/>
      <c r="F70" s="415"/>
      <c r="G70" s="247"/>
      <c r="H70" s="414">
        <f>VLOOKUP(B70,'Data - CFR 2024-25'!$B$4:$CO$505,85,0)</f>
        <v>34654.039999999994</v>
      </c>
    </row>
    <row r="71" spans="1:8" ht="13.8">
      <c r="A71" s="252" t="s">
        <v>1393</v>
      </c>
      <c r="B71" s="288">
        <v>2293</v>
      </c>
      <c r="C71" s="288" t="s">
        <v>775</v>
      </c>
      <c r="D71" s="248" t="str">
        <f t="shared" si="1"/>
        <v>Primary</v>
      </c>
      <c r="E71" s="403"/>
      <c r="F71" s="415"/>
      <c r="G71" s="247"/>
      <c r="H71" s="414">
        <f>VLOOKUP(B71,'Data - CFR 2024-25'!$B$4:$CO$505,85,0)</f>
        <v>27319.03</v>
      </c>
    </row>
    <row r="72" spans="1:8" ht="13.8">
      <c r="A72" s="252" t="s">
        <v>1393</v>
      </c>
      <c r="B72" s="288">
        <v>2074</v>
      </c>
      <c r="C72" s="288" t="s">
        <v>776</v>
      </c>
      <c r="D72" s="248" t="str">
        <f t="shared" si="1"/>
        <v>Primary</v>
      </c>
      <c r="E72" s="403"/>
      <c r="F72" s="415"/>
      <c r="G72" s="247"/>
      <c r="H72" s="414">
        <f>VLOOKUP(B72,'Data - CFR 2024-25'!$B$4:$CO$505,85,0)</f>
        <v>9111.6099999999988</v>
      </c>
    </row>
    <row r="73" spans="1:8" ht="13.8">
      <c r="A73" s="252" t="s">
        <v>1393</v>
      </c>
      <c r="B73" s="288">
        <v>2075</v>
      </c>
      <c r="C73" s="288" t="s">
        <v>777</v>
      </c>
      <c r="D73" s="248" t="str">
        <f t="shared" si="1"/>
        <v>Primary</v>
      </c>
      <c r="E73" s="403"/>
      <c r="F73" s="415"/>
      <c r="G73" s="247"/>
      <c r="H73" s="414">
        <f>VLOOKUP(B73,'Data - CFR 2024-25'!$B$4:$CO$505,85,0)</f>
        <v>12277.89</v>
      </c>
    </row>
    <row r="74" spans="1:8" ht="13.8">
      <c r="A74" s="252" t="s">
        <v>1393</v>
      </c>
      <c r="B74" s="288">
        <v>2121</v>
      </c>
      <c r="C74" s="288" t="s">
        <v>778</v>
      </c>
      <c r="D74" s="248" t="str">
        <f t="shared" si="1"/>
        <v>Primary</v>
      </c>
      <c r="E74" s="403"/>
      <c r="F74" s="415"/>
      <c r="G74" s="247"/>
      <c r="H74" s="414">
        <f>VLOOKUP(B74,'Data - CFR 2024-25'!$B$4:$CO$505,85,0)</f>
        <v>8673.32</v>
      </c>
    </row>
    <row r="75" spans="1:8" ht="13.8">
      <c r="A75" s="252" t="s">
        <v>1393</v>
      </c>
      <c r="B75" s="288">
        <v>2028</v>
      </c>
      <c r="C75" s="288" t="s">
        <v>779</v>
      </c>
      <c r="D75" s="248" t="str">
        <f t="shared" si="1"/>
        <v>Primary</v>
      </c>
      <c r="E75" s="403"/>
      <c r="F75" s="415"/>
      <c r="G75" s="247"/>
      <c r="H75" s="414">
        <f>VLOOKUP(B75,'Data - CFR 2024-25'!$B$4:$CO$505,85,0)</f>
        <v>610.29999999999995</v>
      </c>
    </row>
    <row r="76" spans="1:8" ht="13.8">
      <c r="A76" s="252" t="s">
        <v>1393</v>
      </c>
      <c r="B76" s="288">
        <v>2029</v>
      </c>
      <c r="C76" s="288" t="s">
        <v>780</v>
      </c>
      <c r="D76" s="248" t="str">
        <f t="shared" si="1"/>
        <v>Primary</v>
      </c>
      <c r="E76" s="403"/>
      <c r="F76" s="415"/>
      <c r="G76" s="247"/>
      <c r="H76" s="414">
        <f>VLOOKUP(B76,'Data - CFR 2024-25'!$B$4:$CO$505,85,0)</f>
        <v>0</v>
      </c>
    </row>
    <row r="77" spans="1:8" ht="13.8">
      <c r="A77" s="252" t="s">
        <v>1393</v>
      </c>
      <c r="B77" s="288">
        <v>2059</v>
      </c>
      <c r="C77" s="288" t="s">
        <v>781</v>
      </c>
      <c r="D77" s="248" t="str">
        <f t="shared" si="1"/>
        <v>Primary</v>
      </c>
      <c r="E77" s="403"/>
      <c r="F77" s="415"/>
      <c r="G77" s="247"/>
      <c r="H77" s="414">
        <f>VLOOKUP(B77,'Data - CFR 2024-25'!$B$4:$CO$505,85,0)</f>
        <v>13765.59</v>
      </c>
    </row>
    <row r="78" spans="1:8" ht="13.8">
      <c r="A78" s="252" t="s">
        <v>1393</v>
      </c>
      <c r="B78" s="288">
        <v>3386</v>
      </c>
      <c r="C78" s="288" t="s">
        <v>782</v>
      </c>
      <c r="D78" s="248" t="str">
        <f t="shared" si="1"/>
        <v>Primary</v>
      </c>
      <c r="E78" s="403"/>
      <c r="F78" s="415"/>
      <c r="G78" s="247"/>
      <c r="H78" s="414">
        <f>VLOOKUP(B78,'Data - CFR 2024-25'!$B$4:$CO$505,85,0)</f>
        <v>5048.5200000000004</v>
      </c>
    </row>
    <row r="79" spans="1:8" ht="13.8">
      <c r="A79" s="252" t="s">
        <v>1393</v>
      </c>
      <c r="B79" s="288">
        <v>2449</v>
      </c>
      <c r="C79" s="288" t="s">
        <v>783</v>
      </c>
      <c r="D79" s="248" t="str">
        <f t="shared" si="1"/>
        <v>Primary</v>
      </c>
      <c r="E79" s="403"/>
      <c r="F79" s="415"/>
      <c r="G79" s="247"/>
      <c r="H79" s="414">
        <f>VLOOKUP(B79,'Data - CFR 2024-25'!$B$4:$CO$505,85,0)</f>
        <v>18024</v>
      </c>
    </row>
    <row r="80" spans="1:8" ht="13.8">
      <c r="A80" s="252" t="s">
        <v>1393</v>
      </c>
      <c r="B80" s="288">
        <v>2107</v>
      </c>
      <c r="C80" s="288" t="s">
        <v>784</v>
      </c>
      <c r="D80" s="248" t="str">
        <f t="shared" si="1"/>
        <v>Primary</v>
      </c>
      <c r="E80" s="403"/>
      <c r="F80" s="415"/>
      <c r="G80" s="247"/>
      <c r="H80" s="414">
        <f>VLOOKUP(B80,'Data - CFR 2024-25'!$B$4:$CO$505,85,0)</f>
        <v>26342.159999999996</v>
      </c>
    </row>
    <row r="81" spans="1:8" ht="13.8">
      <c r="A81" s="252" t="s">
        <v>1393</v>
      </c>
      <c r="B81" s="288">
        <v>2109</v>
      </c>
      <c r="C81" s="288" t="s">
        <v>785</v>
      </c>
      <c r="D81" s="248" t="str">
        <f t="shared" si="1"/>
        <v>Primary</v>
      </c>
      <c r="E81" s="403"/>
      <c r="F81" s="415"/>
      <c r="G81" s="247"/>
      <c r="H81" s="414">
        <f>VLOOKUP(B81,'Data - CFR 2024-25'!$B$4:$CO$505,85,0)</f>
        <v>1575.4700000000003</v>
      </c>
    </row>
    <row r="82" spans="1:8" ht="13.8">
      <c r="A82" s="252" t="s">
        <v>1393</v>
      </c>
      <c r="B82" s="288">
        <v>3390</v>
      </c>
      <c r="C82" s="288" t="s">
        <v>786</v>
      </c>
      <c r="D82" s="248" t="str">
        <f t="shared" si="1"/>
        <v>Primary</v>
      </c>
      <c r="E82" s="403"/>
      <c r="F82" s="415"/>
      <c r="G82" s="247"/>
      <c r="H82" s="414">
        <f>VLOOKUP(B82,'Data - CFR 2024-25'!$B$4:$CO$505,85,0)</f>
        <v>10368.08</v>
      </c>
    </row>
    <row r="83" spans="1:8" ht="13.8">
      <c r="A83" s="252" t="s">
        <v>1393</v>
      </c>
      <c r="B83" s="290">
        <v>2031</v>
      </c>
      <c r="C83" s="290" t="s">
        <v>787</v>
      </c>
      <c r="D83" s="248" t="str">
        <f t="shared" si="1"/>
        <v>Primary</v>
      </c>
      <c r="E83" s="403"/>
      <c r="F83" s="415"/>
      <c r="G83" s="247"/>
      <c r="H83" s="414">
        <f>VLOOKUP(B83,'Data - CFR 2024-25'!$B$4:$CO$505,85,0)</f>
        <v>13435.18</v>
      </c>
    </row>
    <row r="84" spans="1:8" ht="13.8">
      <c r="A84" s="252" t="s">
        <v>1393</v>
      </c>
      <c r="B84" s="288">
        <v>3350</v>
      </c>
      <c r="C84" s="288" t="s">
        <v>788</v>
      </c>
      <c r="D84" s="248" t="str">
        <f t="shared" si="1"/>
        <v>Primary</v>
      </c>
      <c r="E84" s="403"/>
      <c r="F84" s="415"/>
      <c r="G84" s="247"/>
      <c r="H84" s="414">
        <f>VLOOKUP(B84,'Data - CFR 2024-25'!$B$4:$CO$505,85,0)</f>
        <v>0</v>
      </c>
    </row>
    <row r="85" spans="1:8" ht="13.8">
      <c r="A85" s="252" t="s">
        <v>1393</v>
      </c>
      <c r="B85" s="288">
        <v>2033</v>
      </c>
      <c r="C85" s="288" t="s">
        <v>789</v>
      </c>
      <c r="D85" s="248" t="str">
        <f t="shared" si="1"/>
        <v>Primary</v>
      </c>
      <c r="E85" s="403"/>
      <c r="F85" s="415"/>
      <c r="G85" s="247"/>
      <c r="H85" s="414">
        <f>VLOOKUP(B85,'Data - CFR 2024-25'!$B$4:$CO$505,85,0)</f>
        <v>19784.160000000003</v>
      </c>
    </row>
    <row r="86" spans="1:8" ht="13.8">
      <c r="A86" s="252" t="s">
        <v>1393</v>
      </c>
      <c r="B86" s="288">
        <v>3331</v>
      </c>
      <c r="C86" s="288" t="s">
        <v>790</v>
      </c>
      <c r="D86" s="248" t="str">
        <f t="shared" si="1"/>
        <v>Primary</v>
      </c>
      <c r="E86" s="403"/>
      <c r="F86" s="415"/>
      <c r="G86" s="247"/>
      <c r="H86" s="414">
        <f>VLOOKUP(B86,'Data - CFR 2024-25'!$B$4:$CO$505,85,0)</f>
        <v>0</v>
      </c>
    </row>
    <row r="87" spans="1:8" ht="13.8">
      <c r="A87" s="252" t="s">
        <v>1393</v>
      </c>
      <c r="B87" s="288">
        <v>2239</v>
      </c>
      <c r="C87" s="288" t="s">
        <v>791</v>
      </c>
      <c r="D87" s="248" t="str">
        <f t="shared" si="1"/>
        <v>Primary</v>
      </c>
      <c r="E87" s="403"/>
      <c r="F87" s="415"/>
      <c r="G87" s="247"/>
      <c r="H87" s="414">
        <f>VLOOKUP(B87,'Data - CFR 2024-25'!$B$4:$CO$505,85,0)</f>
        <v>18516.259999999998</v>
      </c>
    </row>
    <row r="88" spans="1:8" ht="13.8">
      <c r="A88" s="252" t="s">
        <v>1393</v>
      </c>
      <c r="B88" s="288">
        <v>2219</v>
      </c>
      <c r="C88" s="288" t="s">
        <v>792</v>
      </c>
      <c r="D88" s="248" t="str">
        <f t="shared" si="1"/>
        <v>Primary</v>
      </c>
      <c r="E88" s="403"/>
      <c r="F88" s="415"/>
      <c r="G88" s="247"/>
      <c r="H88" s="414">
        <f>VLOOKUP(B88,'Data - CFR 2024-25'!$B$4:$CO$505,85,0)</f>
        <v>0</v>
      </c>
    </row>
    <row r="89" spans="1:8" ht="13.8">
      <c r="A89" s="252" t="s">
        <v>1393</v>
      </c>
      <c r="B89" s="288">
        <v>2333</v>
      </c>
      <c r="C89" s="288" t="s">
        <v>793</v>
      </c>
      <c r="D89" s="248" t="str">
        <f t="shared" si="1"/>
        <v>Primary</v>
      </c>
      <c r="E89" s="403"/>
      <c r="F89" s="415"/>
      <c r="G89" s="247"/>
      <c r="H89" s="414">
        <f>VLOOKUP(B89,'Data - CFR 2024-25'!$B$4:$CO$505,85,0)</f>
        <v>32962.479999999996</v>
      </c>
    </row>
    <row r="90" spans="1:8" ht="13.8">
      <c r="A90" s="252" t="s">
        <v>1393</v>
      </c>
      <c r="B90" s="288">
        <v>3946</v>
      </c>
      <c r="C90" s="288" t="s">
        <v>794</v>
      </c>
      <c r="D90" s="248" t="str">
        <f t="shared" si="1"/>
        <v>Primary</v>
      </c>
      <c r="E90" s="403"/>
      <c r="F90" s="415"/>
      <c r="G90" s="247"/>
      <c r="H90" s="414">
        <f>VLOOKUP(B90,'Data - CFR 2024-25'!$B$4:$CO$505,85,0)</f>
        <v>47145.75</v>
      </c>
    </row>
    <row r="91" spans="1:8" ht="13.8">
      <c r="A91" s="252" t="s">
        <v>1393</v>
      </c>
      <c r="B91" s="288">
        <v>2453</v>
      </c>
      <c r="C91" s="288" t="s">
        <v>795</v>
      </c>
      <c r="D91" s="248" t="str">
        <f t="shared" si="1"/>
        <v>Primary</v>
      </c>
      <c r="E91" s="403"/>
      <c r="F91" s="415"/>
      <c r="G91" s="247"/>
      <c r="H91" s="414">
        <f>VLOOKUP(B91,'Data - CFR 2024-25'!$B$4:$CO$505,85,0)</f>
        <v>9498.82</v>
      </c>
    </row>
    <row r="92" spans="1:8" ht="13.8">
      <c r="A92" s="252" t="s">
        <v>1393</v>
      </c>
      <c r="B92" s="288">
        <v>2070</v>
      </c>
      <c r="C92" s="288" t="s">
        <v>796</v>
      </c>
      <c r="D92" s="248" t="str">
        <f t="shared" si="1"/>
        <v>Primary</v>
      </c>
      <c r="E92" s="403"/>
      <c r="F92" s="415"/>
      <c r="G92" s="247"/>
      <c r="H92" s="414">
        <f>VLOOKUP(B92,'Data - CFR 2024-25'!$B$4:$CO$505,85,0)</f>
        <v>21535.649999999998</v>
      </c>
    </row>
    <row r="93" spans="1:8" ht="13.8">
      <c r="A93" s="252" t="s">
        <v>1393</v>
      </c>
      <c r="B93" s="288">
        <v>7023</v>
      </c>
      <c r="C93" s="288" t="s">
        <v>797</v>
      </c>
      <c r="D93" s="248" t="str">
        <f t="shared" si="1"/>
        <v>Special</v>
      </c>
      <c r="E93" s="403"/>
      <c r="F93" s="415"/>
      <c r="G93" s="247"/>
      <c r="H93" s="414">
        <f>VLOOKUP(B93,'Data - CFR 2024-25'!$B$4:$CO$505,85,0)</f>
        <v>0</v>
      </c>
    </row>
    <row r="94" spans="1:8" ht="13.8">
      <c r="A94" s="252" t="s">
        <v>1393</v>
      </c>
      <c r="B94" s="288">
        <v>2255</v>
      </c>
      <c r="C94" s="288" t="s">
        <v>798</v>
      </c>
      <c r="D94" s="248" t="str">
        <f t="shared" si="1"/>
        <v>Primary</v>
      </c>
      <c r="E94" s="403"/>
      <c r="F94" s="415"/>
      <c r="G94" s="247"/>
      <c r="H94" s="414">
        <f>VLOOKUP(B94,'Data - CFR 2024-25'!$B$4:$CO$505,85,0)</f>
        <v>4482.83</v>
      </c>
    </row>
    <row r="95" spans="1:8" ht="13.8">
      <c r="A95" s="252" t="s">
        <v>1393</v>
      </c>
      <c r="B95" s="288">
        <v>2115</v>
      </c>
      <c r="C95" s="288" t="s">
        <v>799</v>
      </c>
      <c r="D95" s="248" t="str">
        <f t="shared" si="1"/>
        <v>Primary</v>
      </c>
      <c r="E95" s="403"/>
      <c r="F95" s="415"/>
      <c r="G95" s="247"/>
      <c r="H95" s="414">
        <f>VLOOKUP(B95,'Data - CFR 2024-25'!$B$4:$CO$505,85,0)</f>
        <v>249.06</v>
      </c>
    </row>
    <row r="96" spans="1:8" ht="13.8">
      <c r="A96" s="252" t="s">
        <v>1393</v>
      </c>
      <c r="B96" s="288">
        <v>2329</v>
      </c>
      <c r="C96" s="288" t="s">
        <v>800</v>
      </c>
      <c r="D96" s="248" t="str">
        <f t="shared" si="1"/>
        <v>Primary</v>
      </c>
      <c r="E96" s="403"/>
      <c r="F96" s="415"/>
      <c r="G96" s="247"/>
      <c r="H96" s="414">
        <f>VLOOKUP(B96,'Data - CFR 2024-25'!$B$4:$CO$505,85,0)</f>
        <v>0</v>
      </c>
    </row>
    <row r="97" spans="1:8" ht="13.8">
      <c r="A97" s="252" t="s">
        <v>1393</v>
      </c>
      <c r="B97" s="288">
        <v>3384</v>
      </c>
      <c r="C97" s="288" t="s">
        <v>801</v>
      </c>
      <c r="D97" s="248" t="str">
        <f t="shared" si="1"/>
        <v>Primary</v>
      </c>
      <c r="E97" s="403"/>
      <c r="F97" s="415"/>
      <c r="G97" s="247"/>
      <c r="H97" s="414">
        <f>VLOOKUP(B97,'Data - CFR 2024-25'!$B$4:$CO$505,85,0)</f>
        <v>0</v>
      </c>
    </row>
    <row r="98" spans="1:8" ht="13.8">
      <c r="A98" s="252" t="s">
        <v>1393</v>
      </c>
      <c r="B98" s="288">
        <v>5200</v>
      </c>
      <c r="C98" s="288" t="s">
        <v>802</v>
      </c>
      <c r="D98" s="248" t="str">
        <f t="shared" si="1"/>
        <v>NA</v>
      </c>
      <c r="E98" s="403"/>
      <c r="F98" s="415"/>
      <c r="G98" s="247"/>
      <c r="H98" s="414">
        <f>VLOOKUP(B98,'Data - CFR 2024-25'!$B$4:$CO$505,85,0)</f>
        <v>5686.8799999999974</v>
      </c>
    </row>
    <row r="99" spans="1:8" ht="13.8">
      <c r="A99" s="252" t="s">
        <v>1393</v>
      </c>
      <c r="B99" s="288">
        <v>2317</v>
      </c>
      <c r="C99" s="288" t="s">
        <v>804</v>
      </c>
      <c r="D99" s="248" t="str">
        <f t="shared" si="1"/>
        <v>Primary</v>
      </c>
      <c r="E99" s="403"/>
      <c r="F99" s="415"/>
      <c r="G99" s="247"/>
      <c r="H99" s="414">
        <f>VLOOKUP(B99,'Data - CFR 2024-25'!$B$4:$CO$505,85,0)</f>
        <v>0</v>
      </c>
    </row>
    <row r="100" spans="1:8" ht="13.8">
      <c r="A100" s="252" t="s">
        <v>1393</v>
      </c>
      <c r="B100" s="288">
        <v>3356</v>
      </c>
      <c r="C100" s="288" t="s">
        <v>805</v>
      </c>
      <c r="D100" s="248" t="str">
        <f t="shared" si="1"/>
        <v>Primary</v>
      </c>
      <c r="E100" s="403"/>
      <c r="F100" s="415"/>
      <c r="G100" s="247"/>
      <c r="H100" s="414">
        <f>VLOOKUP(B100,'Data - CFR 2024-25'!$B$4:$CO$505,85,0)</f>
        <v>0</v>
      </c>
    </row>
    <row r="101" spans="1:8" ht="13.8">
      <c r="A101" s="252" t="s">
        <v>1393</v>
      </c>
      <c r="B101" s="288">
        <v>3358</v>
      </c>
      <c r="C101" s="288" t="s">
        <v>806</v>
      </c>
      <c r="D101" s="248" t="str">
        <f t="shared" si="1"/>
        <v>Primary</v>
      </c>
      <c r="E101" s="403"/>
      <c r="F101" s="415"/>
      <c r="G101" s="247"/>
      <c r="H101" s="414">
        <f>VLOOKUP(B101,'Data - CFR 2024-25'!$B$4:$CO$505,85,0)</f>
        <v>0</v>
      </c>
    </row>
    <row r="102" spans="1:8" ht="13.8">
      <c r="A102" s="252" t="s">
        <v>1393</v>
      </c>
      <c r="B102" s="288">
        <v>3029</v>
      </c>
      <c r="C102" s="288" t="s">
        <v>807</v>
      </c>
      <c r="D102" s="248" t="str">
        <f t="shared" si="1"/>
        <v>Primary</v>
      </c>
      <c r="E102" s="403"/>
      <c r="F102" s="415"/>
      <c r="G102" s="247"/>
      <c r="H102" s="414">
        <f>VLOOKUP(B102,'Data - CFR 2024-25'!$B$4:$CO$505,85,0)</f>
        <v>16795.68</v>
      </c>
    </row>
    <row r="103" spans="1:8" ht="13.8">
      <c r="A103" s="252" t="s">
        <v>1393</v>
      </c>
      <c r="B103" s="288">
        <v>2084</v>
      </c>
      <c r="C103" s="288" t="s">
        <v>808</v>
      </c>
      <c r="D103" s="248" t="str">
        <f t="shared" si="1"/>
        <v>Primary</v>
      </c>
      <c r="E103" s="403"/>
      <c r="F103" s="415"/>
      <c r="G103" s="247"/>
      <c r="H103" s="414">
        <f>VLOOKUP(B103,'Data - CFR 2024-25'!$B$4:$CO$505,85,0)</f>
        <v>259.5</v>
      </c>
    </row>
    <row r="104" spans="1:8" ht="13.8">
      <c r="A104" s="252" t="s">
        <v>1393</v>
      </c>
      <c r="B104" s="288">
        <v>2443</v>
      </c>
      <c r="C104" s="288" t="s">
        <v>809</v>
      </c>
      <c r="D104" s="248" t="str">
        <f t="shared" si="1"/>
        <v>Primary</v>
      </c>
      <c r="E104" s="403"/>
      <c r="F104" s="415"/>
      <c r="G104" s="247"/>
      <c r="H104" s="414">
        <f>VLOOKUP(B104,'Data - CFR 2024-25'!$B$4:$CO$505,85,0)</f>
        <v>14430.7</v>
      </c>
    </row>
    <row r="105" spans="1:8" ht="13.8">
      <c r="A105" s="252" t="s">
        <v>1393</v>
      </c>
      <c r="B105" s="288">
        <v>3052</v>
      </c>
      <c r="C105" s="288" t="s">
        <v>810</v>
      </c>
      <c r="D105" s="248" t="str">
        <f t="shared" si="1"/>
        <v>Primary</v>
      </c>
      <c r="E105" s="403"/>
      <c r="F105" s="415"/>
      <c r="G105" s="247"/>
      <c r="H105" s="414">
        <f>VLOOKUP(B105,'Data - CFR 2024-25'!$B$4:$CO$505,85,0)</f>
        <v>0</v>
      </c>
    </row>
    <row r="106" spans="1:8" ht="13.8">
      <c r="A106" s="252" t="s">
        <v>1393</v>
      </c>
      <c r="B106" s="288">
        <v>2046</v>
      </c>
      <c r="C106" s="288" t="s">
        <v>811</v>
      </c>
      <c r="D106" s="248" t="str">
        <f t="shared" si="1"/>
        <v>Primary</v>
      </c>
      <c r="E106" s="403"/>
      <c r="F106" s="415"/>
      <c r="G106" s="247"/>
      <c r="H106" s="414">
        <f>VLOOKUP(B106,'Data - CFR 2024-25'!$B$4:$CO$505,85,0)</f>
        <v>9484.18</v>
      </c>
    </row>
    <row r="107" spans="1:8" ht="13.8">
      <c r="A107" s="252" t="s">
        <v>1393</v>
      </c>
      <c r="B107" s="288">
        <v>3325</v>
      </c>
      <c r="C107" s="288" t="s">
        <v>812</v>
      </c>
      <c r="D107" s="248" t="str">
        <f t="shared" si="1"/>
        <v>Primary</v>
      </c>
      <c r="E107" s="403"/>
      <c r="F107" s="415"/>
      <c r="G107" s="247"/>
      <c r="H107" s="414">
        <f>VLOOKUP(B107,'Data - CFR 2024-25'!$B$4:$CO$505,85,0)</f>
        <v>0</v>
      </c>
    </row>
    <row r="108" spans="1:8" ht="13.8">
      <c r="A108" s="252" t="s">
        <v>1393</v>
      </c>
      <c r="B108" s="288">
        <v>1001</v>
      </c>
      <c r="C108" s="288" t="s">
        <v>813</v>
      </c>
      <c r="D108" s="248" t="str">
        <f t="shared" si="1"/>
        <v>Nursery</v>
      </c>
      <c r="E108" s="403"/>
      <c r="F108" s="415"/>
      <c r="G108" s="247"/>
      <c r="H108" s="414">
        <f>VLOOKUP(B108,'Data - CFR 2024-25'!$B$4:$CO$505,85,0)</f>
        <v>37109.83</v>
      </c>
    </row>
    <row r="109" spans="1:8" ht="13.8">
      <c r="A109" s="252" t="s">
        <v>1393</v>
      </c>
      <c r="B109" s="288">
        <v>2123</v>
      </c>
      <c r="C109" s="288" t="s">
        <v>814</v>
      </c>
      <c r="D109" s="248" t="str">
        <f t="shared" si="1"/>
        <v>Primary</v>
      </c>
      <c r="E109" s="403"/>
      <c r="F109" s="415"/>
      <c r="G109" s="247"/>
      <c r="H109" s="414">
        <f>VLOOKUP(B109,'Data - CFR 2024-25'!$B$4:$CO$505,85,0)</f>
        <v>601.4099999999994</v>
      </c>
    </row>
    <row r="110" spans="1:8" ht="13.8">
      <c r="A110" s="252" t="s">
        <v>1393</v>
      </c>
      <c r="B110" s="288">
        <v>2260</v>
      </c>
      <c r="C110" s="288" t="s">
        <v>815</v>
      </c>
      <c r="D110" s="248" t="str">
        <f t="shared" si="1"/>
        <v>Primary</v>
      </c>
      <c r="E110" s="403"/>
      <c r="F110" s="415"/>
      <c r="G110" s="247"/>
      <c r="H110" s="414">
        <f>VLOOKUP(B110,'Data - CFR 2024-25'!$B$4:$CO$505,85,0)</f>
        <v>6112.54</v>
      </c>
    </row>
    <row r="111" spans="1:8" ht="13.8">
      <c r="A111" s="252" t="s">
        <v>1393</v>
      </c>
      <c r="B111" s="288">
        <v>3058</v>
      </c>
      <c r="C111" s="288" t="s">
        <v>816</v>
      </c>
      <c r="D111" s="248" t="str">
        <f t="shared" si="1"/>
        <v>Primary</v>
      </c>
      <c r="E111" s="403"/>
      <c r="F111" s="415"/>
      <c r="G111" s="247"/>
      <c r="H111" s="414">
        <f>VLOOKUP(B111,'Data - CFR 2024-25'!$B$4:$CO$505,85,0)</f>
        <v>5937.9399999999987</v>
      </c>
    </row>
    <row r="112" spans="1:8" ht="13.8">
      <c r="A112" s="252" t="s">
        <v>1393</v>
      </c>
      <c r="B112" s="288">
        <v>2335</v>
      </c>
      <c r="C112" s="288" t="s">
        <v>817</v>
      </c>
      <c r="D112" s="248" t="str">
        <f t="shared" si="1"/>
        <v>Primary</v>
      </c>
      <c r="E112" s="403"/>
      <c r="F112" s="415"/>
      <c r="G112" s="247"/>
      <c r="H112" s="414">
        <f>VLOOKUP(B112,'Data - CFR 2024-25'!$B$4:$CO$505,85,0)</f>
        <v>14560.02</v>
      </c>
    </row>
    <row r="113" spans="1:8" ht="13.8">
      <c r="A113" s="252" t="s">
        <v>1393</v>
      </c>
      <c r="B113" s="288">
        <v>3389</v>
      </c>
      <c r="C113" s="288" t="s">
        <v>818</v>
      </c>
      <c r="D113" s="248" t="str">
        <f t="shared" si="1"/>
        <v>Primary</v>
      </c>
      <c r="E113" s="403"/>
      <c r="F113" s="415"/>
      <c r="G113" s="247"/>
      <c r="H113" s="414">
        <f>VLOOKUP(B113,'Data - CFR 2024-25'!$B$4:$CO$505,85,0)</f>
        <v>0</v>
      </c>
    </row>
    <row r="114" spans="1:8" ht="13.8">
      <c r="A114" s="252" t="s">
        <v>1393</v>
      </c>
      <c r="B114" s="290">
        <v>2001</v>
      </c>
      <c r="C114" s="290" t="s">
        <v>819</v>
      </c>
      <c r="D114" s="248" t="str">
        <f t="shared" si="1"/>
        <v>Primary</v>
      </c>
      <c r="E114" s="403"/>
      <c r="F114" s="415"/>
      <c r="G114" s="247"/>
      <c r="H114" s="414">
        <f>VLOOKUP(B114,'Data - CFR 2024-25'!$B$4:$CO$505,85,0)</f>
        <v>33273.46</v>
      </c>
    </row>
    <row r="115" spans="1:8" ht="13.8">
      <c r="A115" s="252" t="s">
        <v>1393</v>
      </c>
      <c r="B115" s="288">
        <v>2064</v>
      </c>
      <c r="C115" s="288" t="s">
        <v>820</v>
      </c>
      <c r="D115" s="248" t="str">
        <f t="shared" si="1"/>
        <v>Primary</v>
      </c>
      <c r="E115" s="403"/>
      <c r="F115" s="415"/>
      <c r="G115" s="247"/>
      <c r="H115" s="414">
        <f>VLOOKUP(B115,'Data - CFR 2024-25'!$B$4:$CO$505,85,0)</f>
        <v>13831.359999999999</v>
      </c>
    </row>
    <row r="116" spans="1:8" ht="13.8">
      <c r="A116" s="252" t="s">
        <v>1393</v>
      </c>
      <c r="B116" s="290">
        <v>2000</v>
      </c>
      <c r="C116" s="290" t="s">
        <v>1381</v>
      </c>
      <c r="D116" s="248" t="str">
        <f t="shared" si="1"/>
        <v>Primary</v>
      </c>
      <c r="E116" s="403"/>
      <c r="F116" s="415"/>
      <c r="G116" s="247"/>
      <c r="H116" s="414">
        <f>VLOOKUP(B116,'Data - CFR 2024-25'!$B$4:$CO$505,85,0)</f>
        <v>7010.6799999999985</v>
      </c>
    </row>
    <row r="117" spans="1:8" ht="13.8">
      <c r="A117" s="252" t="s">
        <v>1393</v>
      </c>
      <c r="B117" s="288">
        <v>2048</v>
      </c>
      <c r="C117" s="288" t="s">
        <v>822</v>
      </c>
      <c r="D117" s="248" t="str">
        <f t="shared" si="1"/>
        <v>Primary</v>
      </c>
      <c r="E117" s="403"/>
      <c r="F117" s="415"/>
      <c r="G117" s="247"/>
      <c r="H117" s="414">
        <f>VLOOKUP(B117,'Data - CFR 2024-25'!$B$4:$CO$505,85,0)</f>
        <v>1604.5400000000002</v>
      </c>
    </row>
    <row r="118" spans="1:8" ht="13.8">
      <c r="A118" s="252" t="s">
        <v>1393</v>
      </c>
      <c r="B118" s="288">
        <v>2232</v>
      </c>
      <c r="C118" s="288" t="s">
        <v>823</v>
      </c>
      <c r="D118" s="248" t="str">
        <f t="shared" si="1"/>
        <v>Primary</v>
      </c>
      <c r="E118" s="403"/>
      <c r="F118" s="415"/>
      <c r="G118" s="247"/>
      <c r="H118" s="414">
        <f>VLOOKUP(B118,'Data - CFR 2024-25'!$B$4:$CO$505,85,0)</f>
        <v>2562.9499999999989</v>
      </c>
    </row>
    <row r="119" spans="1:8" ht="13.8">
      <c r="A119" s="252" t="s">
        <v>1393</v>
      </c>
      <c r="B119" s="290">
        <v>3392</v>
      </c>
      <c r="C119" s="290" t="s">
        <v>824</v>
      </c>
      <c r="D119" s="248" t="str">
        <f t="shared" si="1"/>
        <v>Primary</v>
      </c>
      <c r="E119" s="403"/>
      <c r="F119" s="415"/>
      <c r="G119" s="247"/>
      <c r="H119" s="414">
        <f>VLOOKUP(B119,'Data - CFR 2024-25'!$B$4:$CO$505,85,0)</f>
        <v>16102.400000000001</v>
      </c>
    </row>
    <row r="120" spans="1:8" ht="13.8">
      <c r="A120" s="252" t="s">
        <v>1393</v>
      </c>
      <c r="B120" s="288">
        <v>3054</v>
      </c>
      <c r="C120" s="288" t="s">
        <v>825</v>
      </c>
      <c r="D120" s="248" t="str">
        <f t="shared" si="1"/>
        <v>Primary</v>
      </c>
      <c r="E120" s="403"/>
      <c r="F120" s="415"/>
      <c r="G120" s="247"/>
      <c r="H120" s="414">
        <f>VLOOKUP(B120,'Data - CFR 2024-25'!$B$4:$CO$505,85,0)</f>
        <v>7283.91</v>
      </c>
    </row>
    <row r="121" spans="1:8" ht="13.8">
      <c r="A121" s="252" t="s">
        <v>1393</v>
      </c>
      <c r="B121" s="288">
        <v>3032</v>
      </c>
      <c r="C121" s="288" t="s">
        <v>826</v>
      </c>
      <c r="D121" s="248" t="str">
        <f t="shared" si="1"/>
        <v>Primary</v>
      </c>
      <c r="E121" s="403"/>
      <c r="F121" s="415"/>
      <c r="G121" s="247"/>
      <c r="H121" s="414">
        <f>VLOOKUP(B121,'Data - CFR 2024-25'!$B$4:$CO$505,85,0)</f>
        <v>9358.8300000000017</v>
      </c>
    </row>
    <row r="122" spans="1:8" ht="13.8">
      <c r="A122" s="252" t="s">
        <v>1393</v>
      </c>
      <c r="B122" s="288">
        <v>2054</v>
      </c>
      <c r="C122" s="288" t="s">
        <v>827</v>
      </c>
      <c r="D122" s="248" t="str">
        <f t="shared" si="1"/>
        <v>Primary</v>
      </c>
      <c r="E122" s="403"/>
      <c r="F122" s="415"/>
      <c r="G122" s="247"/>
      <c r="H122" s="414">
        <f>VLOOKUP(B122,'Data - CFR 2024-25'!$B$4:$CO$505,85,0)</f>
        <v>0.65000000000009095</v>
      </c>
    </row>
    <row r="123" spans="1:8" ht="13.8">
      <c r="A123" s="252" t="s">
        <v>1393</v>
      </c>
      <c r="B123" s="288">
        <v>2240</v>
      </c>
      <c r="C123" s="288" t="s">
        <v>828</v>
      </c>
      <c r="D123" s="248" t="str">
        <f t="shared" si="1"/>
        <v>Primary</v>
      </c>
      <c r="E123" s="403"/>
      <c r="F123" s="415"/>
      <c r="G123" s="247"/>
      <c r="H123" s="414">
        <f>VLOOKUP(B123,'Data - CFR 2024-25'!$B$4:$CO$505,85,0)</f>
        <v>1432.4399999999987</v>
      </c>
    </row>
    <row r="124" spans="1:8" ht="13.8">
      <c r="A124" s="252" t="s">
        <v>1393</v>
      </c>
      <c r="B124" s="288">
        <v>2254</v>
      </c>
      <c r="C124" s="288" t="s">
        <v>829</v>
      </c>
      <c r="D124" s="248" t="str">
        <f t="shared" si="1"/>
        <v>Primary</v>
      </c>
      <c r="E124" s="403"/>
      <c r="F124" s="415"/>
      <c r="G124" s="247"/>
      <c r="H124" s="414">
        <f>VLOOKUP(B124,'Data - CFR 2024-25'!$B$4:$CO$505,85,0)</f>
        <v>9410.51</v>
      </c>
    </row>
  </sheetData>
  <phoneticPr fontId="15" type="noConversion"/>
  <pageMargins left="0.75" right="0.75" top="1" bottom="1" header="0.5" footer="0.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AE79"/>
  <sheetViews>
    <sheetView workbookViewId="0">
      <pane xSplit="4" ySplit="4" topLeftCell="E5" activePane="bottomRight" state="frozen"/>
      <selection pane="topRight" activeCell="E1" sqref="E1"/>
      <selection pane="bottomLeft" activeCell="A5" sqref="A5"/>
      <selection pane="bottomRight" activeCell="E10" sqref="E10"/>
    </sheetView>
  </sheetViews>
  <sheetFormatPr defaultRowHeight="13.2"/>
  <cols>
    <col min="1" max="1" width="8.77734375" style="270"/>
    <col min="2" max="2" width="8.77734375" style="275"/>
    <col min="3" max="3" width="44.77734375" bestFit="1" customWidth="1"/>
    <col min="4" max="4" width="12.77734375" bestFit="1" customWidth="1"/>
    <col min="5" max="5" width="8.77734375" style="266"/>
    <col min="6" max="6" width="7.5546875" style="266" bestFit="1" customWidth="1"/>
    <col min="7" max="7" width="8.77734375" style="266"/>
    <col min="8" max="8" width="27.5546875" style="267" bestFit="1" customWidth="1"/>
    <col min="9" max="11" width="8.77734375" style="269"/>
    <col min="12" max="12" width="14.44140625" style="269" customWidth="1"/>
    <col min="13" max="15" width="8.77734375" style="269"/>
    <col min="16" max="16" width="14.77734375" style="269" customWidth="1"/>
    <col min="17" max="19" width="10.21875" style="269" customWidth="1"/>
    <col min="20" max="20" width="14.21875" style="269" customWidth="1"/>
    <col min="21" max="23" width="10.44140625" style="269" customWidth="1"/>
    <col min="24" max="24" width="12.44140625" style="269" customWidth="1"/>
    <col min="25" max="25" width="12.77734375" style="269" customWidth="1"/>
    <col min="26" max="26" width="11.77734375" style="269" customWidth="1"/>
    <col min="27" max="27" width="11.5546875" style="269" customWidth="1"/>
    <col min="28" max="28" width="33.77734375" style="269" bestFit="1" customWidth="1"/>
    <col min="29" max="29" width="8.77734375" style="266"/>
    <col min="30" max="30" width="2" style="269" customWidth="1"/>
    <col min="31" max="31" width="8.77734375" style="267"/>
  </cols>
  <sheetData>
    <row r="1" spans="1:31">
      <c r="A1" s="265" t="s">
        <v>1394</v>
      </c>
      <c r="B1" s="265"/>
      <c r="D1" s="266"/>
      <c r="E1" s="267"/>
      <c r="G1" s="268"/>
      <c r="H1" s="268"/>
      <c r="I1" s="268"/>
      <c r="J1" s="268"/>
      <c r="K1" s="268"/>
      <c r="L1" s="268"/>
    </row>
    <row r="2" spans="1:31">
      <c r="B2" s="270"/>
      <c r="D2" s="266"/>
    </row>
    <row r="3" spans="1:31">
      <c r="B3" s="270"/>
      <c r="D3" s="266"/>
      <c r="E3" s="267"/>
    </row>
    <row r="4" spans="1:31" s="206" customFormat="1" ht="39.6">
      <c r="A4" s="271" t="s">
        <v>882</v>
      </c>
      <c r="B4" s="272" t="s">
        <v>1395</v>
      </c>
      <c r="C4" s="206" t="s">
        <v>881</v>
      </c>
      <c r="D4" s="206" t="s">
        <v>877</v>
      </c>
      <c r="E4" s="239" t="s">
        <v>1396</v>
      </c>
      <c r="F4" s="239" t="s">
        <v>1397</v>
      </c>
      <c r="G4" s="239" t="s">
        <v>1398</v>
      </c>
      <c r="H4" s="273" t="s">
        <v>1399</v>
      </c>
      <c r="I4" s="239" t="s">
        <v>1400</v>
      </c>
      <c r="J4" s="239" t="s">
        <v>1401</v>
      </c>
      <c r="K4" s="239" t="s">
        <v>1402</v>
      </c>
      <c r="L4" s="273" t="s">
        <v>1399</v>
      </c>
      <c r="M4" s="239" t="s">
        <v>1403</v>
      </c>
      <c r="N4" s="239" t="s">
        <v>1404</v>
      </c>
      <c r="O4" s="239" t="s">
        <v>1405</v>
      </c>
      <c r="P4" s="273" t="s">
        <v>1399</v>
      </c>
      <c r="Q4" s="239" t="s">
        <v>1406</v>
      </c>
      <c r="R4" s="239" t="s">
        <v>1407</v>
      </c>
      <c r="S4" s="239" t="s">
        <v>1408</v>
      </c>
      <c r="T4" s="273" t="s">
        <v>1399</v>
      </c>
      <c r="U4" s="239" t="s">
        <v>1409</v>
      </c>
      <c r="V4" s="239" t="s">
        <v>1410</v>
      </c>
      <c r="W4" s="239" t="s">
        <v>1411</v>
      </c>
      <c r="X4" s="273" t="s">
        <v>1399</v>
      </c>
      <c r="Y4" s="239" t="s">
        <v>1412</v>
      </c>
      <c r="Z4" s="239" t="s">
        <v>1413</v>
      </c>
      <c r="AA4" s="239" t="s">
        <v>1414</v>
      </c>
      <c r="AB4" s="273" t="s">
        <v>1399</v>
      </c>
      <c r="AC4" s="239" t="s">
        <v>1415</v>
      </c>
      <c r="AD4" s="274"/>
      <c r="AE4" s="273"/>
    </row>
    <row r="5" spans="1:31">
      <c r="A5" s="270">
        <v>1008</v>
      </c>
      <c r="B5" s="275" t="s">
        <v>972</v>
      </c>
      <c r="C5" t="s">
        <v>973</v>
      </c>
      <c r="D5" t="s">
        <v>974</v>
      </c>
      <c r="I5" s="266"/>
      <c r="J5" s="266"/>
      <c r="K5" s="266"/>
      <c r="L5" s="267"/>
      <c r="M5" s="266"/>
      <c r="N5" s="266"/>
      <c r="O5" s="266"/>
      <c r="P5" s="267"/>
      <c r="Q5" s="266"/>
      <c r="R5" s="266"/>
      <c r="S5" s="266"/>
      <c r="T5" s="267"/>
      <c r="U5" s="266"/>
      <c r="V5" s="266"/>
      <c r="W5" s="266"/>
      <c r="X5" s="267"/>
      <c r="Y5" s="266"/>
      <c r="Z5" s="266"/>
      <c r="AA5" s="266"/>
      <c r="AB5" s="267"/>
      <c r="AC5" s="207">
        <v>0</v>
      </c>
    </row>
    <row r="6" spans="1:31">
      <c r="A6" s="270">
        <v>2173</v>
      </c>
      <c r="B6" s="275" t="s">
        <v>987</v>
      </c>
      <c r="C6" t="s">
        <v>988</v>
      </c>
      <c r="D6" t="s">
        <v>989</v>
      </c>
      <c r="I6" s="266"/>
      <c r="J6" s="266"/>
      <c r="K6" s="266"/>
      <c r="L6" s="267"/>
      <c r="M6" s="266"/>
      <c r="N6" s="266"/>
      <c r="O6" s="266"/>
      <c r="P6" s="267"/>
      <c r="Q6" s="266"/>
      <c r="R6" s="266"/>
      <c r="S6" s="266"/>
      <c r="T6" s="267"/>
      <c r="U6" s="266"/>
      <c r="V6" s="266"/>
      <c r="W6" s="266"/>
      <c r="X6" s="267"/>
      <c r="Y6" s="266"/>
      <c r="Z6" s="266"/>
      <c r="AA6" s="266"/>
      <c r="AB6" s="267"/>
      <c r="AC6" s="207">
        <v>0</v>
      </c>
    </row>
    <row r="7" spans="1:31">
      <c r="A7" s="270">
        <v>2146</v>
      </c>
      <c r="B7" s="275" t="s">
        <v>990</v>
      </c>
      <c r="C7" t="s">
        <v>1416</v>
      </c>
      <c r="D7" t="s">
        <v>989</v>
      </c>
      <c r="I7" s="266"/>
      <c r="J7" s="266"/>
      <c r="K7" s="266"/>
      <c r="L7" s="267"/>
      <c r="M7" s="266"/>
      <c r="N7" s="266"/>
      <c r="O7" s="266"/>
      <c r="P7" s="267"/>
      <c r="Q7" s="266"/>
      <c r="R7" s="266"/>
      <c r="S7" s="266"/>
      <c r="T7" s="267"/>
      <c r="U7" s="266"/>
      <c r="V7" s="266"/>
      <c r="W7" s="266"/>
      <c r="X7" s="267"/>
      <c r="Y7" s="266"/>
      <c r="Z7" s="266"/>
      <c r="AA7" s="266"/>
      <c r="AB7" s="267"/>
      <c r="AC7" s="207">
        <v>0</v>
      </c>
    </row>
    <row r="8" spans="1:31">
      <c r="A8" s="270">
        <v>3026</v>
      </c>
      <c r="B8" s="275" t="s">
        <v>994</v>
      </c>
      <c r="C8" t="s">
        <v>995</v>
      </c>
      <c r="D8" t="s">
        <v>989</v>
      </c>
      <c r="I8" s="266"/>
      <c r="J8" s="266"/>
      <c r="K8" s="266"/>
      <c r="L8" s="267"/>
      <c r="M8" s="266"/>
      <c r="N8" s="266"/>
      <c r="O8" s="266"/>
      <c r="P8" s="267"/>
      <c r="Q8" s="266"/>
      <c r="R8" s="266"/>
      <c r="S8" s="266"/>
      <c r="T8" s="267"/>
      <c r="U8" s="266"/>
      <c r="V8" s="266"/>
      <c r="W8" s="266"/>
      <c r="X8" s="267"/>
      <c r="Y8" s="266"/>
      <c r="Z8" s="266"/>
      <c r="AA8" s="266"/>
      <c r="AB8" s="267"/>
      <c r="AC8" s="207">
        <v>0</v>
      </c>
    </row>
    <row r="9" spans="1:31">
      <c r="A9" s="270">
        <v>2102</v>
      </c>
      <c r="B9" s="275" t="s">
        <v>1004</v>
      </c>
      <c r="C9" t="s">
        <v>1005</v>
      </c>
      <c r="D9" t="s">
        <v>989</v>
      </c>
      <c r="I9" s="266"/>
      <c r="J9" s="266"/>
      <c r="K9" s="266"/>
      <c r="L9" s="267"/>
      <c r="M9" s="266"/>
      <c r="N9" s="266"/>
      <c r="O9" s="266"/>
      <c r="P9" s="267"/>
      <c r="Q9" s="266"/>
      <c r="R9" s="266"/>
      <c r="S9" s="266"/>
      <c r="T9" s="267"/>
      <c r="U9" s="266"/>
      <c r="V9" s="266"/>
      <c r="W9" s="266"/>
      <c r="X9" s="267"/>
      <c r="Y9" s="266"/>
      <c r="Z9" s="266"/>
      <c r="AA9" s="266"/>
      <c r="AB9" s="267"/>
      <c r="AC9" s="207">
        <v>0</v>
      </c>
    </row>
    <row r="10" spans="1:31">
      <c r="A10" s="270">
        <v>7032</v>
      </c>
      <c r="B10" s="275" t="s">
        <v>1331</v>
      </c>
      <c r="C10" t="s">
        <v>1332</v>
      </c>
      <c r="D10" t="s">
        <v>1333</v>
      </c>
      <c r="I10" s="266"/>
      <c r="J10" s="266"/>
      <c r="K10" s="266"/>
      <c r="L10" s="267"/>
      <c r="M10" s="266"/>
      <c r="N10" s="266"/>
      <c r="O10" s="266"/>
      <c r="P10" s="267"/>
      <c r="Q10" s="266"/>
      <c r="R10" s="266"/>
      <c r="S10" s="266"/>
      <c r="T10" s="267"/>
      <c r="U10" s="266"/>
      <c r="V10" s="266"/>
      <c r="W10" s="266"/>
      <c r="X10" s="267"/>
      <c r="Y10" s="266"/>
      <c r="Z10" s="266"/>
      <c r="AA10" s="266"/>
      <c r="AB10" s="267"/>
      <c r="AC10" s="207">
        <v>0</v>
      </c>
    </row>
    <row r="11" spans="1:31">
      <c r="A11" s="270">
        <v>2166</v>
      </c>
      <c r="B11" s="275" t="s">
        <v>1008</v>
      </c>
      <c r="C11" t="s">
        <v>1009</v>
      </c>
      <c r="D11" t="s">
        <v>989</v>
      </c>
      <c r="I11" s="266"/>
      <c r="J11" s="266"/>
      <c r="K11" s="266"/>
      <c r="L11" s="267"/>
      <c r="M11" s="266"/>
      <c r="N11" s="266"/>
      <c r="O11" s="266"/>
      <c r="P11" s="267"/>
      <c r="Q11" s="266"/>
      <c r="R11" s="266"/>
      <c r="S11" s="266"/>
      <c r="T11" s="267"/>
      <c r="U11" s="266"/>
      <c r="V11" s="266"/>
      <c r="W11" s="266"/>
      <c r="X11" s="267"/>
      <c r="Y11" s="266"/>
      <c r="Z11" s="266"/>
      <c r="AA11" s="266"/>
      <c r="AB11" s="267"/>
      <c r="AC11" s="207">
        <v>0</v>
      </c>
      <c r="AE11" s="270"/>
    </row>
    <row r="12" spans="1:31">
      <c r="A12" s="270">
        <v>5400</v>
      </c>
      <c r="B12" s="275" t="s">
        <v>1297</v>
      </c>
      <c r="C12" t="s">
        <v>1298</v>
      </c>
      <c r="D12" t="s">
        <v>1294</v>
      </c>
      <c r="I12" s="266"/>
      <c r="J12" s="266"/>
      <c r="K12" s="266"/>
      <c r="L12" s="267"/>
      <c r="M12" s="266"/>
      <c r="N12" s="266"/>
      <c r="O12" s="266"/>
      <c r="P12" s="267"/>
      <c r="Q12" s="266">
        <v>195157</v>
      </c>
      <c r="R12" s="266"/>
      <c r="S12" s="266">
        <v>828890</v>
      </c>
      <c r="T12" s="267" t="s">
        <v>1417</v>
      </c>
      <c r="U12" s="266"/>
      <c r="V12" s="266"/>
      <c r="W12" s="266"/>
      <c r="X12" s="267"/>
      <c r="Y12" s="266"/>
      <c r="Z12" s="266"/>
      <c r="AA12" s="266"/>
      <c r="AB12" s="267"/>
      <c r="AC12" s="207">
        <v>1024047</v>
      </c>
      <c r="AE12" s="270"/>
    </row>
    <row r="13" spans="1:31">
      <c r="A13" s="270">
        <v>2062</v>
      </c>
      <c r="B13" s="275" t="s">
        <v>1010</v>
      </c>
      <c r="C13" t="s">
        <v>1011</v>
      </c>
      <c r="D13" t="s">
        <v>989</v>
      </c>
      <c r="I13" s="266"/>
      <c r="J13" s="266"/>
      <c r="K13" s="266"/>
      <c r="L13" s="267"/>
      <c r="M13" s="266"/>
      <c r="N13" s="266"/>
      <c r="O13" s="266"/>
      <c r="P13" s="267"/>
      <c r="Q13" s="266"/>
      <c r="R13" s="266"/>
      <c r="S13" s="266"/>
      <c r="T13" s="267"/>
      <c r="U13" s="266"/>
      <c r="V13" s="266"/>
      <c r="W13" s="266"/>
      <c r="X13" s="267"/>
      <c r="Y13" s="266"/>
      <c r="Z13" s="266"/>
      <c r="AA13" s="266"/>
      <c r="AB13" s="267"/>
      <c r="AC13" s="207">
        <v>0</v>
      </c>
      <c r="AE13" s="270"/>
    </row>
    <row r="14" spans="1:31">
      <c r="A14" s="270">
        <v>2107</v>
      </c>
      <c r="B14" s="275" t="s">
        <v>1014</v>
      </c>
      <c r="C14" t="s">
        <v>1015</v>
      </c>
      <c r="D14" t="s">
        <v>989</v>
      </c>
      <c r="I14" s="266"/>
      <c r="J14" s="266"/>
      <c r="K14" s="266"/>
      <c r="L14" s="267"/>
      <c r="M14" s="266"/>
      <c r="N14" s="266"/>
      <c r="O14" s="266"/>
      <c r="P14" s="267"/>
      <c r="Q14" s="266"/>
      <c r="R14" s="266"/>
      <c r="S14" s="266"/>
      <c r="T14" s="267"/>
      <c r="U14" s="266"/>
      <c r="V14" s="266"/>
      <c r="W14" s="266"/>
      <c r="X14" s="267"/>
      <c r="Y14" s="266"/>
      <c r="Z14" s="266"/>
      <c r="AA14" s="266"/>
      <c r="AB14" s="267"/>
      <c r="AC14" s="207">
        <v>0</v>
      </c>
      <c r="AE14" s="270"/>
    </row>
    <row r="15" spans="1:31">
      <c r="A15" s="270">
        <v>3031</v>
      </c>
      <c r="B15" s="275" t="s">
        <v>1018</v>
      </c>
      <c r="C15" t="s">
        <v>1019</v>
      </c>
      <c r="D15" t="s">
        <v>989</v>
      </c>
      <c r="I15" s="266"/>
      <c r="J15" s="266"/>
      <c r="K15" s="266"/>
      <c r="L15" s="267"/>
      <c r="M15" s="266"/>
      <c r="N15" s="266"/>
      <c r="O15" s="266"/>
      <c r="P15" s="267"/>
      <c r="Q15" s="266"/>
      <c r="R15" s="266"/>
      <c r="S15" s="266"/>
      <c r="T15" s="267"/>
      <c r="U15" s="266"/>
      <c r="V15" s="266"/>
      <c r="W15" s="266"/>
      <c r="X15" s="267"/>
      <c r="Y15" s="266"/>
      <c r="Z15" s="266"/>
      <c r="AA15" s="266"/>
      <c r="AB15" s="267"/>
      <c r="AC15" s="207">
        <v>0</v>
      </c>
      <c r="AE15" s="270"/>
    </row>
    <row r="16" spans="1:31">
      <c r="A16" s="270">
        <v>1012</v>
      </c>
      <c r="B16" s="275" t="s">
        <v>975</v>
      </c>
      <c r="C16" t="s">
        <v>976</v>
      </c>
      <c r="D16" t="s">
        <v>974</v>
      </c>
      <c r="I16" s="266"/>
      <c r="J16" s="266"/>
      <c r="K16" s="266"/>
      <c r="L16" s="267"/>
      <c r="M16" s="266"/>
      <c r="N16" s="266"/>
      <c r="O16" s="266"/>
      <c r="P16" s="267"/>
      <c r="Q16" s="266"/>
      <c r="R16" s="266"/>
      <c r="S16" s="266"/>
      <c r="T16" s="267"/>
      <c r="U16" s="266"/>
      <c r="V16" s="266"/>
      <c r="W16" s="266"/>
      <c r="X16" s="267"/>
      <c r="Y16" s="266"/>
      <c r="Z16" s="266"/>
      <c r="AA16" s="266"/>
      <c r="AB16" s="267"/>
      <c r="AC16" s="207">
        <v>0</v>
      </c>
      <c r="AE16" s="270"/>
    </row>
    <row r="17" spans="1:31">
      <c r="A17" s="270">
        <v>7031</v>
      </c>
      <c r="B17" s="275" t="s">
        <v>1334</v>
      </c>
      <c r="C17" t="s">
        <v>1335</v>
      </c>
      <c r="D17" t="s">
        <v>1333</v>
      </c>
      <c r="E17" s="266">
        <v>292000</v>
      </c>
      <c r="H17" s="267" t="s">
        <v>1418</v>
      </c>
      <c r="I17" s="266"/>
      <c r="J17" s="266"/>
      <c r="K17" s="266"/>
      <c r="L17" s="267"/>
      <c r="M17" s="266"/>
      <c r="N17" s="266"/>
      <c r="O17" s="266"/>
      <c r="P17" s="267"/>
      <c r="Q17" s="266"/>
      <c r="R17" s="266"/>
      <c r="S17" s="266"/>
      <c r="T17" s="267"/>
      <c r="U17" s="266"/>
      <c r="V17" s="266"/>
      <c r="W17" s="266"/>
      <c r="X17" s="267"/>
      <c r="Y17" s="266"/>
      <c r="Z17" s="266"/>
      <c r="AA17" s="266"/>
      <c r="AB17" s="267"/>
      <c r="AC17" s="207">
        <v>292000</v>
      </c>
      <c r="AE17" s="270"/>
    </row>
    <row r="18" spans="1:31">
      <c r="A18" s="270">
        <v>2111</v>
      </c>
      <c r="B18" s="275" t="s">
        <v>1036</v>
      </c>
      <c r="C18" t="s">
        <v>1037</v>
      </c>
      <c r="D18" t="s">
        <v>989</v>
      </c>
      <c r="I18" s="266"/>
      <c r="J18" s="266"/>
      <c r="K18" s="266"/>
      <c r="L18" s="267"/>
      <c r="M18" s="266"/>
      <c r="N18" s="266"/>
      <c r="O18" s="266"/>
      <c r="P18" s="267"/>
      <c r="Q18" s="266"/>
      <c r="R18" s="266"/>
      <c r="S18" s="266"/>
      <c r="T18" s="267"/>
      <c r="U18" s="266"/>
      <c r="V18" s="266"/>
      <c r="W18" s="266"/>
      <c r="X18" s="267"/>
      <c r="Y18" s="266"/>
      <c r="Z18" s="266"/>
      <c r="AA18" s="266"/>
      <c r="AB18" s="267"/>
      <c r="AC18" s="207">
        <v>0</v>
      </c>
      <c r="AE18" s="270"/>
    </row>
    <row r="19" spans="1:31">
      <c r="A19" s="270">
        <v>2147</v>
      </c>
      <c r="B19" s="275" t="s">
        <v>1046</v>
      </c>
      <c r="C19" t="s">
        <v>1047</v>
      </c>
      <c r="D19" t="s">
        <v>989</v>
      </c>
      <c r="I19" s="266"/>
      <c r="J19" s="266"/>
      <c r="K19" s="266"/>
      <c r="L19" s="267"/>
      <c r="M19" s="266"/>
      <c r="N19" s="266"/>
      <c r="O19" s="266"/>
      <c r="P19" s="267"/>
      <c r="Q19" s="266"/>
      <c r="R19" s="266"/>
      <c r="S19" s="266"/>
      <c r="T19" s="267"/>
      <c r="U19" s="266"/>
      <c r="V19" s="266"/>
      <c r="W19" s="266"/>
      <c r="X19" s="267"/>
      <c r="Y19" s="266"/>
      <c r="Z19" s="266"/>
      <c r="AA19" s="266"/>
      <c r="AB19" s="267"/>
      <c r="AC19" s="207">
        <v>0</v>
      </c>
      <c r="AE19" s="276"/>
    </row>
    <row r="20" spans="1:31">
      <c r="A20" s="270">
        <v>2113</v>
      </c>
      <c r="B20" s="275" t="s">
        <v>1050</v>
      </c>
      <c r="C20" t="s">
        <v>1051</v>
      </c>
      <c r="D20" t="s">
        <v>989</v>
      </c>
      <c r="I20" s="266"/>
      <c r="J20" s="266"/>
      <c r="K20" s="266"/>
      <c r="L20" s="267"/>
      <c r="M20" s="266"/>
      <c r="N20" s="266"/>
      <c r="O20" s="266"/>
      <c r="P20" s="267"/>
      <c r="Q20" s="266"/>
      <c r="R20" s="266"/>
      <c r="S20" s="266"/>
      <c r="T20" s="267"/>
      <c r="U20" s="266"/>
      <c r="V20" s="266"/>
      <c r="W20" s="266"/>
      <c r="X20" s="267"/>
      <c r="Y20" s="266"/>
      <c r="Z20" s="266"/>
      <c r="AA20" s="266"/>
      <c r="AB20" s="267"/>
      <c r="AC20" s="207">
        <v>0</v>
      </c>
      <c r="AE20" s="270"/>
    </row>
    <row r="21" spans="1:31">
      <c r="A21" s="270">
        <v>2103</v>
      </c>
      <c r="B21" s="275" t="s">
        <v>1052</v>
      </c>
      <c r="C21" t="s">
        <v>1053</v>
      </c>
      <c r="D21" t="s">
        <v>989</v>
      </c>
      <c r="I21" s="266"/>
      <c r="J21" s="266"/>
      <c r="K21" s="266"/>
      <c r="L21" s="267"/>
      <c r="M21" s="266"/>
      <c r="N21" s="266"/>
      <c r="O21" s="266"/>
      <c r="P21" s="267"/>
      <c r="Q21" s="266"/>
      <c r="R21" s="266"/>
      <c r="S21" s="266"/>
      <c r="T21" s="267"/>
      <c r="U21" s="266"/>
      <c r="V21" s="266"/>
      <c r="W21" s="266"/>
      <c r="X21" s="267"/>
      <c r="Y21" s="266"/>
      <c r="Z21" s="266"/>
      <c r="AA21" s="266"/>
      <c r="AB21" s="267"/>
      <c r="AC21" s="207">
        <v>0</v>
      </c>
      <c r="AE21" s="270"/>
    </row>
    <row r="22" spans="1:31">
      <c r="A22" s="270">
        <v>2084</v>
      </c>
      <c r="B22" s="275" t="s">
        <v>1054</v>
      </c>
      <c r="C22" t="s">
        <v>1055</v>
      </c>
      <c r="D22" t="s">
        <v>989</v>
      </c>
      <c r="I22" s="266"/>
      <c r="J22" s="266"/>
      <c r="K22" s="266"/>
      <c r="L22" s="267"/>
      <c r="M22" s="266"/>
      <c r="N22" s="266"/>
      <c r="O22" s="266"/>
      <c r="P22" s="267"/>
      <c r="Q22" s="266"/>
      <c r="R22" s="266"/>
      <c r="S22" s="266"/>
      <c r="T22" s="267"/>
      <c r="U22" s="266"/>
      <c r="V22" s="266"/>
      <c r="W22" s="266"/>
      <c r="X22" s="267"/>
      <c r="Y22" s="266"/>
      <c r="Z22" s="266"/>
      <c r="AA22" s="266"/>
      <c r="AB22" s="267"/>
      <c r="AC22" s="207">
        <v>0</v>
      </c>
      <c r="AE22" s="270"/>
    </row>
    <row r="23" spans="1:31">
      <c r="A23" s="270">
        <v>5201</v>
      </c>
      <c r="B23" s="275" t="s">
        <v>1060</v>
      </c>
      <c r="C23" t="s">
        <v>1061</v>
      </c>
      <c r="D23" t="s">
        <v>989</v>
      </c>
      <c r="I23" s="266"/>
      <c r="J23" s="266"/>
      <c r="K23" s="266"/>
      <c r="L23" s="267"/>
      <c r="M23" s="266"/>
      <c r="N23" s="266"/>
      <c r="O23" s="266"/>
      <c r="P23" s="267"/>
      <c r="Q23" s="266"/>
      <c r="R23" s="266"/>
      <c r="S23" s="266"/>
      <c r="T23" s="267"/>
      <c r="U23" s="266"/>
      <c r="V23" s="266"/>
      <c r="W23" s="266"/>
      <c r="X23" s="267"/>
      <c r="Y23" s="266"/>
      <c r="Z23" s="266"/>
      <c r="AA23" s="266"/>
      <c r="AB23" s="267"/>
      <c r="AC23" s="207">
        <v>0</v>
      </c>
      <c r="AE23" s="270"/>
    </row>
    <row r="24" spans="1:31">
      <c r="A24" s="270">
        <v>2027</v>
      </c>
      <c r="B24" s="275" t="s">
        <v>1062</v>
      </c>
      <c r="C24" t="s">
        <v>1063</v>
      </c>
      <c r="D24" t="s">
        <v>989</v>
      </c>
      <c r="I24" s="266"/>
      <c r="J24" s="266"/>
      <c r="K24" s="266"/>
      <c r="L24" s="267"/>
      <c r="M24" s="266"/>
      <c r="N24" s="266"/>
      <c r="O24" s="266"/>
      <c r="P24" s="267"/>
      <c r="Q24" s="266">
        <v>14428</v>
      </c>
      <c r="R24" s="266">
        <v>14429</v>
      </c>
      <c r="S24" s="266"/>
      <c r="T24" s="267" t="s">
        <v>1419</v>
      </c>
      <c r="U24" s="266"/>
      <c r="V24" s="266"/>
      <c r="W24" s="266"/>
      <c r="X24" s="267"/>
      <c r="Y24" s="266"/>
      <c r="Z24" s="266"/>
      <c r="AA24" s="266"/>
      <c r="AB24" s="267"/>
      <c r="AC24" s="207">
        <v>28857</v>
      </c>
      <c r="AE24" s="270"/>
    </row>
    <row r="25" spans="1:31">
      <c r="A25" s="270">
        <v>2182</v>
      </c>
      <c r="B25" s="275" t="s">
        <v>1064</v>
      </c>
      <c r="C25" t="s">
        <v>1065</v>
      </c>
      <c r="D25" t="s">
        <v>989</v>
      </c>
      <c r="I25" s="266"/>
      <c r="J25" s="266"/>
      <c r="K25" s="266"/>
      <c r="L25" s="267"/>
      <c r="M25" s="266"/>
      <c r="N25" s="266"/>
      <c r="O25" s="266"/>
      <c r="P25" s="267"/>
      <c r="Q25" s="266"/>
      <c r="R25" s="266"/>
      <c r="S25" s="266"/>
      <c r="T25" s="267"/>
      <c r="U25" s="266"/>
      <c r="V25" s="266"/>
      <c r="W25" s="266"/>
      <c r="X25" s="267"/>
      <c r="Y25" s="266"/>
      <c r="Z25" s="266"/>
      <c r="AA25" s="266"/>
      <c r="AB25" s="267"/>
      <c r="AC25" s="207">
        <v>0</v>
      </c>
      <c r="AE25" s="270"/>
    </row>
    <row r="26" spans="1:31">
      <c r="A26" s="270">
        <v>3308</v>
      </c>
      <c r="B26" s="275" t="s">
        <v>1080</v>
      </c>
      <c r="C26" t="s">
        <v>1081</v>
      </c>
      <c r="D26" t="s">
        <v>989</v>
      </c>
      <c r="I26" s="266"/>
      <c r="J26" s="266"/>
      <c r="K26" s="266"/>
      <c r="L26" s="267"/>
      <c r="M26" s="266"/>
      <c r="N26" s="266"/>
      <c r="O26" s="266"/>
      <c r="P26" s="267"/>
      <c r="Q26" s="266"/>
      <c r="R26" s="266"/>
      <c r="S26" s="266"/>
      <c r="T26" s="267"/>
      <c r="U26" s="266"/>
      <c r="V26" s="266"/>
      <c r="W26" s="266"/>
      <c r="X26" s="267"/>
      <c r="Y26" s="266"/>
      <c r="Z26" s="266"/>
      <c r="AA26" s="266"/>
      <c r="AB26" s="267"/>
      <c r="AC26" s="207">
        <v>0</v>
      </c>
      <c r="AE26" s="270"/>
    </row>
    <row r="27" spans="1:31">
      <c r="A27" s="270">
        <v>5203</v>
      </c>
      <c r="B27" s="275" t="s">
        <v>1084</v>
      </c>
      <c r="C27" t="s">
        <v>1085</v>
      </c>
      <c r="D27" t="s">
        <v>989</v>
      </c>
      <c r="I27" s="266"/>
      <c r="J27" s="266"/>
      <c r="K27" s="266"/>
      <c r="L27" s="267"/>
      <c r="M27" s="266"/>
      <c r="N27" s="266"/>
      <c r="O27" s="266"/>
      <c r="P27" s="267"/>
      <c r="Q27" s="266"/>
      <c r="R27" s="266"/>
      <c r="S27" s="266"/>
      <c r="T27" s="267"/>
      <c r="U27" s="266"/>
      <c r="V27" s="266"/>
      <c r="W27" s="266"/>
      <c r="X27" s="267"/>
      <c r="Y27" s="266">
        <v>7000</v>
      </c>
      <c r="Z27" s="266"/>
      <c r="AA27" s="266"/>
      <c r="AB27" s="267" t="s">
        <v>1420</v>
      </c>
      <c r="AC27" s="207">
        <v>7000</v>
      </c>
      <c r="AE27" s="270"/>
    </row>
    <row r="28" spans="1:31">
      <c r="A28" s="270">
        <v>1001</v>
      </c>
      <c r="B28" s="275" t="s">
        <v>977</v>
      </c>
      <c r="C28" t="s">
        <v>978</v>
      </c>
      <c r="D28" t="s">
        <v>974</v>
      </c>
      <c r="I28" s="266"/>
      <c r="J28" s="266"/>
      <c r="K28" s="266"/>
      <c r="L28" s="267"/>
      <c r="M28" s="266"/>
      <c r="N28" s="266"/>
      <c r="O28" s="266"/>
      <c r="P28" s="267"/>
      <c r="Q28" s="266"/>
      <c r="R28" s="266"/>
      <c r="S28" s="266"/>
      <c r="T28" s="267"/>
      <c r="U28" s="266"/>
      <c r="V28" s="266"/>
      <c r="W28" s="266"/>
      <c r="X28" s="267"/>
      <c r="Y28" s="266">
        <v>51183</v>
      </c>
      <c r="Z28" s="266">
        <v>51183</v>
      </c>
      <c r="AA28" s="266">
        <v>34226</v>
      </c>
      <c r="AB28" s="267" t="s">
        <v>1421</v>
      </c>
      <c r="AC28" s="207">
        <v>136592</v>
      </c>
      <c r="AE28" s="270"/>
    </row>
    <row r="29" spans="1:31">
      <c r="A29" s="270">
        <v>3379</v>
      </c>
      <c r="B29" s="275" t="s">
        <v>1092</v>
      </c>
      <c r="C29" t="s">
        <v>1093</v>
      </c>
      <c r="D29" t="s">
        <v>989</v>
      </c>
      <c r="I29" s="266"/>
      <c r="J29" s="266"/>
      <c r="K29" s="266"/>
      <c r="L29" s="267"/>
      <c r="M29" s="266"/>
      <c r="N29" s="266"/>
      <c r="O29" s="266"/>
      <c r="P29" s="267"/>
      <c r="Q29" s="266"/>
      <c r="R29" s="266"/>
      <c r="S29" s="266"/>
      <c r="T29" s="267"/>
      <c r="U29" s="266"/>
      <c r="V29" s="266"/>
      <c r="W29" s="266"/>
      <c r="X29" s="267"/>
      <c r="Y29" s="266"/>
      <c r="Z29" s="266"/>
      <c r="AA29" s="266"/>
      <c r="AB29" s="267"/>
      <c r="AC29" s="207">
        <v>0</v>
      </c>
      <c r="AE29" s="276"/>
    </row>
    <row r="30" spans="1:31">
      <c r="A30" s="270">
        <v>2168</v>
      </c>
      <c r="B30" s="275" t="s">
        <v>1100</v>
      </c>
      <c r="C30" t="s">
        <v>1101</v>
      </c>
      <c r="D30" t="s">
        <v>989</v>
      </c>
      <c r="I30" s="266"/>
      <c r="J30" s="266"/>
      <c r="K30" s="266"/>
      <c r="L30" s="267"/>
      <c r="M30" s="266"/>
      <c r="N30" s="266"/>
      <c r="O30" s="266"/>
      <c r="P30" s="267"/>
      <c r="Q30" s="266"/>
      <c r="R30" s="266"/>
      <c r="S30" s="266"/>
      <c r="T30" s="267"/>
      <c r="U30" s="266"/>
      <c r="V30" s="266"/>
      <c r="W30" s="266"/>
      <c r="X30" s="267"/>
      <c r="Y30" s="266"/>
      <c r="Z30" s="266"/>
      <c r="AA30" s="266"/>
      <c r="AB30" s="267"/>
      <c r="AC30" s="207">
        <v>0</v>
      </c>
      <c r="AE30" s="270"/>
    </row>
    <row r="31" spans="1:31">
      <c r="A31" s="270">
        <v>3304</v>
      </c>
      <c r="B31" s="275" t="s">
        <v>1102</v>
      </c>
      <c r="C31" t="s">
        <v>1103</v>
      </c>
      <c r="D31" t="s">
        <v>989</v>
      </c>
      <c r="I31" s="266"/>
      <c r="J31" s="266"/>
      <c r="K31" s="266"/>
      <c r="L31" s="267"/>
      <c r="M31" s="266"/>
      <c r="N31" s="266"/>
      <c r="O31" s="266"/>
      <c r="P31" s="267"/>
      <c r="Q31" s="266"/>
      <c r="R31" s="266"/>
      <c r="S31" s="266"/>
      <c r="T31" s="267"/>
      <c r="U31" s="266"/>
      <c r="V31" s="266"/>
      <c r="W31" s="266"/>
      <c r="X31" s="267"/>
      <c r="Y31" s="266"/>
      <c r="Z31" s="266"/>
      <c r="AA31" s="266"/>
      <c r="AB31" s="267"/>
      <c r="AC31" s="207">
        <v>0</v>
      </c>
      <c r="AE31" s="270"/>
    </row>
    <row r="32" spans="1:31">
      <c r="A32" s="270">
        <v>2124</v>
      </c>
      <c r="B32" s="275" t="s">
        <v>1104</v>
      </c>
      <c r="C32" t="s">
        <v>1105</v>
      </c>
      <c r="D32" t="s">
        <v>989</v>
      </c>
      <c r="I32" s="266"/>
      <c r="J32" s="266"/>
      <c r="K32" s="266"/>
      <c r="L32" s="267"/>
      <c r="M32" s="266"/>
      <c r="N32" s="266"/>
      <c r="O32" s="266"/>
      <c r="P32" s="267"/>
      <c r="Q32" s="266"/>
      <c r="R32" s="266"/>
      <c r="S32" s="266"/>
      <c r="T32" s="267"/>
      <c r="U32" s="266"/>
      <c r="V32" s="266"/>
      <c r="W32" s="266"/>
      <c r="X32" s="267"/>
      <c r="Y32" s="266">
        <v>70000</v>
      </c>
      <c r="Z32" s="266"/>
      <c r="AA32" s="266"/>
      <c r="AB32" s="267" t="s">
        <v>1422</v>
      </c>
      <c r="AC32" s="207">
        <v>70000</v>
      </c>
      <c r="AE32" s="270"/>
    </row>
    <row r="33" spans="1:31">
      <c r="A33" s="270">
        <v>5207</v>
      </c>
      <c r="B33" s="275" t="s">
        <v>1108</v>
      </c>
      <c r="C33" t="s">
        <v>1109</v>
      </c>
      <c r="D33" t="s">
        <v>989</v>
      </c>
      <c r="I33" s="266"/>
      <c r="J33" s="266"/>
      <c r="K33" s="266"/>
      <c r="L33" s="267"/>
      <c r="M33" s="266"/>
      <c r="N33" s="266"/>
      <c r="O33" s="266"/>
      <c r="P33" s="267"/>
      <c r="Q33" s="266"/>
      <c r="R33" s="266"/>
      <c r="S33" s="266"/>
      <c r="T33" s="267"/>
      <c r="U33" s="266"/>
      <c r="V33" s="266"/>
      <c r="W33" s="266"/>
      <c r="X33" s="267"/>
      <c r="Y33" s="266"/>
      <c r="Z33" s="266"/>
      <c r="AA33" s="266"/>
      <c r="AB33" s="267"/>
      <c r="AC33" s="207">
        <v>0</v>
      </c>
      <c r="AE33" s="270"/>
    </row>
    <row r="34" spans="1:31">
      <c r="A34" s="270">
        <v>3363</v>
      </c>
      <c r="B34" s="275" t="s">
        <v>1110</v>
      </c>
      <c r="C34" t="s">
        <v>1111</v>
      </c>
      <c r="D34" t="s">
        <v>989</v>
      </c>
      <c r="I34" s="266"/>
      <c r="J34" s="266"/>
      <c r="K34" s="266"/>
      <c r="L34" s="267"/>
      <c r="M34" s="266"/>
      <c r="N34" s="266"/>
      <c r="O34" s="266"/>
      <c r="P34" s="267"/>
      <c r="Q34" s="266"/>
      <c r="R34" s="266"/>
      <c r="S34" s="266"/>
      <c r="T34" s="267"/>
      <c r="U34" s="266"/>
      <c r="V34" s="266"/>
      <c r="W34" s="266"/>
      <c r="X34" s="267"/>
      <c r="Y34" s="266"/>
      <c r="Z34" s="266"/>
      <c r="AA34" s="266"/>
      <c r="AB34" s="267"/>
      <c r="AC34" s="207">
        <v>0</v>
      </c>
      <c r="AE34" s="270"/>
    </row>
    <row r="35" spans="1:31">
      <c r="A35" s="270">
        <v>5200</v>
      </c>
      <c r="B35" s="275" t="s">
        <v>1112</v>
      </c>
      <c r="C35" t="s">
        <v>1113</v>
      </c>
      <c r="D35" t="s">
        <v>989</v>
      </c>
      <c r="I35" s="266"/>
      <c r="J35" s="266"/>
      <c r="K35" s="266"/>
      <c r="L35" s="267"/>
      <c r="M35" s="266"/>
      <c r="N35" s="266"/>
      <c r="O35" s="266"/>
      <c r="P35" s="267"/>
      <c r="Q35" s="266"/>
      <c r="R35" s="266"/>
      <c r="S35" s="266"/>
      <c r="T35" s="267"/>
      <c r="U35" s="266"/>
      <c r="V35" s="266"/>
      <c r="W35" s="266"/>
      <c r="X35" s="267"/>
      <c r="Y35" s="266"/>
      <c r="Z35" s="266"/>
      <c r="AA35" s="266"/>
      <c r="AB35" s="267"/>
      <c r="AC35" s="207">
        <v>0</v>
      </c>
      <c r="AE35" s="270"/>
    </row>
    <row r="36" spans="1:31">
      <c r="A36" s="270">
        <v>2090</v>
      </c>
      <c r="B36" s="275" t="s">
        <v>1122</v>
      </c>
      <c r="C36" t="s">
        <v>1123</v>
      </c>
      <c r="D36" t="s">
        <v>989</v>
      </c>
      <c r="I36" s="266"/>
      <c r="J36" s="266"/>
      <c r="K36" s="266"/>
      <c r="L36" s="267"/>
      <c r="M36" s="266"/>
      <c r="N36" s="266"/>
      <c r="O36" s="266"/>
      <c r="P36" s="267"/>
      <c r="Q36" s="266"/>
      <c r="R36" s="266"/>
      <c r="S36" s="266"/>
      <c r="T36" s="267"/>
      <c r="U36" s="266"/>
      <c r="V36" s="266"/>
      <c r="W36" s="266"/>
      <c r="X36" s="267"/>
      <c r="Y36" s="266"/>
      <c r="Z36" s="266"/>
      <c r="AA36" s="266"/>
      <c r="AB36" s="267"/>
      <c r="AC36" s="207">
        <v>0</v>
      </c>
      <c r="AE36" s="270"/>
    </row>
    <row r="37" spans="1:31">
      <c r="A37" s="270">
        <v>1002</v>
      </c>
      <c r="B37" s="275" t="s">
        <v>979</v>
      </c>
      <c r="C37" t="s">
        <v>980</v>
      </c>
      <c r="D37" t="s">
        <v>974</v>
      </c>
      <c r="I37" s="266"/>
      <c r="J37" s="266"/>
      <c r="K37" s="266"/>
      <c r="L37" s="267"/>
      <c r="M37" s="266"/>
      <c r="N37" s="266"/>
      <c r="O37" s="266"/>
      <c r="P37" s="267"/>
      <c r="Q37" s="266"/>
      <c r="R37" s="266"/>
      <c r="S37" s="266"/>
      <c r="T37" s="267"/>
      <c r="U37" s="266"/>
      <c r="V37" s="266"/>
      <c r="W37" s="266">
        <v>106210</v>
      </c>
      <c r="X37" s="267" t="s">
        <v>1421</v>
      </c>
      <c r="Y37" s="266"/>
      <c r="Z37" s="266"/>
      <c r="AA37" s="266">
        <v>106210</v>
      </c>
      <c r="AB37" s="267" t="s">
        <v>1421</v>
      </c>
      <c r="AC37" s="207">
        <v>212420</v>
      </c>
      <c r="AE37" s="270"/>
    </row>
    <row r="38" spans="1:31">
      <c r="A38" s="270">
        <v>2128</v>
      </c>
      <c r="B38" s="275" t="s">
        <v>1130</v>
      </c>
      <c r="C38" t="s">
        <v>1131</v>
      </c>
      <c r="D38" t="s">
        <v>989</v>
      </c>
      <c r="I38" s="266"/>
      <c r="J38" s="266"/>
      <c r="K38" s="266"/>
      <c r="L38" s="267"/>
      <c r="M38" s="266"/>
      <c r="N38" s="266"/>
      <c r="O38" s="266"/>
      <c r="P38" s="267"/>
      <c r="Q38" s="266"/>
      <c r="R38" s="266"/>
      <c r="S38" s="266"/>
      <c r="T38" s="267"/>
      <c r="U38" s="266"/>
      <c r="V38" s="266"/>
      <c r="W38" s="266"/>
      <c r="X38" s="267"/>
      <c r="Y38" s="266">
        <v>285000</v>
      </c>
      <c r="Z38" s="266"/>
      <c r="AA38" s="266"/>
      <c r="AB38" s="267" t="s">
        <v>1422</v>
      </c>
      <c r="AC38" s="207">
        <v>285000</v>
      </c>
      <c r="AE38" s="270"/>
    </row>
    <row r="39" spans="1:31">
      <c r="A39" s="270">
        <v>2145</v>
      </c>
      <c r="B39" s="275" t="s">
        <v>1132</v>
      </c>
      <c r="C39" t="s">
        <v>1133</v>
      </c>
      <c r="D39" t="s">
        <v>989</v>
      </c>
      <c r="E39" s="266">
        <v>42715</v>
      </c>
      <c r="H39" s="267" t="s">
        <v>1423</v>
      </c>
      <c r="I39" s="266"/>
      <c r="J39" s="266"/>
      <c r="K39" s="266"/>
      <c r="L39" s="267"/>
      <c r="M39" s="266"/>
      <c r="N39" s="266"/>
      <c r="O39" s="266"/>
      <c r="P39" s="267"/>
      <c r="Q39" s="266"/>
      <c r="R39" s="266"/>
      <c r="S39" s="266"/>
      <c r="T39" s="267"/>
      <c r="U39" s="266"/>
      <c r="V39" s="266"/>
      <c r="W39" s="266"/>
      <c r="X39" s="267"/>
      <c r="Y39" s="266"/>
      <c r="Z39" s="266"/>
      <c r="AA39" s="266"/>
      <c r="AB39" s="267"/>
      <c r="AC39" s="207">
        <v>42715</v>
      </c>
      <c r="AE39" s="270"/>
    </row>
    <row r="40" spans="1:31">
      <c r="A40" s="270">
        <v>3023</v>
      </c>
      <c r="B40" s="275" t="s">
        <v>1134</v>
      </c>
      <c r="C40" t="s">
        <v>1135</v>
      </c>
      <c r="D40" t="s">
        <v>989</v>
      </c>
      <c r="E40" s="266">
        <v>55000</v>
      </c>
      <c r="H40" s="267" t="s">
        <v>1424</v>
      </c>
      <c r="I40" s="266"/>
      <c r="J40" s="266"/>
      <c r="K40" s="266"/>
      <c r="L40" s="267"/>
      <c r="M40" s="266"/>
      <c r="N40" s="266"/>
      <c r="O40" s="266"/>
      <c r="P40" s="267"/>
      <c r="Q40" s="266"/>
      <c r="R40" s="266"/>
      <c r="S40" s="266"/>
      <c r="T40" s="267"/>
      <c r="U40" s="266"/>
      <c r="V40" s="266"/>
      <c r="W40" s="266"/>
      <c r="X40" s="267"/>
      <c r="Y40" s="266"/>
      <c r="Z40" s="266"/>
      <c r="AA40" s="266"/>
      <c r="AB40" s="267"/>
      <c r="AC40" s="207">
        <v>55000</v>
      </c>
      <c r="AE40" s="270"/>
    </row>
    <row r="41" spans="1:31">
      <c r="A41" s="270">
        <v>1009</v>
      </c>
      <c r="B41" s="275" t="s">
        <v>981</v>
      </c>
      <c r="C41" t="s">
        <v>982</v>
      </c>
      <c r="D41" t="s">
        <v>974</v>
      </c>
      <c r="I41" s="266"/>
      <c r="J41" s="266"/>
      <c r="K41" s="266"/>
      <c r="L41" s="267"/>
      <c r="M41" s="266"/>
      <c r="N41" s="266"/>
      <c r="O41" s="266"/>
      <c r="P41" s="267"/>
      <c r="Q41" s="266"/>
      <c r="R41" s="266"/>
      <c r="S41" s="266"/>
      <c r="T41" s="267"/>
      <c r="U41" s="266"/>
      <c r="V41" s="266"/>
      <c r="W41" s="266"/>
      <c r="X41" s="267"/>
      <c r="Y41" s="266"/>
      <c r="Z41" s="266"/>
      <c r="AA41" s="266"/>
      <c r="AB41" s="267"/>
      <c r="AC41" s="207">
        <v>0</v>
      </c>
      <c r="AE41" s="270"/>
    </row>
    <row r="42" spans="1:31">
      <c r="A42" s="270">
        <v>5206</v>
      </c>
      <c r="B42" s="275" t="s">
        <v>1148</v>
      </c>
      <c r="C42" t="s">
        <v>1149</v>
      </c>
      <c r="D42" t="s">
        <v>989</v>
      </c>
      <c r="I42" s="266"/>
      <c r="J42" s="266"/>
      <c r="K42" s="266"/>
      <c r="L42" s="267"/>
      <c r="M42" s="266"/>
      <c r="N42" s="266"/>
      <c r="O42" s="266"/>
      <c r="P42" s="267"/>
      <c r="Q42" s="266"/>
      <c r="R42" s="266"/>
      <c r="S42" s="266"/>
      <c r="T42" s="267"/>
      <c r="U42" s="266"/>
      <c r="V42" s="266"/>
      <c r="W42" s="266"/>
      <c r="X42" s="267"/>
      <c r="Y42" s="266"/>
      <c r="Z42" s="266"/>
      <c r="AA42" s="266"/>
      <c r="AB42" s="267"/>
      <c r="AC42" s="207">
        <v>0</v>
      </c>
      <c r="AE42" s="270"/>
    </row>
    <row r="43" spans="1:31">
      <c r="A43" s="270">
        <v>2054</v>
      </c>
      <c r="B43" s="275" t="s">
        <v>1152</v>
      </c>
      <c r="C43" t="s">
        <v>1153</v>
      </c>
      <c r="D43" t="s">
        <v>989</v>
      </c>
      <c r="I43" s="266"/>
      <c r="J43" s="266"/>
      <c r="K43" s="266"/>
      <c r="L43" s="267"/>
      <c r="M43" s="266"/>
      <c r="N43" s="266"/>
      <c r="O43" s="266"/>
      <c r="P43" s="267"/>
      <c r="Q43" s="266"/>
      <c r="R43" s="266"/>
      <c r="S43" s="266"/>
      <c r="T43" s="267"/>
      <c r="U43" s="266"/>
      <c r="V43" s="266"/>
      <c r="W43" s="266"/>
      <c r="X43" s="267"/>
      <c r="Y43" s="266"/>
      <c r="Z43" s="266"/>
      <c r="AA43" s="266"/>
      <c r="AB43" s="267"/>
      <c r="AC43" s="207">
        <v>0</v>
      </c>
      <c r="AE43" s="270"/>
    </row>
    <row r="44" spans="1:31">
      <c r="A44" s="270">
        <v>2197</v>
      </c>
      <c r="B44" s="275" t="s">
        <v>1154</v>
      </c>
      <c r="C44" t="s">
        <v>1155</v>
      </c>
      <c r="D44" t="s">
        <v>989</v>
      </c>
      <c r="I44" s="266"/>
      <c r="J44" s="266"/>
      <c r="K44" s="266"/>
      <c r="L44" s="267"/>
      <c r="M44" s="266"/>
      <c r="N44" s="266"/>
      <c r="O44" s="266"/>
      <c r="P44" s="267"/>
      <c r="Q44" s="266"/>
      <c r="R44" s="266"/>
      <c r="S44" s="266"/>
      <c r="T44" s="267"/>
      <c r="U44" s="266"/>
      <c r="V44" s="266"/>
      <c r="W44" s="266"/>
      <c r="X44" s="267"/>
      <c r="Y44" s="266"/>
      <c r="Z44" s="266"/>
      <c r="AA44" s="266"/>
      <c r="AB44" s="267"/>
      <c r="AC44" s="207">
        <v>0</v>
      </c>
      <c r="AE44" s="270"/>
    </row>
    <row r="45" spans="1:31">
      <c r="A45" s="270">
        <v>3377</v>
      </c>
      <c r="B45" s="275" t="s">
        <v>1170</v>
      </c>
      <c r="C45" t="s">
        <v>1171</v>
      </c>
      <c r="D45" t="s">
        <v>989</v>
      </c>
      <c r="I45" s="266"/>
      <c r="J45" s="266"/>
      <c r="K45" s="266"/>
      <c r="L45" s="267"/>
      <c r="M45" s="266"/>
      <c r="N45" s="266"/>
      <c r="O45" s="266"/>
      <c r="P45" s="267"/>
      <c r="Q45" s="266"/>
      <c r="R45" s="266"/>
      <c r="S45" s="266"/>
      <c r="T45" s="267"/>
      <c r="U45" s="266"/>
      <c r="V45" s="266"/>
      <c r="W45" s="266"/>
      <c r="X45" s="267"/>
      <c r="Y45" s="266">
        <v>166000</v>
      </c>
      <c r="Z45" s="266"/>
      <c r="AA45" s="266"/>
      <c r="AB45" s="267" t="s">
        <v>1425</v>
      </c>
      <c r="AC45" s="207">
        <v>166000</v>
      </c>
      <c r="AE45" s="270"/>
    </row>
    <row r="46" spans="1:31">
      <c r="A46" s="270">
        <v>2101</v>
      </c>
      <c r="B46" s="275" t="s">
        <v>1172</v>
      </c>
      <c r="C46" t="s">
        <v>1173</v>
      </c>
      <c r="D46" t="s">
        <v>989</v>
      </c>
      <c r="I46" s="266"/>
      <c r="J46" s="266"/>
      <c r="K46" s="266"/>
      <c r="L46" s="267"/>
      <c r="M46" s="266"/>
      <c r="N46" s="266"/>
      <c r="O46" s="266"/>
      <c r="P46" s="267"/>
      <c r="Q46" s="266"/>
      <c r="R46" s="266"/>
      <c r="S46" s="266"/>
      <c r="T46" s="267"/>
      <c r="U46" s="266"/>
      <c r="V46" s="266"/>
      <c r="W46" s="266"/>
      <c r="X46" s="267"/>
      <c r="Y46" s="266"/>
      <c r="Z46" s="266"/>
      <c r="AA46" s="266"/>
      <c r="AB46" s="267"/>
      <c r="AC46" s="207">
        <v>0</v>
      </c>
      <c r="AE46" s="270"/>
    </row>
    <row r="47" spans="1:31">
      <c r="A47" s="270">
        <v>3365</v>
      </c>
      <c r="B47" s="275" t="s">
        <v>1180</v>
      </c>
      <c r="C47" t="s">
        <v>1181</v>
      </c>
      <c r="D47" t="s">
        <v>989</v>
      </c>
      <c r="I47" s="266"/>
      <c r="J47" s="266"/>
      <c r="K47" s="266"/>
      <c r="L47" s="267"/>
      <c r="M47" s="266"/>
      <c r="N47" s="266"/>
      <c r="O47" s="266"/>
      <c r="P47" s="267"/>
      <c r="Q47" s="266"/>
      <c r="R47" s="266"/>
      <c r="S47" s="266"/>
      <c r="T47" s="267"/>
      <c r="U47" s="266"/>
      <c r="V47" s="266"/>
      <c r="W47" s="266"/>
      <c r="X47" s="267"/>
      <c r="Y47" s="266"/>
      <c r="Z47" s="266"/>
      <c r="AA47" s="266"/>
      <c r="AB47" s="267"/>
      <c r="AC47" s="207">
        <v>0</v>
      </c>
      <c r="AE47" s="270"/>
    </row>
    <row r="48" spans="1:31">
      <c r="A48" s="270">
        <v>5202</v>
      </c>
      <c r="B48" s="275" t="s">
        <v>1182</v>
      </c>
      <c r="C48" t="s">
        <v>1183</v>
      </c>
      <c r="D48" t="s">
        <v>989</v>
      </c>
      <c r="I48" s="266"/>
      <c r="J48" s="266"/>
      <c r="K48" s="266"/>
      <c r="L48" s="267"/>
      <c r="M48" s="266"/>
      <c r="N48" s="266"/>
      <c r="O48" s="266"/>
      <c r="P48" s="267"/>
      <c r="Q48" s="266"/>
      <c r="R48" s="266"/>
      <c r="S48" s="266"/>
      <c r="T48" s="267"/>
      <c r="U48" s="266"/>
      <c r="V48" s="266"/>
      <c r="W48" s="266"/>
      <c r="X48" s="267"/>
      <c r="Y48" s="266"/>
      <c r="Z48" s="266"/>
      <c r="AA48" s="266"/>
      <c r="AB48" s="267"/>
      <c r="AC48" s="207">
        <v>0</v>
      </c>
      <c r="AE48" s="270"/>
    </row>
    <row r="49" spans="1:31">
      <c r="A49" s="270">
        <v>2140</v>
      </c>
      <c r="B49" s="275" t="s">
        <v>1184</v>
      </c>
      <c r="C49" t="s">
        <v>1185</v>
      </c>
      <c r="D49" t="s">
        <v>989</v>
      </c>
      <c r="I49" s="266"/>
      <c r="J49" s="266"/>
      <c r="K49" s="266"/>
      <c r="L49" s="267"/>
      <c r="M49" s="266"/>
      <c r="N49" s="266"/>
      <c r="O49" s="266"/>
      <c r="P49" s="267"/>
      <c r="Q49" s="266"/>
      <c r="R49" s="266"/>
      <c r="S49" s="266"/>
      <c r="T49" s="267"/>
      <c r="U49" s="266"/>
      <c r="V49" s="266"/>
      <c r="W49" s="266"/>
      <c r="X49" s="267"/>
      <c r="Y49" s="266"/>
      <c r="Z49" s="266"/>
      <c r="AA49" s="266"/>
      <c r="AB49" s="267"/>
      <c r="AC49" s="207">
        <v>0</v>
      </c>
      <c r="AE49" s="270"/>
    </row>
    <row r="50" spans="1:31">
      <c r="A50" s="270">
        <v>2174</v>
      </c>
      <c r="B50" s="275" t="s">
        <v>1186</v>
      </c>
      <c r="C50" t="s">
        <v>1187</v>
      </c>
      <c r="D50" t="s">
        <v>989</v>
      </c>
      <c r="I50" s="266"/>
      <c r="J50" s="266"/>
      <c r="K50" s="266"/>
      <c r="L50" s="267"/>
      <c r="M50" s="266"/>
      <c r="N50" s="266"/>
      <c r="O50" s="266"/>
      <c r="P50" s="267"/>
      <c r="Q50" s="266"/>
      <c r="R50" s="266"/>
      <c r="S50" s="266"/>
      <c r="T50" s="267"/>
      <c r="U50" s="266"/>
      <c r="V50" s="266"/>
      <c r="W50" s="266"/>
      <c r="X50" s="267"/>
      <c r="Y50" s="266"/>
      <c r="Z50" s="266"/>
      <c r="AA50" s="266"/>
      <c r="AB50" s="267"/>
      <c r="AC50" s="207">
        <v>0</v>
      </c>
      <c r="AE50" s="270"/>
    </row>
    <row r="51" spans="1:31">
      <c r="A51" s="270">
        <v>2055</v>
      </c>
      <c r="B51" s="275" t="s">
        <v>1188</v>
      </c>
      <c r="C51" t="s">
        <v>1189</v>
      </c>
      <c r="D51" t="s">
        <v>989</v>
      </c>
      <c r="I51" s="266"/>
      <c r="J51" s="266"/>
      <c r="K51" s="266"/>
      <c r="L51" s="267"/>
      <c r="M51" s="266"/>
      <c r="N51" s="266"/>
      <c r="O51" s="266"/>
      <c r="P51" s="267"/>
      <c r="Q51" s="266"/>
      <c r="R51" s="266"/>
      <c r="S51" s="266"/>
      <c r="T51" s="267"/>
      <c r="U51" s="266"/>
      <c r="V51" s="266"/>
      <c r="W51" s="266"/>
      <c r="X51" s="267"/>
      <c r="Y51" s="266"/>
      <c r="Z51" s="266"/>
      <c r="AA51" s="266"/>
      <c r="AB51" s="267"/>
      <c r="AC51" s="207">
        <v>0</v>
      </c>
      <c r="AE51" s="270"/>
    </row>
    <row r="52" spans="1:31">
      <c r="A52" s="270">
        <v>1010</v>
      </c>
      <c r="B52" s="275" t="s">
        <v>983</v>
      </c>
      <c r="C52" t="s">
        <v>984</v>
      </c>
      <c r="D52" t="s">
        <v>974</v>
      </c>
      <c r="E52" s="266">
        <v>14750</v>
      </c>
      <c r="H52" s="267" t="s">
        <v>1426</v>
      </c>
      <c r="I52" s="266"/>
      <c r="J52" s="266"/>
      <c r="K52" s="266"/>
      <c r="L52" s="267"/>
      <c r="M52" s="266"/>
      <c r="N52" s="266"/>
      <c r="O52" s="266"/>
      <c r="P52" s="267"/>
      <c r="Q52" s="266"/>
      <c r="R52" s="266"/>
      <c r="S52" s="266"/>
      <c r="T52" s="267"/>
      <c r="U52" s="266"/>
      <c r="V52" s="266"/>
      <c r="W52" s="266">
        <v>218803</v>
      </c>
      <c r="X52" s="267" t="s">
        <v>1421</v>
      </c>
      <c r="Y52" s="267"/>
      <c r="Z52" s="266"/>
      <c r="AA52" s="266">
        <v>218803</v>
      </c>
      <c r="AB52" s="267" t="s">
        <v>1421</v>
      </c>
      <c r="AC52" s="207">
        <v>452356</v>
      </c>
      <c r="AE52" s="270"/>
    </row>
    <row r="53" spans="1:31">
      <c r="A53" s="270">
        <v>3021</v>
      </c>
      <c r="B53" s="275" t="s">
        <v>1226</v>
      </c>
      <c r="C53" t="s">
        <v>1227</v>
      </c>
      <c r="D53" t="s">
        <v>989</v>
      </c>
      <c r="I53" s="266"/>
      <c r="J53" s="266"/>
      <c r="K53" s="266"/>
      <c r="L53" s="267"/>
      <c r="M53" s="266"/>
      <c r="N53" s="266"/>
      <c r="O53" s="266"/>
      <c r="P53" s="267"/>
      <c r="Q53" s="266"/>
      <c r="R53" s="266"/>
      <c r="S53" s="266"/>
      <c r="T53" s="267"/>
      <c r="U53" s="266"/>
      <c r="V53" s="266"/>
      <c r="W53" s="266"/>
      <c r="X53" s="267"/>
      <c r="Y53" s="266"/>
      <c r="Z53" s="266"/>
      <c r="AA53" s="266"/>
      <c r="AB53" s="267"/>
      <c r="AC53" s="207">
        <v>0</v>
      </c>
      <c r="AE53" s="270"/>
    </row>
    <row r="54" spans="1:31">
      <c r="A54" s="270">
        <v>3013</v>
      </c>
      <c r="B54" s="275" t="s">
        <v>1232</v>
      </c>
      <c r="C54" t="s">
        <v>1233</v>
      </c>
      <c r="D54" t="s">
        <v>989</v>
      </c>
      <c r="I54" s="266"/>
      <c r="J54" s="266"/>
      <c r="K54" s="266"/>
      <c r="L54" s="267"/>
      <c r="M54" s="266"/>
      <c r="N54" s="266"/>
      <c r="O54" s="266"/>
      <c r="P54" s="267"/>
      <c r="Q54" s="266"/>
      <c r="R54" s="266"/>
      <c r="S54" s="266"/>
      <c r="T54" s="267"/>
      <c r="U54" s="266"/>
      <c r="V54" s="266"/>
      <c r="W54" s="266"/>
      <c r="X54" s="267"/>
      <c r="Y54" s="266"/>
      <c r="Z54" s="266"/>
      <c r="AA54" s="266"/>
      <c r="AB54" s="267"/>
      <c r="AC54" s="207">
        <v>0</v>
      </c>
      <c r="AE54" s="270"/>
    </row>
    <row r="55" spans="1:31">
      <c r="A55" s="270">
        <v>3301</v>
      </c>
      <c r="B55" s="275" t="s">
        <v>1234</v>
      </c>
      <c r="C55" t="s">
        <v>1235</v>
      </c>
      <c r="D55" t="s">
        <v>989</v>
      </c>
      <c r="I55" s="266"/>
      <c r="J55" s="266"/>
      <c r="K55" s="266"/>
      <c r="L55" s="267"/>
      <c r="M55" s="266"/>
      <c r="N55" s="266"/>
      <c r="O55" s="266"/>
      <c r="P55" s="267"/>
      <c r="Q55" s="266"/>
      <c r="R55" s="266"/>
      <c r="S55" s="266"/>
      <c r="T55" s="267"/>
      <c r="U55" s="266"/>
      <c r="V55" s="266"/>
      <c r="W55" s="266"/>
      <c r="X55" s="267"/>
      <c r="Y55" s="266"/>
      <c r="Z55" s="266"/>
      <c r="AA55" s="266"/>
      <c r="AB55" s="267"/>
      <c r="AC55" s="207">
        <v>0</v>
      </c>
      <c r="AE55" s="270"/>
    </row>
    <row r="56" spans="1:31">
      <c r="A56" s="270">
        <v>3313</v>
      </c>
      <c r="B56" s="275" t="s">
        <v>1238</v>
      </c>
      <c r="C56" t="s">
        <v>1239</v>
      </c>
      <c r="D56" t="s">
        <v>989</v>
      </c>
      <c r="I56" s="266"/>
      <c r="J56" s="266"/>
      <c r="K56" s="266"/>
      <c r="L56" s="267"/>
      <c r="M56" s="266"/>
      <c r="N56" s="266"/>
      <c r="O56" s="266"/>
      <c r="P56" s="267"/>
      <c r="Q56" s="266"/>
      <c r="R56" s="266"/>
      <c r="S56" s="266"/>
      <c r="T56" s="267"/>
      <c r="U56" s="266"/>
      <c r="V56" s="266"/>
      <c r="W56" s="266"/>
      <c r="X56" s="267"/>
      <c r="Y56" s="266"/>
      <c r="Z56" s="266"/>
      <c r="AA56" s="266"/>
      <c r="AB56" s="267"/>
      <c r="AC56" s="207">
        <v>0</v>
      </c>
      <c r="AE56" s="270"/>
    </row>
    <row r="57" spans="1:31">
      <c r="A57" s="270">
        <v>2134</v>
      </c>
      <c r="B57" s="275" t="s">
        <v>1246</v>
      </c>
      <c r="C57" t="s">
        <v>1247</v>
      </c>
      <c r="D57" t="s">
        <v>989</v>
      </c>
      <c r="I57" s="266"/>
      <c r="J57" s="266"/>
      <c r="K57" s="266"/>
      <c r="L57" s="267"/>
      <c r="M57" s="266"/>
      <c r="N57" s="266"/>
      <c r="O57" s="266"/>
      <c r="P57" s="267"/>
      <c r="Q57" s="266"/>
      <c r="R57" s="266"/>
      <c r="S57" s="266"/>
      <c r="T57" s="267"/>
      <c r="U57" s="266"/>
      <c r="V57" s="266"/>
      <c r="W57" s="266"/>
      <c r="X57" s="267"/>
      <c r="Y57" s="266"/>
      <c r="Z57" s="266"/>
      <c r="AA57" s="266"/>
      <c r="AB57" s="267"/>
      <c r="AC57" s="207">
        <v>0</v>
      </c>
      <c r="AE57" s="270"/>
    </row>
    <row r="58" spans="1:31">
      <c r="A58" s="270">
        <v>2148</v>
      </c>
      <c r="B58" s="275" t="s">
        <v>1248</v>
      </c>
      <c r="C58" t="s">
        <v>1249</v>
      </c>
      <c r="D58" t="s">
        <v>989</v>
      </c>
      <c r="I58" s="266"/>
      <c r="J58" s="266"/>
      <c r="K58" s="266"/>
      <c r="L58" s="267"/>
      <c r="M58" s="266"/>
      <c r="N58" s="266"/>
      <c r="O58" s="266"/>
      <c r="P58" s="267"/>
      <c r="Q58" s="266"/>
      <c r="R58" s="266"/>
      <c r="S58" s="266"/>
      <c r="T58" s="267"/>
      <c r="U58" s="266"/>
      <c r="V58" s="266"/>
      <c r="W58" s="266"/>
      <c r="X58" s="267"/>
      <c r="Y58" s="266"/>
      <c r="Z58" s="266"/>
      <c r="AA58" s="266"/>
      <c r="AB58" s="267"/>
      <c r="AC58" s="207">
        <v>0</v>
      </c>
      <c r="AE58" s="270"/>
    </row>
    <row r="59" spans="1:31">
      <c r="A59" s="270">
        <v>2081</v>
      </c>
      <c r="B59" s="275" t="s">
        <v>1250</v>
      </c>
      <c r="C59" t="s">
        <v>1251</v>
      </c>
      <c r="D59" t="s">
        <v>989</v>
      </c>
      <c r="I59" s="266"/>
      <c r="J59" s="266"/>
      <c r="K59" s="266"/>
      <c r="L59" s="267"/>
      <c r="M59" s="266"/>
      <c r="N59" s="266"/>
      <c r="O59" s="266"/>
      <c r="P59" s="267"/>
      <c r="Q59" s="266"/>
      <c r="R59" s="266"/>
      <c r="S59" s="266"/>
      <c r="T59" s="267"/>
      <c r="U59" s="266"/>
      <c r="V59" s="266"/>
      <c r="W59" s="266"/>
      <c r="X59" s="267"/>
      <c r="Y59" s="266"/>
      <c r="Z59" s="266"/>
      <c r="AA59" s="266"/>
      <c r="AB59" s="267"/>
      <c r="AC59" s="207">
        <v>0</v>
      </c>
      <c r="AE59" s="270"/>
    </row>
    <row r="60" spans="1:31">
      <c r="A60" s="270">
        <v>1000</v>
      </c>
      <c r="B60" s="275" t="s">
        <v>985</v>
      </c>
      <c r="C60" t="s">
        <v>986</v>
      </c>
      <c r="D60" t="s">
        <v>974</v>
      </c>
      <c r="I60" s="266"/>
      <c r="J60" s="266"/>
      <c r="K60" s="266"/>
      <c r="L60" s="267"/>
      <c r="M60" s="266"/>
      <c r="N60" s="266"/>
      <c r="O60" s="266"/>
      <c r="P60" s="267"/>
      <c r="Q60" s="266"/>
      <c r="R60" s="266"/>
      <c r="S60" s="266"/>
      <c r="T60" s="267"/>
      <c r="U60" s="266"/>
      <c r="V60" s="266"/>
      <c r="W60" s="266"/>
      <c r="X60" s="267"/>
      <c r="Y60" s="266"/>
      <c r="Z60" s="266"/>
      <c r="AA60" s="266"/>
      <c r="AB60" s="267"/>
      <c r="AC60" s="207">
        <v>0</v>
      </c>
      <c r="AE60" s="270"/>
    </row>
    <row r="61" spans="1:31">
      <c r="A61" s="270">
        <v>2057</v>
      </c>
      <c r="B61" s="275" t="s">
        <v>1252</v>
      </c>
      <c r="C61" t="s">
        <v>1253</v>
      </c>
      <c r="D61" t="s">
        <v>989</v>
      </c>
      <c r="I61" s="266"/>
      <c r="J61" s="266"/>
      <c r="K61" s="266"/>
      <c r="L61" s="267"/>
      <c r="M61" s="266"/>
      <c r="N61" s="266"/>
      <c r="O61" s="266"/>
      <c r="P61" s="267"/>
      <c r="Q61" s="266"/>
      <c r="R61" s="266"/>
      <c r="S61" s="266"/>
      <c r="T61" s="267"/>
      <c r="U61" s="266"/>
      <c r="V61" s="266"/>
      <c r="W61" s="266"/>
      <c r="X61" s="267"/>
      <c r="Y61" s="266"/>
      <c r="Z61" s="266"/>
      <c r="AA61" s="266"/>
      <c r="AB61" s="267"/>
      <c r="AC61" s="207">
        <v>0</v>
      </c>
      <c r="AE61" s="270"/>
    </row>
    <row r="62" spans="1:31">
      <c r="A62" s="270">
        <v>2058</v>
      </c>
      <c r="B62" s="275" t="s">
        <v>1254</v>
      </c>
      <c r="C62" t="s">
        <v>1255</v>
      </c>
      <c r="D62" t="s">
        <v>989</v>
      </c>
      <c r="I62" s="266"/>
      <c r="J62" s="266"/>
      <c r="K62" s="266"/>
      <c r="L62" s="267"/>
      <c r="M62" s="266"/>
      <c r="N62" s="266"/>
      <c r="O62" s="266"/>
      <c r="P62" s="267"/>
      <c r="Q62" s="266"/>
      <c r="R62" s="266"/>
      <c r="S62" s="266"/>
      <c r="T62" s="267"/>
      <c r="U62" s="266"/>
      <c r="V62" s="266"/>
      <c r="W62" s="266"/>
      <c r="X62" s="267"/>
      <c r="Y62" s="266"/>
      <c r="Z62" s="266"/>
      <c r="AA62" s="266"/>
      <c r="AB62" s="267"/>
      <c r="AC62" s="207">
        <v>0</v>
      </c>
      <c r="AE62" s="270"/>
    </row>
    <row r="63" spans="1:31">
      <c r="A63" s="270">
        <v>4074</v>
      </c>
      <c r="B63" s="275" t="s">
        <v>1327</v>
      </c>
      <c r="C63" t="s">
        <v>1328</v>
      </c>
      <c r="D63" t="s">
        <v>1294</v>
      </c>
      <c r="E63" s="266">
        <v>300000</v>
      </c>
      <c r="H63" s="267" t="s">
        <v>1427</v>
      </c>
      <c r="I63" s="266"/>
      <c r="J63" s="266"/>
      <c r="K63" s="266"/>
      <c r="L63" s="267"/>
      <c r="M63" s="266"/>
      <c r="N63" s="266"/>
      <c r="O63" s="266"/>
      <c r="P63" s="267"/>
      <c r="Q63" s="266">
        <v>226553</v>
      </c>
      <c r="R63" s="266"/>
      <c r="S63" s="266"/>
      <c r="T63" s="267" t="s">
        <v>1428</v>
      </c>
      <c r="U63" s="266"/>
      <c r="V63" s="266"/>
      <c r="W63" s="266"/>
      <c r="X63" s="267"/>
      <c r="Y63" s="266"/>
      <c r="Z63" s="266"/>
      <c r="AA63" s="266"/>
      <c r="AB63" s="267"/>
      <c r="AC63" s="207">
        <v>526553</v>
      </c>
      <c r="AE63" s="270"/>
    </row>
    <row r="64" spans="1:31">
      <c r="A64" s="270">
        <v>2071</v>
      </c>
      <c r="B64" s="275" t="s">
        <v>1268</v>
      </c>
      <c r="C64" t="s">
        <v>1269</v>
      </c>
      <c r="D64" t="s">
        <v>989</v>
      </c>
      <c r="I64" s="266"/>
      <c r="J64" s="266"/>
      <c r="K64" s="266"/>
      <c r="L64" s="267"/>
      <c r="M64" s="266"/>
      <c r="N64" s="266"/>
      <c r="O64" s="266"/>
      <c r="P64" s="267"/>
      <c r="Q64" s="266"/>
      <c r="R64" s="266"/>
      <c r="S64" s="266"/>
      <c r="T64" s="267"/>
      <c r="U64" s="266"/>
      <c r="V64" s="266"/>
      <c r="W64" s="266"/>
      <c r="X64" s="267"/>
      <c r="Y64" s="266"/>
      <c r="Z64" s="266"/>
      <c r="AA64" s="266"/>
      <c r="AB64" s="267"/>
      <c r="AC64" s="207">
        <v>0</v>
      </c>
      <c r="AE64" s="270"/>
    </row>
    <row r="65" spans="1:31">
      <c r="A65" s="270">
        <v>2074</v>
      </c>
      <c r="B65" s="275" t="s">
        <v>1276</v>
      </c>
      <c r="C65" t="s">
        <v>1277</v>
      </c>
      <c r="D65" t="s">
        <v>989</v>
      </c>
      <c r="I65" s="266"/>
      <c r="J65" s="266"/>
      <c r="K65" s="266"/>
      <c r="L65" s="267"/>
      <c r="M65" s="266"/>
      <c r="N65" s="266"/>
      <c r="O65" s="266"/>
      <c r="P65" s="267"/>
      <c r="Q65" s="266"/>
      <c r="R65" s="266"/>
      <c r="S65" s="266"/>
      <c r="T65" s="267"/>
      <c r="U65" s="266"/>
      <c r="V65" s="266"/>
      <c r="W65" s="266"/>
      <c r="X65" s="267"/>
      <c r="Y65" s="266">
        <v>13026</v>
      </c>
      <c r="Z65" s="266"/>
      <c r="AA65" s="266"/>
      <c r="AB65" s="267" t="s">
        <v>1429</v>
      </c>
      <c r="AC65" s="207">
        <v>13026</v>
      </c>
      <c r="AE65" s="270"/>
    </row>
    <row r="66" spans="1:31">
      <c r="A66" s="270">
        <v>2100</v>
      </c>
      <c r="B66" s="275" t="s">
        <v>1288</v>
      </c>
      <c r="C66" t="s">
        <v>1289</v>
      </c>
      <c r="D66" t="s">
        <v>989</v>
      </c>
      <c r="I66" s="266"/>
      <c r="J66" s="266"/>
      <c r="K66" s="266"/>
      <c r="L66" s="267"/>
      <c r="M66" s="266"/>
      <c r="N66" s="266"/>
      <c r="O66" s="266"/>
      <c r="P66" s="267"/>
      <c r="Q66" s="266"/>
      <c r="R66" s="266"/>
      <c r="S66" s="266"/>
      <c r="T66" s="267"/>
      <c r="U66" s="266"/>
      <c r="V66" s="266"/>
      <c r="W66" s="266"/>
      <c r="X66" s="267"/>
      <c r="Y66" s="266">
        <v>17364</v>
      </c>
      <c r="Z66" s="266"/>
      <c r="AA66" s="266"/>
      <c r="AB66" s="267" t="s">
        <v>1430</v>
      </c>
      <c r="AC66" s="207">
        <v>17364</v>
      </c>
      <c r="AE66" s="270"/>
    </row>
    <row r="67" spans="1:31" ht="13.8" thickBot="1">
      <c r="A67" s="270">
        <v>1103</v>
      </c>
      <c r="B67" s="275" t="s">
        <v>1431</v>
      </c>
      <c r="C67" t="s">
        <v>1432</v>
      </c>
      <c r="D67" t="s">
        <v>1351</v>
      </c>
      <c r="I67" s="266"/>
      <c r="J67" s="266"/>
      <c r="K67" s="266"/>
      <c r="L67" s="267"/>
      <c r="M67" s="266"/>
      <c r="N67" s="266"/>
      <c r="O67" s="266"/>
      <c r="P67" s="267"/>
      <c r="Q67" s="266"/>
      <c r="R67" s="266"/>
      <c r="S67" s="266"/>
      <c r="T67" s="267"/>
      <c r="U67" s="266"/>
      <c r="V67" s="266"/>
      <c r="W67" s="266"/>
      <c r="X67" s="267"/>
      <c r="Y67" s="266"/>
      <c r="Z67" s="266"/>
      <c r="AA67" s="266"/>
      <c r="AB67" s="267"/>
      <c r="AC67" s="207">
        <v>0</v>
      </c>
      <c r="AE67" s="270"/>
    </row>
    <row r="68" spans="1:31" ht="13.8" thickBot="1">
      <c r="C68" s="277" t="s">
        <v>1433</v>
      </c>
      <c r="E68" s="278">
        <v>704465</v>
      </c>
      <c r="F68" s="278">
        <v>0</v>
      </c>
      <c r="G68" s="279">
        <v>0</v>
      </c>
      <c r="I68" s="278">
        <v>0</v>
      </c>
      <c r="J68" s="278">
        <v>0</v>
      </c>
      <c r="K68" s="279">
        <v>0</v>
      </c>
      <c r="M68" s="278">
        <v>0</v>
      </c>
      <c r="N68" s="278">
        <v>0</v>
      </c>
      <c r="O68" s="279">
        <v>0</v>
      </c>
      <c r="Q68" s="278">
        <v>436138</v>
      </c>
      <c r="R68" s="278">
        <v>14429</v>
      </c>
      <c r="S68" s="279">
        <v>828890</v>
      </c>
      <c r="U68" s="278">
        <v>0</v>
      </c>
      <c r="V68" s="278">
        <v>0</v>
      </c>
      <c r="W68" s="279">
        <v>325013</v>
      </c>
      <c r="Y68" s="278">
        <v>609573</v>
      </c>
      <c r="Z68" s="278">
        <v>51183</v>
      </c>
      <c r="AA68" s="279">
        <v>359239</v>
      </c>
      <c r="AC68" s="280">
        <v>3328930</v>
      </c>
      <c r="AE68" s="270"/>
    </row>
    <row r="69" spans="1:31" ht="13.8" thickBot="1">
      <c r="C69" s="277" t="s">
        <v>1434</v>
      </c>
      <c r="G69" s="280">
        <v>704465</v>
      </c>
      <c r="I69" s="266"/>
      <c r="J69" s="266"/>
      <c r="K69" s="280">
        <v>0</v>
      </c>
      <c r="M69" s="266"/>
      <c r="N69" s="266"/>
      <c r="O69" s="280">
        <v>0</v>
      </c>
      <c r="Q69" s="266"/>
      <c r="R69" s="266"/>
      <c r="S69" s="280">
        <v>1279457</v>
      </c>
      <c r="U69" s="266"/>
      <c r="V69" s="266"/>
      <c r="W69" s="280">
        <v>325013</v>
      </c>
      <c r="Y69" s="266"/>
      <c r="Z69" s="266"/>
      <c r="AA69" s="280">
        <v>1019995</v>
      </c>
      <c r="AC69" s="281">
        <v>0</v>
      </c>
      <c r="AE69" s="270"/>
    </row>
    <row r="70" spans="1:31">
      <c r="E70" s="266">
        <v>5</v>
      </c>
      <c r="F70" s="266">
        <v>0</v>
      </c>
      <c r="I70" s="266">
        <v>0</v>
      </c>
      <c r="J70" s="266">
        <v>0</v>
      </c>
      <c r="M70" s="266">
        <v>0</v>
      </c>
      <c r="N70" s="266">
        <v>0</v>
      </c>
      <c r="Q70" s="266">
        <v>3</v>
      </c>
      <c r="R70" s="266">
        <v>1</v>
      </c>
      <c r="U70" s="266">
        <v>0</v>
      </c>
      <c r="V70" s="266">
        <v>0</v>
      </c>
      <c r="Y70" s="266">
        <v>7</v>
      </c>
      <c r="Z70" s="266">
        <v>1</v>
      </c>
      <c r="AE70" s="270"/>
    </row>
    <row r="71" spans="1:31">
      <c r="A71"/>
      <c r="B71"/>
      <c r="E71"/>
      <c r="F71"/>
      <c r="G71"/>
      <c r="H71"/>
      <c r="I71"/>
      <c r="J71"/>
      <c r="K71"/>
      <c r="L71"/>
      <c r="M71"/>
      <c r="N71"/>
      <c r="O71"/>
      <c r="P71"/>
      <c r="Q71"/>
      <c r="R71"/>
      <c r="S71"/>
      <c r="T71"/>
      <c r="U71"/>
      <c r="V71"/>
      <c r="W71"/>
      <c r="X71"/>
      <c r="Y71"/>
      <c r="Z71"/>
      <c r="AA71"/>
      <c r="AB71"/>
      <c r="AC71"/>
      <c r="AD71"/>
      <c r="AE71"/>
    </row>
    <row r="72" spans="1:31" hidden="1">
      <c r="A72"/>
      <c r="B72"/>
      <c r="C72" s="282" t="s">
        <v>1435</v>
      </c>
      <c r="E72"/>
      <c r="F72"/>
      <c r="G72"/>
      <c r="H72"/>
      <c r="I72"/>
      <c r="J72"/>
      <c r="K72"/>
      <c r="L72"/>
      <c r="M72"/>
      <c r="N72"/>
      <c r="O72"/>
      <c r="P72"/>
      <c r="Q72"/>
      <c r="R72"/>
      <c r="S72"/>
      <c r="T72"/>
      <c r="U72"/>
      <c r="V72"/>
      <c r="W72"/>
      <c r="X72"/>
      <c r="Y72"/>
      <c r="Z72"/>
      <c r="AA72"/>
      <c r="AB72"/>
      <c r="AC72"/>
      <c r="AD72"/>
      <c r="AE72"/>
    </row>
    <row r="73" spans="1:31" hidden="1">
      <c r="A73"/>
      <c r="B73"/>
      <c r="C73" s="283" t="s">
        <v>1436</v>
      </c>
      <c r="E73"/>
      <c r="F73"/>
      <c r="G73"/>
      <c r="H73"/>
      <c r="I73"/>
      <c r="J73"/>
      <c r="K73"/>
      <c r="L73"/>
      <c r="M73"/>
      <c r="N73"/>
      <c r="O73"/>
      <c r="P73"/>
      <c r="Q73"/>
      <c r="R73"/>
      <c r="S73"/>
      <c r="T73"/>
      <c r="U73"/>
      <c r="V73"/>
      <c r="W73"/>
      <c r="X73"/>
      <c r="Y73"/>
      <c r="Z73"/>
      <c r="AA73"/>
      <c r="AB73"/>
      <c r="AC73"/>
      <c r="AD73"/>
      <c r="AE73"/>
    </row>
    <row r="74" spans="1:31">
      <c r="A74"/>
      <c r="B74"/>
      <c r="C74" s="283"/>
      <c r="E74"/>
      <c r="F74"/>
      <c r="G74"/>
      <c r="H74"/>
      <c r="I74"/>
      <c r="J74"/>
      <c r="K74"/>
      <c r="L74"/>
      <c r="M74"/>
      <c r="N74"/>
      <c r="O74"/>
      <c r="P74"/>
      <c r="Q74"/>
      <c r="R74"/>
      <c r="S74"/>
      <c r="T74"/>
      <c r="U74"/>
      <c r="V74"/>
      <c r="W74"/>
      <c r="X74"/>
      <c r="Y74"/>
      <c r="Z74"/>
      <c r="AA74"/>
      <c r="AB74"/>
      <c r="AC74"/>
      <c r="AD74"/>
      <c r="AE74"/>
    </row>
    <row r="75" spans="1:31">
      <c r="A75"/>
      <c r="B75"/>
      <c r="C75" s="283"/>
      <c r="E75"/>
      <c r="F75"/>
      <c r="G75"/>
      <c r="H75"/>
      <c r="I75"/>
      <c r="J75"/>
      <c r="K75"/>
      <c r="L75"/>
      <c r="M75"/>
      <c r="N75"/>
      <c r="O75"/>
      <c r="P75"/>
      <c r="Q75"/>
      <c r="R75"/>
      <c r="S75"/>
      <c r="T75"/>
      <c r="U75"/>
      <c r="V75"/>
      <c r="W75"/>
      <c r="X75"/>
      <c r="Y75"/>
      <c r="Z75"/>
      <c r="AA75"/>
      <c r="AB75"/>
      <c r="AC75"/>
      <c r="AD75"/>
      <c r="AE75"/>
    </row>
    <row r="76" spans="1:31">
      <c r="A76"/>
      <c r="B76"/>
      <c r="C76" s="283"/>
      <c r="E76"/>
      <c r="F76"/>
      <c r="G76"/>
      <c r="H76"/>
      <c r="I76"/>
      <c r="J76"/>
      <c r="K76"/>
      <c r="L76"/>
      <c r="M76"/>
      <c r="N76"/>
      <c r="O76"/>
      <c r="P76"/>
      <c r="Q76"/>
      <c r="R76"/>
      <c r="S76"/>
      <c r="T76"/>
      <c r="U76"/>
      <c r="V76"/>
      <c r="W76"/>
      <c r="X76"/>
      <c r="Y76"/>
      <c r="Z76"/>
      <c r="AA76"/>
      <c r="AB76"/>
      <c r="AC76"/>
      <c r="AD76"/>
      <c r="AE76"/>
    </row>
    <row r="77" spans="1:31">
      <c r="A77"/>
      <c r="B77"/>
      <c r="C77" s="283"/>
      <c r="E77"/>
      <c r="F77"/>
      <c r="G77"/>
      <c r="H77"/>
      <c r="I77"/>
      <c r="J77"/>
      <c r="K77"/>
      <c r="L77"/>
      <c r="M77"/>
      <c r="N77"/>
      <c r="O77"/>
      <c r="P77"/>
      <c r="Q77"/>
      <c r="R77"/>
      <c r="S77"/>
      <c r="T77"/>
      <c r="U77"/>
      <c r="V77"/>
      <c r="W77"/>
      <c r="X77"/>
      <c r="Y77"/>
      <c r="Z77"/>
      <c r="AA77"/>
      <c r="AB77"/>
      <c r="AC77"/>
      <c r="AD77"/>
      <c r="AE77"/>
    </row>
    <row r="78" spans="1:31">
      <c r="A78"/>
      <c r="B78"/>
      <c r="C78" s="283"/>
      <c r="E78"/>
      <c r="F78"/>
      <c r="G78"/>
      <c r="H78"/>
      <c r="I78"/>
      <c r="J78"/>
      <c r="K78"/>
      <c r="L78"/>
      <c r="M78"/>
      <c r="N78"/>
      <c r="O78"/>
      <c r="P78"/>
      <c r="Q78"/>
      <c r="R78"/>
      <c r="S78"/>
      <c r="T78"/>
      <c r="U78"/>
      <c r="V78"/>
      <c r="W78"/>
      <c r="X78"/>
      <c r="Y78"/>
      <c r="Z78"/>
      <c r="AA78"/>
      <c r="AB78"/>
      <c r="AC78"/>
      <c r="AD78"/>
      <c r="AE78"/>
    </row>
    <row r="79" spans="1:31">
      <c r="A79"/>
      <c r="B79"/>
      <c r="C79" s="283"/>
      <c r="E79"/>
      <c r="F79"/>
      <c r="G79"/>
      <c r="H79"/>
      <c r="I79"/>
      <c r="J79"/>
      <c r="K79"/>
      <c r="L79"/>
      <c r="M79"/>
      <c r="N79"/>
      <c r="O79"/>
      <c r="P79"/>
      <c r="Q79"/>
      <c r="R79"/>
      <c r="S79"/>
      <c r="T79"/>
      <c r="U79"/>
      <c r="V79"/>
      <c r="W79"/>
      <c r="X79"/>
      <c r="Y79"/>
      <c r="Z79"/>
      <c r="AA79"/>
      <c r="AB79"/>
      <c r="AC79"/>
      <c r="AD79"/>
      <c r="AE79"/>
    </row>
  </sheetData>
  <phoneticPr fontId="15" type="noConversion"/>
  <pageMargins left="0.75" right="0.75" top="1" bottom="1" header="0.5" footer="0.5"/>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1:F91"/>
  <sheetViews>
    <sheetView workbookViewId="0">
      <selection activeCell="S30" sqref="S30"/>
    </sheetView>
  </sheetViews>
  <sheetFormatPr defaultColWidth="9.21875" defaultRowHeight="13.2"/>
  <cols>
    <col min="1" max="1" width="9.21875" style="169"/>
    <col min="2" max="2" width="44.77734375" style="169" bestFit="1" customWidth="1"/>
    <col min="3" max="3" width="11.21875" style="171" bestFit="1" customWidth="1"/>
    <col min="4" max="16384" width="9.21875" style="169"/>
  </cols>
  <sheetData>
    <row r="1" spans="1:6">
      <c r="A1" s="205" t="s">
        <v>1437</v>
      </c>
      <c r="B1" s="251"/>
      <c r="C1" s="406"/>
      <c r="D1" s="251"/>
      <c r="E1" s="251"/>
      <c r="F1" s="251"/>
    </row>
    <row r="2" spans="1:6">
      <c r="A2" s="251"/>
      <c r="B2" s="251" t="s">
        <v>1438</v>
      </c>
      <c r="C2" s="406"/>
      <c r="D2" s="251"/>
      <c r="E2" s="251"/>
      <c r="F2" s="251"/>
    </row>
    <row r="3" spans="1:6" s="206" customFormat="1" ht="25.5" customHeight="1">
      <c r="A3" s="206" t="s">
        <v>971</v>
      </c>
      <c r="B3" s="286" t="s">
        <v>881</v>
      </c>
      <c r="C3" s="254" t="s">
        <v>1439</v>
      </c>
    </row>
    <row r="4" spans="1:6">
      <c r="A4" s="251" t="s">
        <v>972</v>
      </c>
      <c r="B4" s="251" t="s">
        <v>973</v>
      </c>
      <c r="C4" s="284">
        <v>60000</v>
      </c>
      <c r="D4" s="251"/>
      <c r="E4" s="251"/>
      <c r="F4" s="411"/>
    </row>
    <row r="5" spans="1:6">
      <c r="A5" s="251" t="s">
        <v>975</v>
      </c>
      <c r="B5" s="251" t="s">
        <v>976</v>
      </c>
      <c r="C5" s="284">
        <v>67192.946929440775</v>
      </c>
      <c r="D5" s="251"/>
      <c r="E5" s="251"/>
      <c r="F5" s="411"/>
    </row>
    <row r="6" spans="1:6">
      <c r="A6" s="251" t="s">
        <v>977</v>
      </c>
      <c r="B6" s="251" t="s">
        <v>978</v>
      </c>
      <c r="C6" s="284">
        <v>60000</v>
      </c>
      <c r="D6" s="251"/>
      <c r="E6" s="251"/>
      <c r="F6" s="411"/>
    </row>
    <row r="7" spans="1:6">
      <c r="A7" s="251" t="s">
        <v>979</v>
      </c>
      <c r="B7" s="251" t="s">
        <v>980</v>
      </c>
      <c r="C7" s="284">
        <v>60000</v>
      </c>
      <c r="D7" s="251"/>
      <c r="E7" s="251"/>
      <c r="F7" s="411"/>
    </row>
    <row r="8" spans="1:6">
      <c r="A8" s="251" t="s">
        <v>981</v>
      </c>
      <c r="B8" s="251" t="s">
        <v>982</v>
      </c>
      <c r="C8" s="284">
        <v>60000</v>
      </c>
      <c r="D8" s="251"/>
      <c r="E8" s="251"/>
      <c r="F8" s="411"/>
    </row>
    <row r="9" spans="1:6">
      <c r="A9" s="251" t="s">
        <v>983</v>
      </c>
      <c r="B9" s="251" t="s">
        <v>984</v>
      </c>
      <c r="C9" s="284">
        <v>81239.627652305644</v>
      </c>
      <c r="D9" s="251"/>
      <c r="E9" s="251"/>
      <c r="F9" s="411"/>
    </row>
    <row r="10" spans="1:6">
      <c r="A10" s="416" t="s">
        <v>985</v>
      </c>
      <c r="B10" s="416" t="s">
        <v>986</v>
      </c>
      <c r="C10" s="285">
        <v>60000</v>
      </c>
      <c r="D10" s="251"/>
      <c r="E10" s="251"/>
      <c r="F10" s="411"/>
    </row>
    <row r="11" spans="1:6">
      <c r="A11" s="251" t="s">
        <v>987</v>
      </c>
      <c r="B11" s="251" t="s">
        <v>988</v>
      </c>
      <c r="C11" s="284">
        <v>64484.54309835413</v>
      </c>
      <c r="D11" s="251"/>
      <c r="E11" s="251"/>
      <c r="F11" s="411"/>
    </row>
    <row r="12" spans="1:6">
      <c r="A12" s="251" t="s">
        <v>990</v>
      </c>
      <c r="B12" s="251" t="s">
        <v>1416</v>
      </c>
      <c r="C12" s="284">
        <v>199632.99565419366</v>
      </c>
      <c r="D12" s="251"/>
      <c r="E12" s="251"/>
      <c r="F12" s="411"/>
    </row>
    <row r="13" spans="1:6">
      <c r="A13" s="251" t="s">
        <v>994</v>
      </c>
      <c r="B13" s="251" t="s">
        <v>995</v>
      </c>
      <c r="C13" s="284">
        <v>101445.61195614</v>
      </c>
      <c r="D13" s="251"/>
      <c r="E13" s="251"/>
      <c r="F13" s="411"/>
    </row>
    <row r="14" spans="1:6">
      <c r="A14" s="251" t="s">
        <v>1004</v>
      </c>
      <c r="B14" s="251" t="s">
        <v>1005</v>
      </c>
      <c r="C14" s="284">
        <v>88176.903519648593</v>
      </c>
      <c r="D14" s="251"/>
      <c r="E14" s="251"/>
      <c r="F14" s="411"/>
    </row>
    <row r="15" spans="1:6">
      <c r="A15" s="251" t="s">
        <v>1008</v>
      </c>
      <c r="B15" s="251" t="s">
        <v>1009</v>
      </c>
      <c r="C15" s="284">
        <v>60000</v>
      </c>
      <c r="D15" s="251"/>
      <c r="E15" s="251"/>
      <c r="F15" s="411"/>
    </row>
    <row r="16" spans="1:6">
      <c r="A16" s="251" t="s">
        <v>1010</v>
      </c>
      <c r="B16" s="251" t="s">
        <v>1011</v>
      </c>
      <c r="C16" s="284">
        <v>137717.98487367539</v>
      </c>
      <c r="D16" s="251"/>
      <c r="E16" s="251"/>
      <c r="F16" s="411"/>
    </row>
    <row r="17" spans="1:6">
      <c r="A17" s="251" t="s">
        <v>1014</v>
      </c>
      <c r="B17" s="251" t="s">
        <v>1015</v>
      </c>
      <c r="C17" s="284">
        <v>155032.26657252535</v>
      </c>
      <c r="D17" s="251"/>
      <c r="E17" s="251"/>
      <c r="F17" s="411"/>
    </row>
    <row r="18" spans="1:6">
      <c r="A18" s="251" t="s">
        <v>1018</v>
      </c>
      <c r="B18" s="251" t="s">
        <v>1019</v>
      </c>
      <c r="C18" s="284">
        <v>61019.608742133591</v>
      </c>
      <c r="D18" s="251"/>
      <c r="E18" s="251"/>
      <c r="F18" s="411"/>
    </row>
    <row r="19" spans="1:6">
      <c r="A19" s="251" t="s">
        <v>1036</v>
      </c>
      <c r="B19" s="251" t="s">
        <v>1037</v>
      </c>
      <c r="C19" s="284">
        <v>157101.86485417566</v>
      </c>
      <c r="D19" s="251"/>
      <c r="E19" s="251"/>
      <c r="F19" s="411"/>
    </row>
    <row r="20" spans="1:6">
      <c r="A20" s="251" t="s">
        <v>1050</v>
      </c>
      <c r="B20" s="251" t="s">
        <v>1051</v>
      </c>
      <c r="C20" s="284">
        <v>159336.82751592438</v>
      </c>
      <c r="D20" s="251"/>
      <c r="E20" s="251"/>
      <c r="F20" s="411"/>
    </row>
    <row r="21" spans="1:6">
      <c r="A21" s="251" t="s">
        <v>1052</v>
      </c>
      <c r="B21" s="251" t="s">
        <v>1053</v>
      </c>
      <c r="C21" s="284">
        <v>105244.49420646553</v>
      </c>
      <c r="D21" s="251"/>
      <c r="E21" s="251"/>
      <c r="F21" s="411"/>
    </row>
    <row r="22" spans="1:6">
      <c r="A22" s="251" t="s">
        <v>1054</v>
      </c>
      <c r="B22" s="251" t="s">
        <v>1055</v>
      </c>
      <c r="C22" s="284">
        <v>166700.87705720653</v>
      </c>
      <c r="D22" s="251"/>
      <c r="E22" s="251"/>
      <c r="F22" s="411"/>
    </row>
    <row r="23" spans="1:6">
      <c r="A23" s="251" t="s">
        <v>1060</v>
      </c>
      <c r="B23" s="251" t="s">
        <v>1061</v>
      </c>
      <c r="C23" s="284">
        <v>70879.083470495403</v>
      </c>
      <c r="D23" s="251"/>
      <c r="E23" s="251"/>
      <c r="F23" s="411"/>
    </row>
    <row r="24" spans="1:6">
      <c r="A24" s="251" t="s">
        <v>1062</v>
      </c>
      <c r="B24" s="251" t="s">
        <v>1063</v>
      </c>
      <c r="C24" s="284">
        <v>136123.20498492668</v>
      </c>
      <c r="D24" s="251"/>
      <c r="E24" s="251"/>
      <c r="F24" s="411"/>
    </row>
    <row r="25" spans="1:6">
      <c r="A25" s="251" t="s">
        <v>1064</v>
      </c>
      <c r="B25" s="251" t="s">
        <v>1065</v>
      </c>
      <c r="C25" s="284">
        <v>195837.98271379378</v>
      </c>
      <c r="D25" s="251"/>
      <c r="E25" s="251"/>
      <c r="F25" s="411"/>
    </row>
    <row r="26" spans="1:6">
      <c r="A26" s="251" t="s">
        <v>1080</v>
      </c>
      <c r="B26" s="251" t="s">
        <v>1081</v>
      </c>
      <c r="C26" s="284">
        <v>125713.4436476704</v>
      </c>
      <c r="D26" s="251"/>
      <c r="E26" s="251"/>
      <c r="F26" s="411"/>
    </row>
    <row r="27" spans="1:6">
      <c r="A27" s="251" t="s">
        <v>1084</v>
      </c>
      <c r="B27" s="251" t="s">
        <v>1085</v>
      </c>
      <c r="C27" s="284">
        <v>83136.295706436184</v>
      </c>
      <c r="D27" s="251"/>
      <c r="E27" s="251"/>
      <c r="F27" s="411"/>
    </row>
    <row r="28" spans="1:6">
      <c r="A28" s="251" t="s">
        <v>1092</v>
      </c>
      <c r="B28" s="251" t="s">
        <v>1093</v>
      </c>
      <c r="C28" s="284">
        <v>161065.6269430418</v>
      </c>
      <c r="D28" s="251"/>
      <c r="E28" s="251"/>
      <c r="F28" s="411"/>
    </row>
    <row r="29" spans="1:6">
      <c r="A29" s="251" t="s">
        <v>1100</v>
      </c>
      <c r="B29" s="251" t="s">
        <v>1101</v>
      </c>
      <c r="C29" s="284">
        <v>108043.05820392226</v>
      </c>
      <c r="D29" s="251"/>
      <c r="E29" s="251"/>
      <c r="F29" s="411"/>
    </row>
    <row r="30" spans="1:6">
      <c r="A30" s="251" t="s">
        <v>1102</v>
      </c>
      <c r="B30" s="251" t="s">
        <v>1103</v>
      </c>
      <c r="C30" s="284">
        <v>126272.7915384192</v>
      </c>
      <c r="D30" s="251"/>
      <c r="E30" s="251"/>
      <c r="F30" s="411"/>
    </row>
    <row r="31" spans="1:6">
      <c r="A31" s="251" t="s">
        <v>1104</v>
      </c>
      <c r="B31" s="251" t="s">
        <v>1105</v>
      </c>
      <c r="C31" s="284">
        <v>148415.77776431793</v>
      </c>
      <c r="D31" s="251"/>
      <c r="E31" s="251"/>
      <c r="F31" s="411"/>
    </row>
    <row r="32" spans="1:6">
      <c r="A32" s="251" t="s">
        <v>1108</v>
      </c>
      <c r="B32" s="251" t="s">
        <v>1109</v>
      </c>
      <c r="C32" s="284">
        <v>60000</v>
      </c>
      <c r="D32" s="251"/>
      <c r="E32" s="251"/>
      <c r="F32" s="411"/>
    </row>
    <row r="33" spans="1:6">
      <c r="A33" s="251" t="s">
        <v>1110</v>
      </c>
      <c r="B33" s="251" t="s">
        <v>1111</v>
      </c>
      <c r="C33" s="284">
        <v>117904.81078242874</v>
      </c>
      <c r="D33" s="251"/>
      <c r="E33" s="251"/>
      <c r="F33" s="411"/>
    </row>
    <row r="34" spans="1:6">
      <c r="A34" s="251" t="s">
        <v>1112</v>
      </c>
      <c r="B34" s="251" t="s">
        <v>1113</v>
      </c>
      <c r="C34" s="284">
        <v>228867.15463189478</v>
      </c>
      <c r="D34" s="251"/>
      <c r="E34" s="251"/>
      <c r="F34" s="411"/>
    </row>
    <row r="35" spans="1:6">
      <c r="A35" s="251" t="s">
        <v>1122</v>
      </c>
      <c r="B35" s="251" t="s">
        <v>1123</v>
      </c>
      <c r="C35" s="284">
        <v>151752.98257040998</v>
      </c>
      <c r="D35" s="251"/>
      <c r="E35" s="251"/>
      <c r="F35" s="411"/>
    </row>
    <row r="36" spans="1:6">
      <c r="A36" s="251" t="s">
        <v>1130</v>
      </c>
      <c r="B36" s="251" t="s">
        <v>1131</v>
      </c>
      <c r="C36" s="284">
        <v>145381.74397687268</v>
      </c>
      <c r="D36" s="251"/>
      <c r="E36" s="251"/>
      <c r="F36" s="411"/>
    </row>
    <row r="37" spans="1:6">
      <c r="A37" s="251" t="s">
        <v>1132</v>
      </c>
      <c r="B37" s="251" t="s">
        <v>1133</v>
      </c>
      <c r="C37" s="284">
        <v>156301.60167724272</v>
      </c>
      <c r="D37" s="251"/>
      <c r="E37" s="251"/>
      <c r="F37" s="411"/>
    </row>
    <row r="38" spans="1:6">
      <c r="A38" s="251" t="s">
        <v>1134</v>
      </c>
      <c r="B38" s="251" t="s">
        <v>1135</v>
      </c>
      <c r="C38" s="284">
        <v>125362.08013566</v>
      </c>
      <c r="D38" s="251"/>
      <c r="E38" s="251"/>
      <c r="F38" s="411"/>
    </row>
    <row r="39" spans="1:6">
      <c r="A39" s="251" t="s">
        <v>1148</v>
      </c>
      <c r="B39" s="251" t="s">
        <v>1149</v>
      </c>
      <c r="C39" s="284">
        <v>69868.631991944087</v>
      </c>
      <c r="D39" s="251"/>
      <c r="E39" s="251"/>
      <c r="F39" s="411"/>
    </row>
    <row r="40" spans="1:6">
      <c r="A40" s="251" t="s">
        <v>1152</v>
      </c>
      <c r="B40" s="251" t="s">
        <v>1153</v>
      </c>
      <c r="C40" s="284">
        <v>154697.64573309178</v>
      </c>
      <c r="D40" s="251"/>
      <c r="E40" s="251"/>
      <c r="F40" s="411"/>
    </row>
    <row r="41" spans="1:6">
      <c r="A41" s="251" t="s">
        <v>1154</v>
      </c>
      <c r="B41" s="251" t="s">
        <v>1155</v>
      </c>
      <c r="C41" s="284">
        <v>150069.52041666326</v>
      </c>
      <c r="D41" s="251"/>
      <c r="E41" s="251"/>
      <c r="F41" s="411"/>
    </row>
    <row r="42" spans="1:6">
      <c r="A42" s="251" t="s">
        <v>1170</v>
      </c>
      <c r="B42" s="251" t="s">
        <v>1171</v>
      </c>
      <c r="C42" s="284">
        <v>227380.51500160951</v>
      </c>
      <c r="D42" s="251"/>
      <c r="E42" s="251"/>
      <c r="F42" s="411"/>
    </row>
    <row r="43" spans="1:6">
      <c r="A43" s="251" t="s">
        <v>1172</v>
      </c>
      <c r="B43" s="251" t="s">
        <v>1173</v>
      </c>
      <c r="C43" s="284">
        <v>147502.96545508914</v>
      </c>
      <c r="D43" s="251"/>
      <c r="E43" s="251"/>
      <c r="F43" s="411"/>
    </row>
    <row r="44" spans="1:6">
      <c r="A44" s="251" t="s">
        <v>1180</v>
      </c>
      <c r="B44" s="251" t="s">
        <v>1181</v>
      </c>
      <c r="C44" s="284">
        <v>143788.92558431605</v>
      </c>
      <c r="D44" s="251"/>
      <c r="E44" s="251"/>
      <c r="F44" s="411"/>
    </row>
    <row r="45" spans="1:6">
      <c r="A45" s="251" t="s">
        <v>1182</v>
      </c>
      <c r="B45" s="251" t="s">
        <v>1183</v>
      </c>
      <c r="C45" s="284">
        <v>73842.953748706132</v>
      </c>
      <c r="D45" s="251"/>
      <c r="E45" s="251"/>
      <c r="F45" s="411"/>
    </row>
    <row r="46" spans="1:6">
      <c r="A46" s="251" t="s">
        <v>1184</v>
      </c>
      <c r="B46" s="251" t="s">
        <v>1185</v>
      </c>
      <c r="C46" s="284">
        <v>133525.2432454896</v>
      </c>
      <c r="D46" s="251"/>
      <c r="E46" s="251"/>
      <c r="F46" s="411"/>
    </row>
    <row r="47" spans="1:6">
      <c r="A47" s="251" t="s">
        <v>1186</v>
      </c>
      <c r="B47" s="251" t="s">
        <v>1187</v>
      </c>
      <c r="C47" s="284">
        <v>133155.50588344646</v>
      </c>
      <c r="D47" s="251"/>
      <c r="E47" s="251"/>
      <c r="F47" s="411"/>
    </row>
    <row r="48" spans="1:6">
      <c r="A48" s="251" t="s">
        <v>1188</v>
      </c>
      <c r="B48" s="251" t="s">
        <v>1189</v>
      </c>
      <c r="C48" s="284">
        <v>114200.7231283032</v>
      </c>
      <c r="D48" s="251"/>
      <c r="E48" s="251"/>
      <c r="F48" s="411"/>
    </row>
    <row r="49" spans="1:6">
      <c r="A49" s="251" t="s">
        <v>1226</v>
      </c>
      <c r="B49" s="251" t="s">
        <v>1227</v>
      </c>
      <c r="C49" s="284">
        <v>77020.953856401931</v>
      </c>
      <c r="D49" s="251"/>
      <c r="E49" s="251"/>
      <c r="F49" s="411"/>
    </row>
    <row r="50" spans="1:6">
      <c r="A50" s="251" t="s">
        <v>1232</v>
      </c>
      <c r="B50" s="251" t="s">
        <v>1233</v>
      </c>
      <c r="C50" s="284">
        <v>153551.71789318605</v>
      </c>
      <c r="D50" s="251"/>
      <c r="E50" s="251"/>
      <c r="F50" s="411"/>
    </row>
    <row r="51" spans="1:6">
      <c r="A51" s="251" t="s">
        <v>1234</v>
      </c>
      <c r="B51" s="251" t="s">
        <v>1235</v>
      </c>
      <c r="C51" s="284">
        <v>73598.679144831563</v>
      </c>
      <c r="D51" s="251"/>
      <c r="E51" s="251"/>
      <c r="F51" s="411"/>
    </row>
    <row r="52" spans="1:6">
      <c r="A52" s="251" t="s">
        <v>1238</v>
      </c>
      <c r="B52" s="251" t="s">
        <v>1239</v>
      </c>
      <c r="C52" s="284">
        <v>159472.03330551932</v>
      </c>
      <c r="D52" s="251"/>
      <c r="E52" s="251"/>
      <c r="F52" s="411"/>
    </row>
    <row r="53" spans="1:6">
      <c r="A53" s="251" t="s">
        <v>1246</v>
      </c>
      <c r="B53" s="251" t="s">
        <v>1247</v>
      </c>
      <c r="C53" s="284">
        <v>60000</v>
      </c>
      <c r="D53" s="251"/>
      <c r="E53" s="251"/>
      <c r="F53" s="411"/>
    </row>
    <row r="54" spans="1:6">
      <c r="A54" s="251" t="s">
        <v>1248</v>
      </c>
      <c r="B54" s="251" t="s">
        <v>1249</v>
      </c>
      <c r="C54" s="284">
        <v>94797.677438968662</v>
      </c>
      <c r="D54" s="251"/>
      <c r="E54" s="251"/>
      <c r="F54" s="411"/>
    </row>
    <row r="55" spans="1:6">
      <c r="A55" s="251" t="s">
        <v>1250</v>
      </c>
      <c r="B55" s="251" t="s">
        <v>1251</v>
      </c>
      <c r="C55" s="284">
        <v>68502.577781952088</v>
      </c>
      <c r="D55" s="251"/>
      <c r="E55" s="251"/>
      <c r="F55" s="411"/>
    </row>
    <row r="56" spans="1:6">
      <c r="A56" s="251" t="s">
        <v>1252</v>
      </c>
      <c r="B56" s="251" t="s">
        <v>1253</v>
      </c>
      <c r="C56" s="284">
        <v>184262.36223598127</v>
      </c>
      <c r="D56" s="251"/>
      <c r="E56" s="251"/>
      <c r="F56" s="411"/>
    </row>
    <row r="57" spans="1:6">
      <c r="A57" s="251" t="s">
        <v>1254</v>
      </c>
      <c r="B57" s="251" t="s">
        <v>1255</v>
      </c>
      <c r="C57" s="284">
        <v>137897.08073224447</v>
      </c>
      <c r="D57" s="251"/>
      <c r="E57" s="251"/>
      <c r="F57" s="411"/>
    </row>
    <row r="58" spans="1:6">
      <c r="A58" s="251" t="s">
        <v>1268</v>
      </c>
      <c r="B58" s="251" t="s">
        <v>1269</v>
      </c>
      <c r="C58" s="284">
        <v>153845.79077249116</v>
      </c>
      <c r="D58" s="251"/>
      <c r="E58" s="251"/>
      <c r="F58" s="411"/>
    </row>
    <row r="59" spans="1:6">
      <c r="A59" s="251" t="s">
        <v>1276</v>
      </c>
      <c r="B59" s="251" t="s">
        <v>1277</v>
      </c>
      <c r="C59" s="284">
        <v>225962.60942319705</v>
      </c>
      <c r="D59" s="251"/>
      <c r="E59" s="251"/>
      <c r="F59" s="411"/>
    </row>
    <row r="60" spans="1:6">
      <c r="A60" s="416" t="s">
        <v>1288</v>
      </c>
      <c r="B60" s="416" t="s">
        <v>1289</v>
      </c>
      <c r="C60" s="285">
        <v>78087.396608016803</v>
      </c>
      <c r="D60" s="251"/>
      <c r="E60" s="251"/>
      <c r="F60" s="411"/>
    </row>
    <row r="61" spans="1:6">
      <c r="A61" s="251" t="s">
        <v>1297</v>
      </c>
      <c r="B61" s="251" t="s">
        <v>1298</v>
      </c>
      <c r="C61" s="284">
        <v>507981.94721586589</v>
      </c>
      <c r="D61" s="251"/>
      <c r="E61" s="251"/>
      <c r="F61" s="411"/>
    </row>
    <row r="62" spans="1:6">
      <c r="A62" s="416" t="s">
        <v>1327</v>
      </c>
      <c r="B62" s="416" t="s">
        <v>1328</v>
      </c>
      <c r="C62" s="285">
        <v>496748.25219730253</v>
      </c>
      <c r="D62" s="251"/>
      <c r="E62" s="251"/>
      <c r="F62" s="411"/>
    </row>
    <row r="63" spans="1:6">
      <c r="A63" s="251" t="s">
        <v>1334</v>
      </c>
      <c r="B63" s="251" t="s">
        <v>1335</v>
      </c>
      <c r="C63" s="284">
        <v>489310.96478839347</v>
      </c>
      <c r="D63" s="251"/>
      <c r="E63" s="251"/>
      <c r="F63" s="411"/>
    </row>
    <row r="64" spans="1:6">
      <c r="A64" s="246"/>
      <c r="B64" s="246"/>
      <c r="C64" s="207"/>
      <c r="D64" s="251"/>
      <c r="E64" s="251"/>
      <c r="F64" s="411"/>
    </row>
    <row r="65" spans="1:6">
      <c r="A65" s="246"/>
      <c r="B65" s="246"/>
      <c r="C65" s="207"/>
      <c r="D65" s="251"/>
      <c r="E65" s="251"/>
      <c r="F65" s="411"/>
    </row>
    <row r="66" spans="1:6">
      <c r="A66" s="246"/>
      <c r="B66" s="246"/>
      <c r="C66" s="207"/>
      <c r="D66" s="251"/>
      <c r="E66" s="251"/>
      <c r="F66" s="411"/>
    </row>
    <row r="67" spans="1:6">
      <c r="A67" s="251"/>
      <c r="B67" s="251"/>
      <c r="C67" s="406"/>
      <c r="D67" s="251"/>
      <c r="E67" s="251"/>
      <c r="F67" s="411"/>
    </row>
    <row r="68" spans="1:6">
      <c r="A68" s="251"/>
      <c r="B68" s="251"/>
      <c r="C68" s="406"/>
      <c r="D68" s="251"/>
      <c r="E68" s="251"/>
      <c r="F68" s="411"/>
    </row>
    <row r="69" spans="1:6">
      <c r="A69" s="251"/>
      <c r="B69" s="251"/>
      <c r="C69" s="406"/>
      <c r="D69" s="251"/>
      <c r="E69" s="251"/>
      <c r="F69" s="411"/>
    </row>
    <row r="70" spans="1:6">
      <c r="A70" s="251"/>
      <c r="B70" s="251"/>
      <c r="C70" s="406"/>
      <c r="D70" s="251"/>
      <c r="E70" s="251"/>
      <c r="F70" s="411"/>
    </row>
    <row r="71" spans="1:6">
      <c r="A71" s="251"/>
      <c r="B71" s="251"/>
      <c r="C71" s="406"/>
      <c r="D71" s="251"/>
      <c r="E71" s="251"/>
      <c r="F71" s="411"/>
    </row>
    <row r="72" spans="1:6">
      <c r="A72" s="251"/>
      <c r="B72" s="251"/>
      <c r="C72" s="406"/>
      <c r="D72" s="251"/>
      <c r="E72" s="251"/>
      <c r="F72" s="411"/>
    </row>
    <row r="73" spans="1:6">
      <c r="A73" s="251"/>
      <c r="B73" s="251"/>
      <c r="C73" s="406"/>
      <c r="D73" s="251"/>
      <c r="E73" s="251"/>
      <c r="F73" s="411"/>
    </row>
    <row r="74" spans="1:6">
      <c r="A74" s="251"/>
      <c r="B74" s="251"/>
      <c r="C74" s="406"/>
      <c r="D74" s="251"/>
      <c r="E74" s="251"/>
      <c r="F74" s="411"/>
    </row>
    <row r="75" spans="1:6">
      <c r="A75" s="251"/>
      <c r="B75" s="251"/>
      <c r="C75" s="406"/>
      <c r="D75" s="251"/>
      <c r="E75" s="251"/>
      <c r="F75" s="411"/>
    </row>
    <row r="76" spans="1:6">
      <c r="A76" s="251"/>
      <c r="B76" s="251"/>
      <c r="C76" s="406"/>
      <c r="D76" s="251"/>
      <c r="E76" s="251"/>
      <c r="F76" s="411"/>
    </row>
    <row r="77" spans="1:6">
      <c r="A77" s="251"/>
      <c r="B77" s="251"/>
      <c r="C77" s="406"/>
      <c r="D77" s="251"/>
      <c r="E77" s="251"/>
      <c r="F77" s="411"/>
    </row>
    <row r="78" spans="1:6">
      <c r="A78" s="251"/>
      <c r="B78" s="251"/>
      <c r="C78" s="406"/>
      <c r="D78" s="251"/>
      <c r="E78" s="251"/>
      <c r="F78" s="411"/>
    </row>
    <row r="79" spans="1:6">
      <c r="A79" s="251"/>
      <c r="B79" s="251"/>
      <c r="C79" s="406"/>
      <c r="D79" s="251"/>
      <c r="E79" s="251"/>
      <c r="F79" s="411"/>
    </row>
    <row r="80" spans="1:6">
      <c r="A80" s="251"/>
      <c r="B80" s="251"/>
      <c r="C80" s="406"/>
      <c r="D80" s="251"/>
      <c r="E80" s="251"/>
      <c r="F80" s="411"/>
    </row>
    <row r="81" spans="6:6">
      <c r="F81" s="411"/>
    </row>
    <row r="82" spans="6:6">
      <c r="F82" s="411"/>
    </row>
    <row r="83" spans="6:6">
      <c r="F83" s="411"/>
    </row>
    <row r="84" spans="6:6">
      <c r="F84" s="411"/>
    </row>
    <row r="85" spans="6:6">
      <c r="F85" s="411"/>
    </row>
    <row r="86" spans="6:6">
      <c r="F86" s="411"/>
    </row>
    <row r="87" spans="6:6">
      <c r="F87" s="411"/>
    </row>
    <row r="88" spans="6:6">
      <c r="F88" s="411"/>
    </row>
    <row r="89" spans="6:6">
      <c r="F89" s="411"/>
    </row>
    <row r="90" spans="6:6">
      <c r="F90" s="411"/>
    </row>
    <row r="91" spans="6:6">
      <c r="F91" s="411"/>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26"/>
    <pageSetUpPr fitToPage="1"/>
  </sheetPr>
  <dimension ref="A1:N90"/>
  <sheetViews>
    <sheetView showGridLines="0" topLeftCell="A31" workbookViewId="0">
      <selection activeCell="O67" sqref="O67"/>
    </sheetView>
  </sheetViews>
  <sheetFormatPr defaultRowHeight="13.2"/>
  <sheetData>
    <row r="1" spans="2:14">
      <c r="B1" s="11"/>
      <c r="C1" s="11"/>
      <c r="D1" s="11"/>
      <c r="E1" s="11"/>
      <c r="F1" s="11"/>
      <c r="G1" s="11"/>
      <c r="H1" s="11"/>
      <c r="I1" s="11"/>
      <c r="J1" s="11"/>
      <c r="K1" s="11"/>
      <c r="L1" s="11"/>
      <c r="M1" s="11"/>
      <c r="N1" s="11"/>
    </row>
    <row r="2" spans="2:14">
      <c r="B2" s="11"/>
      <c r="C2" s="11"/>
      <c r="D2" s="11"/>
      <c r="E2" s="11"/>
      <c r="F2" s="11"/>
      <c r="G2" s="11"/>
      <c r="H2" s="11"/>
      <c r="I2" s="11"/>
      <c r="J2" s="11"/>
      <c r="K2" s="11"/>
      <c r="L2" s="11"/>
      <c r="M2" s="11"/>
      <c r="N2" s="11"/>
    </row>
    <row r="3" spans="2:14">
      <c r="B3" s="11"/>
      <c r="C3" s="11"/>
      <c r="D3" s="11"/>
      <c r="E3" s="11"/>
      <c r="F3" s="11"/>
      <c r="G3" s="11"/>
      <c r="H3" s="11"/>
      <c r="I3" s="11"/>
      <c r="J3" s="11"/>
      <c r="K3" s="11"/>
      <c r="L3" s="11"/>
      <c r="M3" s="11"/>
      <c r="N3" s="11"/>
    </row>
    <row r="4" spans="2:14">
      <c r="B4" s="11"/>
      <c r="C4" s="11"/>
      <c r="D4" s="11"/>
      <c r="E4" s="11"/>
      <c r="F4" s="11"/>
      <c r="G4" s="11"/>
      <c r="H4" s="11"/>
      <c r="I4" s="11"/>
      <c r="J4" s="11"/>
      <c r="K4" s="11"/>
      <c r="L4" s="11"/>
      <c r="M4" s="11"/>
      <c r="N4" s="11"/>
    </row>
    <row r="5" spans="2:14">
      <c r="B5" s="11"/>
      <c r="C5" s="11"/>
      <c r="D5" s="11"/>
      <c r="E5" s="11"/>
      <c r="F5" s="11"/>
      <c r="G5" s="11"/>
      <c r="H5" s="11"/>
      <c r="I5" s="11"/>
      <c r="J5" s="11"/>
      <c r="K5" s="11"/>
      <c r="L5" s="11"/>
      <c r="M5" s="11"/>
      <c r="N5" s="11"/>
    </row>
    <row r="6" spans="2:14">
      <c r="B6" s="11"/>
      <c r="C6" s="11"/>
      <c r="D6" s="11"/>
      <c r="E6" s="11"/>
      <c r="F6" s="11"/>
      <c r="G6" s="11"/>
      <c r="H6" s="11"/>
      <c r="I6" s="11"/>
      <c r="J6" s="11"/>
      <c r="K6" s="11"/>
      <c r="L6" s="11"/>
      <c r="M6" s="11"/>
      <c r="N6" s="11"/>
    </row>
    <row r="7" spans="2:14">
      <c r="B7" s="11"/>
      <c r="C7" s="11"/>
      <c r="D7" s="11"/>
      <c r="E7" s="11"/>
      <c r="F7" s="11"/>
      <c r="G7" s="11"/>
      <c r="H7" s="11"/>
      <c r="I7" s="11"/>
      <c r="J7" s="11"/>
      <c r="K7" s="11"/>
      <c r="L7" s="11"/>
      <c r="M7" s="11"/>
      <c r="N7" s="11"/>
    </row>
    <row r="8" spans="2:14">
      <c r="B8" s="11"/>
      <c r="C8" s="11"/>
      <c r="D8" s="11"/>
      <c r="E8" s="11"/>
      <c r="F8" s="11"/>
      <c r="G8" s="11"/>
      <c r="H8" s="11"/>
      <c r="I8" s="11"/>
      <c r="J8" s="11"/>
      <c r="K8" s="11"/>
      <c r="L8" s="11"/>
      <c r="M8" s="11"/>
      <c r="N8" s="11"/>
    </row>
    <row r="9" spans="2:14">
      <c r="B9" s="11"/>
      <c r="C9" s="11"/>
      <c r="D9" s="11"/>
      <c r="E9" s="11"/>
      <c r="F9" s="11"/>
      <c r="G9" s="11"/>
      <c r="H9" s="11"/>
      <c r="I9" s="11"/>
      <c r="J9" s="11"/>
      <c r="K9" s="11"/>
      <c r="L9" s="11"/>
      <c r="M9" s="11"/>
      <c r="N9" s="11"/>
    </row>
    <row r="10" spans="2:14">
      <c r="B10" s="11"/>
      <c r="C10" s="11"/>
      <c r="D10" s="11"/>
      <c r="E10" s="11"/>
      <c r="F10" s="11"/>
      <c r="G10" s="11"/>
      <c r="H10" s="11"/>
      <c r="I10" s="11"/>
      <c r="J10" s="11"/>
      <c r="K10" s="11"/>
      <c r="L10" s="11"/>
      <c r="M10" s="11"/>
      <c r="N10" s="11"/>
    </row>
    <row r="11" spans="2:14">
      <c r="B11" s="11"/>
      <c r="C11" s="11"/>
      <c r="D11" s="11"/>
      <c r="E11" s="11"/>
      <c r="F11" s="11"/>
      <c r="G11" s="11"/>
      <c r="H11" s="11"/>
      <c r="I11" s="11"/>
      <c r="J11" s="11"/>
      <c r="K11" s="11"/>
      <c r="L11" s="11"/>
      <c r="M11" s="11"/>
      <c r="N11" s="11"/>
    </row>
    <row r="12" spans="2:14">
      <c r="B12" s="11"/>
      <c r="C12" s="11"/>
      <c r="D12" s="11"/>
      <c r="E12" s="11"/>
      <c r="F12" s="11"/>
      <c r="G12" s="11"/>
      <c r="H12" s="11"/>
      <c r="I12" s="11"/>
      <c r="J12" s="11"/>
      <c r="K12" s="11"/>
      <c r="L12" s="11"/>
      <c r="M12" s="11"/>
      <c r="N12" s="11"/>
    </row>
    <row r="13" spans="2:14">
      <c r="B13" s="11"/>
      <c r="C13" s="11"/>
      <c r="D13" s="11"/>
      <c r="E13" s="11"/>
      <c r="F13" s="11"/>
      <c r="G13" s="11"/>
      <c r="H13" s="11"/>
      <c r="I13" s="11"/>
      <c r="J13" s="11"/>
      <c r="K13" s="11"/>
      <c r="L13" s="11"/>
      <c r="M13" s="11"/>
      <c r="N13" s="11"/>
    </row>
    <row r="14" spans="2:14">
      <c r="B14" s="11"/>
      <c r="C14" s="11"/>
      <c r="D14" s="11"/>
      <c r="E14" s="11"/>
      <c r="F14" s="11"/>
      <c r="G14" s="11"/>
      <c r="H14" s="11"/>
      <c r="I14" s="11"/>
      <c r="J14" s="11"/>
      <c r="K14" s="11"/>
      <c r="L14" s="11"/>
      <c r="M14" s="11"/>
      <c r="N14" s="11"/>
    </row>
    <row r="15" spans="2:14">
      <c r="B15" s="11"/>
      <c r="C15" s="11"/>
      <c r="D15" s="11"/>
      <c r="E15" s="11"/>
      <c r="F15" s="11"/>
      <c r="G15" s="11"/>
      <c r="H15" s="11"/>
      <c r="I15" s="11"/>
      <c r="J15" s="11"/>
      <c r="K15" s="11"/>
      <c r="L15" s="11"/>
      <c r="M15" s="11"/>
      <c r="N15" s="11"/>
    </row>
    <row r="16" spans="2:14">
      <c r="B16" s="11"/>
      <c r="C16" s="11"/>
      <c r="D16" s="11"/>
      <c r="E16" s="11"/>
      <c r="F16" s="11"/>
      <c r="G16" s="11"/>
      <c r="H16" s="11"/>
      <c r="I16" s="11"/>
      <c r="J16" s="11"/>
      <c r="K16" s="11"/>
      <c r="L16" s="11"/>
      <c r="M16" s="11"/>
      <c r="N16" s="11"/>
    </row>
    <row r="17" spans="2:14">
      <c r="B17" s="11"/>
      <c r="C17" s="11"/>
      <c r="D17" s="11"/>
      <c r="E17" s="11"/>
      <c r="F17" s="11"/>
      <c r="G17" s="11"/>
      <c r="H17" s="11"/>
      <c r="I17" s="11"/>
      <c r="J17" s="11"/>
      <c r="K17" s="11"/>
      <c r="L17" s="11"/>
      <c r="M17" s="11"/>
      <c r="N17" s="11"/>
    </row>
    <row r="18" spans="2:14">
      <c r="B18" s="11"/>
      <c r="C18" s="11"/>
      <c r="D18" s="11"/>
      <c r="E18" s="11"/>
      <c r="F18" s="11"/>
      <c r="G18" s="11"/>
      <c r="H18" s="11"/>
      <c r="I18" s="11"/>
      <c r="J18" s="11"/>
      <c r="K18" s="11"/>
      <c r="L18" s="11"/>
      <c r="M18" s="11"/>
      <c r="N18" s="11"/>
    </row>
    <row r="19" spans="2:14">
      <c r="B19" s="11"/>
      <c r="C19" s="11"/>
      <c r="D19" s="11"/>
      <c r="E19" s="11"/>
      <c r="F19" s="11"/>
      <c r="G19" s="11"/>
      <c r="H19" s="11"/>
      <c r="I19" s="11"/>
      <c r="J19" s="11"/>
      <c r="K19" s="11"/>
      <c r="L19" s="11"/>
      <c r="M19" s="11"/>
      <c r="N19" s="11"/>
    </row>
    <row r="20" spans="2:14">
      <c r="B20" s="11"/>
      <c r="C20" s="11"/>
      <c r="D20" s="11"/>
      <c r="E20" s="11"/>
      <c r="F20" s="11"/>
      <c r="G20" s="11"/>
      <c r="H20" s="11"/>
      <c r="I20" s="11"/>
      <c r="J20" s="11"/>
      <c r="K20" s="11"/>
      <c r="L20" s="11"/>
      <c r="M20" s="11"/>
      <c r="N20" s="11"/>
    </row>
    <row r="21" spans="2:14">
      <c r="B21" s="11"/>
      <c r="C21" s="11"/>
      <c r="D21" s="11"/>
      <c r="E21" s="11"/>
      <c r="F21" s="11"/>
      <c r="G21" s="11"/>
      <c r="H21" s="11"/>
      <c r="I21" s="11"/>
      <c r="J21" s="11"/>
      <c r="K21" s="11"/>
      <c r="L21" s="11"/>
      <c r="M21" s="11"/>
      <c r="N21" s="11"/>
    </row>
    <row r="22" spans="2:14">
      <c r="B22" s="11"/>
      <c r="C22" s="11"/>
      <c r="D22" s="11"/>
      <c r="E22" s="11"/>
      <c r="F22" s="11"/>
      <c r="G22" s="11"/>
      <c r="H22" s="11"/>
      <c r="I22" s="11"/>
      <c r="J22" s="11"/>
      <c r="K22" s="11"/>
      <c r="L22" s="11"/>
      <c r="M22" s="11"/>
      <c r="N22" s="11"/>
    </row>
    <row r="23" spans="2:14">
      <c r="B23" s="11"/>
      <c r="C23" s="11"/>
      <c r="D23" s="11"/>
      <c r="E23" s="11"/>
      <c r="F23" s="11"/>
      <c r="G23" s="11"/>
      <c r="H23" s="11"/>
      <c r="I23" s="11"/>
      <c r="J23" s="11"/>
      <c r="K23" s="11"/>
      <c r="L23" s="11"/>
      <c r="M23" s="11"/>
      <c r="N23" s="11"/>
    </row>
    <row r="24" spans="2:14">
      <c r="B24" s="11"/>
      <c r="C24" s="11"/>
      <c r="D24" s="11"/>
      <c r="E24" s="11"/>
      <c r="F24" s="11"/>
      <c r="G24" s="11"/>
      <c r="H24" s="11"/>
      <c r="I24" s="11"/>
      <c r="J24" s="11"/>
      <c r="K24" s="11"/>
      <c r="L24" s="11"/>
      <c r="M24" s="11"/>
      <c r="N24" s="11"/>
    </row>
    <row r="25" spans="2:14">
      <c r="B25" s="11"/>
      <c r="C25" s="11"/>
      <c r="D25" s="11"/>
      <c r="E25" s="11"/>
      <c r="F25" s="11"/>
      <c r="G25" s="11"/>
      <c r="H25" s="11"/>
      <c r="I25" s="11"/>
      <c r="J25" s="11"/>
      <c r="K25" s="11"/>
      <c r="L25" s="11"/>
      <c r="M25" s="11"/>
      <c r="N25" s="11"/>
    </row>
    <row r="26" spans="2:14">
      <c r="B26" s="11"/>
      <c r="C26" s="11"/>
      <c r="D26" s="11"/>
      <c r="E26" s="11"/>
      <c r="F26" s="11"/>
      <c r="G26" s="11"/>
      <c r="H26" s="11"/>
      <c r="I26" s="11"/>
      <c r="J26" s="11"/>
      <c r="K26" s="11"/>
      <c r="L26" s="11"/>
      <c r="M26" s="11"/>
      <c r="N26" s="11"/>
    </row>
    <row r="27" spans="2:14">
      <c r="B27" s="11"/>
      <c r="C27" s="11"/>
      <c r="D27" s="11"/>
      <c r="E27" s="11"/>
      <c r="F27" s="11"/>
      <c r="G27" s="11"/>
      <c r="H27" s="11"/>
      <c r="I27" s="11"/>
      <c r="J27" s="11"/>
      <c r="K27" s="11"/>
      <c r="L27" s="11"/>
      <c r="M27" s="11"/>
      <c r="N27" s="11"/>
    </row>
    <row r="28" spans="2:14">
      <c r="B28" s="11"/>
      <c r="C28" s="11"/>
      <c r="D28" s="11"/>
      <c r="E28" s="11"/>
      <c r="F28" s="11"/>
      <c r="G28" s="11"/>
      <c r="H28" s="11"/>
      <c r="I28" s="11"/>
      <c r="J28" s="11"/>
      <c r="K28" s="11"/>
      <c r="L28" s="11"/>
      <c r="M28" s="11"/>
      <c r="N28" s="11"/>
    </row>
    <row r="29" spans="2:14">
      <c r="B29" s="11"/>
      <c r="C29" s="11"/>
      <c r="D29" s="11"/>
      <c r="E29" s="11"/>
      <c r="F29" s="11"/>
      <c r="G29" s="11"/>
      <c r="H29" s="11"/>
      <c r="I29" s="11"/>
      <c r="J29" s="11"/>
      <c r="K29" s="11"/>
      <c r="L29" s="11"/>
      <c r="M29" s="11"/>
      <c r="N29" s="11"/>
    </row>
    <row r="30" spans="2:14">
      <c r="B30" s="11"/>
      <c r="C30" s="11"/>
      <c r="D30" s="11"/>
      <c r="E30" s="11"/>
      <c r="F30" s="11"/>
      <c r="G30" s="11"/>
      <c r="H30" s="11"/>
      <c r="I30" s="11"/>
      <c r="J30" s="11"/>
      <c r="K30" s="11"/>
      <c r="L30" s="11"/>
      <c r="M30" s="11"/>
      <c r="N30" s="11"/>
    </row>
    <row r="31" spans="2:14">
      <c r="B31" s="11"/>
      <c r="C31" s="11"/>
      <c r="D31" s="11"/>
      <c r="E31" s="11"/>
      <c r="F31" s="11"/>
      <c r="G31" s="11"/>
      <c r="H31" s="11"/>
      <c r="I31" s="11"/>
      <c r="J31" s="11"/>
      <c r="K31" s="11"/>
      <c r="L31" s="11"/>
      <c r="M31" s="11"/>
      <c r="N31" s="11"/>
    </row>
    <row r="32" spans="2:14">
      <c r="B32" s="11"/>
      <c r="C32" s="11"/>
      <c r="D32" s="11"/>
      <c r="E32" s="11"/>
      <c r="F32" s="11"/>
      <c r="G32" s="11"/>
      <c r="H32" s="11"/>
      <c r="I32" s="11"/>
      <c r="J32" s="11"/>
      <c r="K32" s="11"/>
      <c r="L32" s="11"/>
      <c r="M32" s="11"/>
      <c r="N32" s="11"/>
    </row>
    <row r="33" spans="2:14">
      <c r="B33" s="11"/>
      <c r="C33" s="11"/>
      <c r="D33" s="11"/>
      <c r="E33" s="11"/>
      <c r="F33" s="11"/>
      <c r="G33" s="11"/>
      <c r="H33" s="11"/>
      <c r="I33" s="11"/>
      <c r="J33" s="11"/>
      <c r="K33" s="11"/>
      <c r="L33" s="11"/>
      <c r="M33" s="11"/>
      <c r="N33" s="11"/>
    </row>
    <row r="34" spans="2:14">
      <c r="B34" s="11"/>
      <c r="C34" s="11"/>
      <c r="D34" s="11"/>
      <c r="E34" s="11"/>
      <c r="F34" s="11"/>
      <c r="G34" s="11"/>
      <c r="H34" s="11"/>
      <c r="I34" s="11"/>
      <c r="J34" s="11"/>
      <c r="K34" s="11"/>
      <c r="L34" s="11"/>
      <c r="M34" s="11"/>
      <c r="N34" s="11"/>
    </row>
    <row r="35" spans="2:14">
      <c r="B35" s="11"/>
      <c r="C35" s="11"/>
      <c r="D35" s="11"/>
      <c r="E35" s="11"/>
      <c r="F35" s="11"/>
      <c r="G35" s="11"/>
      <c r="H35" s="11"/>
      <c r="I35" s="11"/>
      <c r="J35" s="11"/>
      <c r="K35" s="11"/>
      <c r="L35" s="11"/>
      <c r="M35" s="11"/>
      <c r="N35" s="11"/>
    </row>
    <row r="36" spans="2:14">
      <c r="B36" s="11"/>
      <c r="C36" s="11"/>
      <c r="D36" s="11"/>
      <c r="E36" s="11"/>
      <c r="F36" s="11"/>
      <c r="G36" s="11"/>
      <c r="H36" s="11"/>
      <c r="I36" s="11"/>
      <c r="J36" s="11"/>
      <c r="K36" s="11"/>
      <c r="L36" s="11"/>
      <c r="M36" s="11"/>
      <c r="N36" s="11"/>
    </row>
    <row r="37" spans="2:14">
      <c r="B37" s="11"/>
      <c r="C37" s="11"/>
      <c r="D37" s="11"/>
      <c r="E37" s="11"/>
      <c r="F37" s="11"/>
      <c r="G37" s="11"/>
      <c r="H37" s="11"/>
      <c r="I37" s="11"/>
      <c r="J37" s="11"/>
      <c r="K37" s="11"/>
      <c r="L37" s="11"/>
      <c r="M37" s="11"/>
      <c r="N37" s="11"/>
    </row>
    <row r="38" spans="2:14">
      <c r="B38" s="11"/>
      <c r="C38" s="11"/>
      <c r="D38" s="11"/>
      <c r="E38" s="11"/>
      <c r="F38" s="11"/>
      <c r="G38" s="11"/>
      <c r="H38" s="11"/>
      <c r="I38" s="11"/>
      <c r="J38" s="11"/>
      <c r="K38" s="11"/>
      <c r="L38" s="11"/>
      <c r="M38" s="11"/>
      <c r="N38" s="11"/>
    </row>
    <row r="39" spans="2:14">
      <c r="B39" s="11"/>
      <c r="C39" s="11"/>
      <c r="D39" s="11"/>
      <c r="E39" s="11"/>
      <c r="F39" s="11"/>
      <c r="G39" s="11"/>
      <c r="H39" s="11"/>
      <c r="I39" s="11"/>
      <c r="J39" s="11"/>
      <c r="K39" s="11"/>
      <c r="L39" s="11"/>
      <c r="M39" s="11"/>
      <c r="N39" s="11"/>
    </row>
    <row r="40" spans="2:14">
      <c r="B40" s="11"/>
      <c r="C40" s="11"/>
      <c r="D40" s="11"/>
      <c r="E40" s="11"/>
      <c r="F40" s="11"/>
      <c r="G40" s="11"/>
      <c r="H40" s="11"/>
      <c r="I40" s="11"/>
      <c r="J40" s="11"/>
      <c r="K40" s="11"/>
      <c r="L40" s="11"/>
      <c r="M40" s="11"/>
      <c r="N40" s="11"/>
    </row>
    <row r="41" spans="2:14">
      <c r="B41" s="11"/>
      <c r="C41" s="11"/>
      <c r="D41" s="11"/>
      <c r="E41" s="11"/>
      <c r="F41" s="11"/>
      <c r="G41" s="11"/>
      <c r="H41" s="11"/>
      <c r="I41" s="11"/>
      <c r="J41" s="11"/>
      <c r="K41" s="11"/>
      <c r="L41" s="11"/>
      <c r="M41" s="11"/>
      <c r="N41" s="11"/>
    </row>
    <row r="42" spans="2:14">
      <c r="B42" s="11"/>
      <c r="C42" s="11"/>
      <c r="D42" s="11"/>
      <c r="E42" s="11"/>
      <c r="F42" s="11"/>
      <c r="G42" s="11"/>
      <c r="H42" s="11"/>
      <c r="I42" s="11"/>
      <c r="J42" s="11"/>
      <c r="K42" s="11"/>
      <c r="L42" s="11"/>
      <c r="M42" s="11"/>
      <c r="N42" s="11"/>
    </row>
    <row r="43" spans="2:14">
      <c r="B43" s="11"/>
      <c r="C43" s="11"/>
      <c r="D43" s="11"/>
      <c r="E43" s="11"/>
      <c r="F43" s="11"/>
      <c r="G43" s="11"/>
      <c r="H43" s="11"/>
      <c r="I43" s="11"/>
      <c r="J43" s="11"/>
      <c r="K43" s="11"/>
      <c r="L43" s="11"/>
      <c r="M43" s="11"/>
      <c r="N43" s="11"/>
    </row>
    <row r="44" spans="2:14">
      <c r="B44" s="11"/>
      <c r="C44" s="11"/>
      <c r="D44" s="11"/>
      <c r="E44" s="11"/>
      <c r="F44" s="11"/>
      <c r="G44" s="11"/>
      <c r="H44" s="11"/>
      <c r="I44" s="11"/>
      <c r="J44" s="11"/>
      <c r="K44" s="11"/>
      <c r="L44" s="11"/>
      <c r="M44" s="11"/>
      <c r="N44" s="11"/>
    </row>
    <row r="45" spans="2:14">
      <c r="B45" s="11"/>
      <c r="C45" s="11"/>
      <c r="D45" s="11"/>
      <c r="E45" s="11"/>
      <c r="F45" s="11"/>
      <c r="G45" s="11"/>
      <c r="H45" s="11"/>
      <c r="I45" s="11"/>
      <c r="J45" s="11"/>
      <c r="K45" s="11"/>
      <c r="L45" s="11"/>
      <c r="M45" s="11"/>
      <c r="N45" s="11"/>
    </row>
    <row r="46" spans="2:14">
      <c r="B46" s="11"/>
      <c r="C46" s="11"/>
      <c r="D46" s="11"/>
      <c r="E46" s="11"/>
      <c r="F46" s="11"/>
      <c r="G46" s="11"/>
      <c r="H46" s="11"/>
      <c r="I46" s="11"/>
      <c r="J46" s="11"/>
      <c r="K46" s="11"/>
      <c r="L46" s="11"/>
      <c r="M46" s="11"/>
      <c r="N46" s="11"/>
    </row>
    <row r="47" spans="2:14">
      <c r="B47" s="11"/>
      <c r="C47" s="11"/>
      <c r="D47" s="11"/>
      <c r="E47" s="11"/>
      <c r="F47" s="11"/>
      <c r="G47" s="11"/>
      <c r="H47" s="11"/>
      <c r="I47" s="11"/>
      <c r="J47" s="11"/>
      <c r="K47" s="11"/>
      <c r="L47" s="11"/>
      <c r="M47" s="11"/>
      <c r="N47" s="11"/>
    </row>
    <row r="48" spans="2:14">
      <c r="B48" s="11"/>
      <c r="C48" s="11"/>
      <c r="D48" s="11"/>
      <c r="E48" s="11"/>
      <c r="F48" s="11"/>
      <c r="G48" s="11"/>
      <c r="H48" s="11"/>
      <c r="I48" s="11"/>
      <c r="J48" s="11"/>
      <c r="K48" s="11"/>
      <c r="L48" s="11"/>
      <c r="M48" s="11"/>
      <c r="N48" s="11"/>
    </row>
    <row r="49" spans="2:14">
      <c r="B49" s="11"/>
      <c r="C49" s="11"/>
      <c r="D49" s="11"/>
      <c r="E49" s="11"/>
      <c r="F49" s="11"/>
      <c r="G49" s="11"/>
      <c r="H49" s="11"/>
      <c r="I49" s="11"/>
      <c r="J49" s="11"/>
      <c r="K49" s="11"/>
      <c r="L49" s="11"/>
      <c r="M49" s="11"/>
      <c r="N49" s="11"/>
    </row>
    <row r="50" spans="2:14">
      <c r="B50" s="11"/>
      <c r="C50" s="11"/>
      <c r="D50" s="11"/>
      <c r="E50" s="11"/>
      <c r="F50" s="11"/>
      <c r="G50" s="11"/>
      <c r="H50" s="11"/>
      <c r="I50" s="11"/>
      <c r="J50" s="11"/>
      <c r="K50" s="11"/>
      <c r="L50" s="11"/>
      <c r="M50" s="11"/>
      <c r="N50" s="11"/>
    </row>
    <row r="51" spans="2:14">
      <c r="B51" s="11"/>
      <c r="C51" s="11"/>
      <c r="D51" s="11"/>
      <c r="E51" s="11"/>
      <c r="F51" s="11"/>
      <c r="G51" s="11"/>
      <c r="H51" s="11"/>
      <c r="I51" s="11"/>
      <c r="J51" s="11"/>
      <c r="K51" s="11"/>
      <c r="L51" s="11"/>
      <c r="M51" s="11"/>
      <c r="N51" s="11"/>
    </row>
    <row r="67" spans="1:14">
      <c r="A67" s="97"/>
      <c r="B67" s="97"/>
      <c r="C67" s="97"/>
      <c r="D67" s="97"/>
      <c r="E67" s="97"/>
      <c r="F67" s="97"/>
      <c r="G67" s="97"/>
      <c r="H67" s="97"/>
      <c r="I67" s="97"/>
      <c r="J67" s="97"/>
      <c r="K67" s="98"/>
      <c r="L67" s="98"/>
      <c r="M67" s="98"/>
      <c r="N67" s="98"/>
    </row>
    <row r="68" spans="1:14">
      <c r="A68" s="99" t="s">
        <v>385</v>
      </c>
      <c r="B68" s="98"/>
      <c r="C68" s="98"/>
      <c r="D68" s="98"/>
      <c r="E68" s="98"/>
      <c r="F68" s="98"/>
      <c r="G68" s="98"/>
      <c r="H68" s="98"/>
      <c r="I68" s="98"/>
      <c r="J68" s="98"/>
      <c r="K68" s="98"/>
      <c r="L68" s="98"/>
      <c r="M68" s="98"/>
      <c r="N68" s="98"/>
    </row>
    <row r="69" spans="1:14">
      <c r="A69" s="98"/>
      <c r="B69" s="98"/>
      <c r="C69" s="98"/>
      <c r="D69" s="98"/>
      <c r="E69" s="98"/>
      <c r="F69" s="98"/>
      <c r="G69" s="98"/>
      <c r="H69" s="98"/>
      <c r="I69" s="98"/>
      <c r="J69" s="98"/>
      <c r="K69" s="98"/>
      <c r="L69" s="98"/>
      <c r="M69" s="98"/>
      <c r="N69" s="98"/>
    </row>
    <row r="70" spans="1:14">
      <c r="A70" s="98" t="s">
        <v>386</v>
      </c>
      <c r="B70" s="98"/>
      <c r="C70" s="98"/>
      <c r="D70" s="98"/>
      <c r="E70" s="98"/>
      <c r="F70" s="98"/>
      <c r="G70" s="98"/>
      <c r="H70" s="98"/>
      <c r="I70" s="98"/>
      <c r="J70" s="98"/>
      <c r="K70" s="98"/>
      <c r="L70" s="98"/>
      <c r="M70" s="98"/>
      <c r="N70" s="98"/>
    </row>
    <row r="71" spans="1:14" ht="13.8" thickBot="1">
      <c r="A71" s="98"/>
      <c r="B71" s="98"/>
      <c r="C71" s="98"/>
      <c r="D71" s="98"/>
      <c r="E71" s="98"/>
      <c r="F71" s="98"/>
      <c r="G71" s="98"/>
      <c r="H71" s="98"/>
      <c r="I71" s="98"/>
      <c r="J71" s="98"/>
      <c r="K71" s="98"/>
      <c r="L71" s="98"/>
      <c r="M71" s="98"/>
      <c r="N71" s="98"/>
    </row>
    <row r="72" spans="1:14">
      <c r="A72" s="100" t="s">
        <v>387</v>
      </c>
      <c r="B72" s="100" t="s">
        <v>388</v>
      </c>
      <c r="C72" s="100" t="s">
        <v>389</v>
      </c>
      <c r="D72" s="100" t="s">
        <v>390</v>
      </c>
      <c r="E72" s="100" t="s">
        <v>391</v>
      </c>
      <c r="F72" s="98"/>
      <c r="G72" s="101" t="s">
        <v>392</v>
      </c>
      <c r="H72" s="100" t="s">
        <v>393</v>
      </c>
      <c r="I72" s="391" t="s">
        <v>394</v>
      </c>
      <c r="J72" s="98"/>
      <c r="K72" s="98"/>
      <c r="L72" s="98"/>
      <c r="M72" s="98"/>
      <c r="N72" s="98"/>
    </row>
    <row r="73" spans="1:14">
      <c r="A73" s="102"/>
      <c r="B73" s="102"/>
      <c r="C73" s="102"/>
      <c r="D73" s="102"/>
      <c r="E73" s="102"/>
      <c r="F73" s="98"/>
      <c r="G73" s="392" t="s">
        <v>395</v>
      </c>
      <c r="H73" s="102" t="s">
        <v>396</v>
      </c>
      <c r="I73" s="102" t="s">
        <v>397</v>
      </c>
      <c r="J73" s="98"/>
      <c r="K73" s="98"/>
      <c r="L73" s="98"/>
      <c r="M73" s="98"/>
      <c r="N73" s="98"/>
    </row>
    <row r="74" spans="1:14" ht="13.8" thickBot="1">
      <c r="A74" s="103"/>
      <c r="B74" s="103"/>
      <c r="C74" s="103"/>
      <c r="D74" s="103"/>
      <c r="E74" s="103"/>
      <c r="F74" s="98"/>
      <c r="G74" s="104" t="s">
        <v>398</v>
      </c>
      <c r="H74" s="103"/>
      <c r="I74" s="103"/>
      <c r="J74" s="98"/>
      <c r="K74" s="98"/>
      <c r="L74" s="98"/>
      <c r="M74" s="98"/>
      <c r="N74" s="98"/>
    </row>
    <row r="75" spans="1:14">
      <c r="A75" s="98"/>
      <c r="B75" s="98"/>
      <c r="C75" s="98"/>
      <c r="D75" s="98"/>
      <c r="E75" s="98"/>
      <c r="F75" s="98"/>
      <c r="G75" s="98"/>
      <c r="H75" s="98"/>
      <c r="I75" s="98"/>
      <c r="J75" s="98"/>
      <c r="K75" s="98"/>
      <c r="L75" s="98"/>
      <c r="M75" s="98"/>
      <c r="N75" s="98"/>
    </row>
    <row r="76" spans="1:14">
      <c r="A76" s="98" t="s">
        <v>399</v>
      </c>
      <c r="B76" s="98"/>
      <c r="C76" s="98"/>
      <c r="D76" s="98"/>
      <c r="E76" s="98"/>
      <c r="F76" s="98"/>
      <c r="G76" s="98"/>
      <c r="H76" s="98"/>
      <c r="I76" s="98"/>
      <c r="J76" s="98"/>
      <c r="K76" s="98"/>
      <c r="L76" s="98"/>
      <c r="M76" s="98"/>
      <c r="N76" s="98"/>
    </row>
    <row r="77" spans="1:14">
      <c r="A77" s="98"/>
      <c r="B77" s="98"/>
      <c r="C77" s="98"/>
      <c r="D77" s="98"/>
      <c r="E77" s="98"/>
      <c r="F77" s="98"/>
      <c r="G77" s="98"/>
      <c r="H77" s="98"/>
      <c r="I77" s="98"/>
      <c r="J77" s="98"/>
      <c r="K77" s="98"/>
      <c r="L77" s="98"/>
      <c r="M77" s="98"/>
      <c r="N77" s="98"/>
    </row>
    <row r="78" spans="1:14">
      <c r="A78" s="98" t="s">
        <v>400</v>
      </c>
      <c r="B78" s="98"/>
      <c r="C78" s="98"/>
      <c r="D78" s="98"/>
      <c r="E78" s="98"/>
      <c r="F78" s="98"/>
      <c r="G78" s="98"/>
      <c r="H78" s="98"/>
      <c r="I78" s="98"/>
      <c r="J78" s="98"/>
      <c r="K78" s="98"/>
      <c r="L78" s="98"/>
      <c r="M78" s="98"/>
      <c r="N78" s="98"/>
    </row>
    <row r="79" spans="1:14">
      <c r="A79" s="98" t="s">
        <v>401</v>
      </c>
      <c r="B79" s="98"/>
      <c r="C79" s="98"/>
      <c r="D79" s="98"/>
      <c r="E79" s="98"/>
      <c r="F79" s="98"/>
      <c r="G79" s="98"/>
      <c r="H79" s="98"/>
      <c r="I79" s="98"/>
      <c r="J79" s="98"/>
      <c r="K79" s="98"/>
      <c r="L79" s="98"/>
      <c r="M79" s="98"/>
      <c r="N79" s="98"/>
    </row>
    <row r="80" spans="1:14">
      <c r="A80" s="98"/>
      <c r="B80" s="98"/>
      <c r="C80" s="98"/>
      <c r="D80" s="98"/>
      <c r="E80" s="98"/>
      <c r="F80" s="98"/>
      <c r="G80" s="98"/>
      <c r="H80" s="98"/>
      <c r="I80" s="98"/>
      <c r="J80" s="98"/>
      <c r="K80" s="98"/>
      <c r="L80" s="98"/>
      <c r="M80" s="98"/>
      <c r="N80" s="98"/>
    </row>
    <row r="81" spans="1:14">
      <c r="A81" s="98" t="s">
        <v>402</v>
      </c>
      <c r="B81" s="98"/>
      <c r="C81" s="98"/>
      <c r="D81" s="98"/>
      <c r="E81" s="98"/>
      <c r="F81" s="98"/>
      <c r="G81" s="98"/>
      <c r="H81" s="98"/>
      <c r="I81" s="98"/>
      <c r="J81" s="98"/>
      <c r="K81" s="98"/>
      <c r="L81" s="98"/>
      <c r="M81" s="98"/>
      <c r="N81" s="98"/>
    </row>
    <row r="82" spans="1:14">
      <c r="A82" s="98"/>
      <c r="B82" s="98"/>
      <c r="C82" s="98"/>
      <c r="D82" s="98"/>
      <c r="E82" s="98"/>
      <c r="F82" s="98"/>
      <c r="G82" s="98"/>
      <c r="H82" s="98"/>
      <c r="I82" s="98"/>
      <c r="J82" s="98"/>
      <c r="K82" s="98"/>
      <c r="L82" s="98"/>
      <c r="M82" s="98"/>
      <c r="N82" s="98"/>
    </row>
    <row r="83" spans="1:14">
      <c r="A83" s="98" t="s">
        <v>403</v>
      </c>
      <c r="B83" s="98"/>
      <c r="C83" s="98"/>
      <c r="D83" s="98"/>
      <c r="E83" s="98"/>
      <c r="F83" s="98"/>
      <c r="G83" s="98"/>
      <c r="H83" s="98"/>
      <c r="I83" s="98"/>
      <c r="J83" s="98"/>
      <c r="K83" s="98"/>
      <c r="L83" s="98"/>
      <c r="M83" s="98"/>
      <c r="N83" s="98"/>
    </row>
    <row r="84" spans="1:14">
      <c r="A84" s="97"/>
      <c r="B84" s="97"/>
      <c r="C84" s="97"/>
      <c r="D84" s="97"/>
      <c r="E84" s="97"/>
      <c r="F84" s="97"/>
      <c r="G84" s="97"/>
      <c r="H84" s="97"/>
      <c r="I84" s="97"/>
      <c r="J84" s="97"/>
      <c r="K84" s="98"/>
      <c r="L84" s="98"/>
      <c r="M84" s="98"/>
      <c r="N84" s="98"/>
    </row>
    <row r="85" spans="1:14">
      <c r="A85" s="97"/>
      <c r="B85" s="97"/>
      <c r="C85" s="97"/>
      <c r="D85" s="97"/>
      <c r="E85" s="97"/>
      <c r="F85" s="97"/>
      <c r="G85" s="97"/>
      <c r="H85" s="97"/>
      <c r="I85" s="97"/>
      <c r="J85" s="97"/>
      <c r="K85" s="98"/>
      <c r="L85" s="98"/>
      <c r="M85" s="98"/>
      <c r="N85" s="98"/>
    </row>
    <row r="86" spans="1:14">
      <c r="A86" s="97"/>
      <c r="B86" s="97"/>
      <c r="C86" s="97"/>
      <c r="D86" s="97"/>
      <c r="E86" s="97"/>
      <c r="F86" s="97"/>
      <c r="G86" s="97"/>
      <c r="H86" s="97"/>
      <c r="I86" s="97"/>
      <c r="J86" s="97"/>
      <c r="K86" s="98"/>
      <c r="L86" s="98"/>
      <c r="M86" s="98"/>
      <c r="N86" s="98"/>
    </row>
    <row r="87" spans="1:14">
      <c r="A87" s="105"/>
      <c r="B87" s="97"/>
      <c r="C87" s="97"/>
      <c r="D87" s="97"/>
      <c r="E87" s="97"/>
      <c r="F87" s="97"/>
      <c r="G87" s="97"/>
      <c r="H87" s="97"/>
      <c r="I87" s="97"/>
      <c r="J87" s="97"/>
      <c r="K87" s="98"/>
      <c r="L87" s="98"/>
      <c r="M87" s="98"/>
      <c r="N87" s="98"/>
    </row>
    <row r="88" spans="1:14">
      <c r="A88" s="97"/>
      <c r="B88" s="97"/>
      <c r="C88" s="97"/>
      <c r="D88" s="97"/>
      <c r="E88" s="97"/>
      <c r="F88" s="97"/>
      <c r="G88" s="97"/>
      <c r="H88" s="97"/>
      <c r="I88" s="97"/>
      <c r="J88" s="97"/>
      <c r="K88" s="98"/>
      <c r="L88" s="98"/>
      <c r="M88" s="98"/>
      <c r="N88" s="98"/>
    </row>
    <row r="89" spans="1:14">
      <c r="A89" s="97"/>
      <c r="B89" s="97"/>
      <c r="C89" s="97"/>
      <c r="D89" s="97"/>
      <c r="E89" s="97"/>
      <c r="F89" s="97"/>
      <c r="G89" s="97"/>
      <c r="H89" s="97"/>
      <c r="I89" s="97"/>
      <c r="J89" s="97"/>
      <c r="K89" s="98"/>
      <c r="L89" s="98"/>
      <c r="M89" s="98"/>
      <c r="N89" s="98"/>
    </row>
    <row r="90" spans="1:14">
      <c r="A90" s="97"/>
      <c r="B90" s="97"/>
      <c r="C90" s="97"/>
      <c r="D90" s="97"/>
      <c r="E90" s="97"/>
      <c r="F90" s="97"/>
      <c r="G90" s="97"/>
      <c r="H90" s="97"/>
      <c r="I90" s="97"/>
      <c r="J90" s="97"/>
      <c r="K90" s="98"/>
      <c r="L90" s="98"/>
      <c r="M90" s="98"/>
      <c r="N90" s="98"/>
    </row>
  </sheetData>
  <phoneticPr fontId="15" type="noConversion"/>
  <pageMargins left="0.15748031496062992" right="0.15748031496062992" top="0.39370078740157483" bottom="0.39370078740157483" header="0.51181102362204722" footer="0.51181102362204722"/>
  <pageSetup paperSize="9" scale="70" orientation="portrait" r:id="rId1"/>
  <headerFooter alignWithMargins="0"/>
  <drawing r:id="rId2"/>
  <legacyDrawing r:id="rId3"/>
  <oleObjects>
    <mc:AlternateContent xmlns:mc="http://schemas.openxmlformats.org/markup-compatibility/2006">
      <mc:Choice Requires="x14">
        <oleObject progId="Word.Document.8" shapeId="2053" r:id="rId4">
          <objectPr defaultSize="0" autoPict="0" r:id="rId5">
            <anchor moveWithCells="1">
              <from>
                <xdr:col>0</xdr:col>
                <xdr:colOff>320040</xdr:colOff>
                <xdr:row>3</xdr:row>
                <xdr:rowOff>0</xdr:rowOff>
              </from>
              <to>
                <xdr:col>11</xdr:col>
                <xdr:colOff>281940</xdr:colOff>
                <xdr:row>70</xdr:row>
                <xdr:rowOff>38100</xdr:rowOff>
              </to>
            </anchor>
          </objectPr>
        </oleObject>
      </mc:Choice>
      <mc:Fallback>
        <oleObject progId="Word.Document.8" shapeId="20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
  <sheetViews>
    <sheetView workbookViewId="0"/>
  </sheetViews>
  <sheetFormatPr defaultColWidth="9.21875" defaultRowHeight="13.2"/>
  <cols>
    <col min="1" max="16384" width="9.21875" style="172"/>
  </cols>
  <sheetData>
    <row r="1" spans="1:1">
      <c r="A1" s="247"/>
    </row>
  </sheetData>
  <phoneticPr fontId="1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FAE1-B273-4F12-9FDA-0FAEEDD819B4}">
  <sheetPr>
    <tabColor theme="2" tint="-9.9978637043366805E-2"/>
  </sheetPr>
  <dimension ref="A1:IV803"/>
  <sheetViews>
    <sheetView zoomScale="70" zoomScaleNormal="70" workbookViewId="0">
      <selection activeCell="B13" sqref="B13"/>
    </sheetView>
  </sheetViews>
  <sheetFormatPr defaultColWidth="9.33203125" defaultRowHeight="15"/>
  <cols>
    <col min="1" max="1" width="15.5546875" style="356" customWidth="1"/>
    <col min="2" max="2" width="69" style="62" customWidth="1"/>
    <col min="3" max="3" width="17.33203125" style="61" customWidth="1"/>
    <col min="4" max="4" width="7.5546875" style="62" customWidth="1"/>
    <col min="5" max="5" width="18.6640625" style="61" customWidth="1"/>
    <col min="6" max="6" width="1.5546875" style="332" customWidth="1"/>
    <col min="7" max="7" width="16.33203125" style="61" customWidth="1"/>
    <col min="8" max="8" width="1.5546875" style="332" customWidth="1"/>
    <col min="9" max="9" width="19.33203125" style="61" customWidth="1"/>
    <col min="10" max="10" width="7.6640625" style="331" customWidth="1"/>
    <col min="11" max="11" width="16.33203125" style="61" customWidth="1"/>
    <col min="12" max="12" width="1.5546875" style="67" customWidth="1"/>
    <col min="13" max="13" width="16.33203125" style="61" customWidth="1"/>
    <col min="14" max="14" width="1.6640625" style="332" customWidth="1"/>
    <col min="15" max="15" width="62.5546875" style="356" customWidth="1"/>
    <col min="16" max="16384" width="9.33203125" style="332"/>
  </cols>
  <sheetData>
    <row r="1" spans="1:16" s="337" customFormat="1" ht="25.5" customHeight="1">
      <c r="A1" s="535" t="s">
        <v>1445</v>
      </c>
      <c r="B1" s="535"/>
      <c r="C1" s="535"/>
      <c r="D1" s="535"/>
      <c r="E1" s="535"/>
      <c r="F1" s="535"/>
      <c r="G1" s="535"/>
      <c r="H1" s="535"/>
      <c r="I1" s="535"/>
      <c r="J1" s="535"/>
      <c r="K1" s="535"/>
      <c r="L1" s="535"/>
      <c r="M1" s="535"/>
      <c r="N1" s="535"/>
      <c r="O1" s="535"/>
    </row>
    <row r="2" spans="1:16" s="337" customFormat="1" ht="23.4" thickBot="1">
      <c r="A2" s="28"/>
      <c r="B2" s="27"/>
      <c r="C2" s="27"/>
      <c r="D2" s="27"/>
      <c r="E2" s="27"/>
      <c r="F2" s="27"/>
      <c r="G2" s="27"/>
      <c r="H2" s="27"/>
      <c r="I2" s="27"/>
      <c r="J2" s="315"/>
      <c r="K2" s="27"/>
      <c r="L2" s="124"/>
      <c r="M2" s="27"/>
      <c r="N2" s="27"/>
      <c r="O2" s="377">
        <f>I5</f>
        <v>45473</v>
      </c>
    </row>
    <row r="3" spans="1:16" s="337" customFormat="1" ht="25.5" customHeight="1" thickBot="1">
      <c r="A3" s="116" t="s">
        <v>406</v>
      </c>
      <c r="B3" s="259" t="s">
        <v>1519</v>
      </c>
      <c r="C3" s="110"/>
      <c r="D3" s="539" t="s">
        <v>475</v>
      </c>
      <c r="E3" s="540"/>
      <c r="F3" s="540"/>
      <c r="G3" s="540"/>
      <c r="H3" s="541"/>
      <c r="I3" s="123">
        <v>2222</v>
      </c>
      <c r="J3" s="316"/>
      <c r="K3" s="539" t="s">
        <v>1440</v>
      </c>
      <c r="L3" s="540"/>
      <c r="M3" s="540"/>
      <c r="N3" s="540"/>
      <c r="O3" s="378" t="s">
        <v>1367</v>
      </c>
    </row>
    <row r="4" spans="1:16" s="337" customFormat="1" ht="22.5" customHeight="1" thickBot="1">
      <c r="A4" s="340" t="s">
        <v>476</v>
      </c>
      <c r="B4" s="117" t="s">
        <v>708</v>
      </c>
      <c r="C4" s="110"/>
      <c r="D4" s="539" t="s">
        <v>477</v>
      </c>
      <c r="E4" s="537"/>
      <c r="F4" s="537"/>
      <c r="G4" s="537"/>
      <c r="H4" s="538"/>
      <c r="I4" s="123" t="s">
        <v>149</v>
      </c>
      <c r="J4" s="316"/>
      <c r="K4" s="121"/>
      <c r="L4" s="125"/>
      <c r="M4" s="121"/>
      <c r="N4" s="338"/>
      <c r="O4" s="339"/>
      <c r="P4" s="29"/>
    </row>
    <row r="5" spans="1:16" s="337" customFormat="1" ht="28.5" customHeight="1" thickBot="1">
      <c r="A5" s="115"/>
      <c r="B5" s="253"/>
      <c r="C5" s="114"/>
      <c r="D5" s="536" t="s">
        <v>478</v>
      </c>
      <c r="E5" s="537"/>
      <c r="F5" s="537"/>
      <c r="G5" s="537"/>
      <c r="H5" s="538"/>
      <c r="I5" s="378">
        <v>45473</v>
      </c>
      <c r="J5" s="317"/>
      <c r="K5" s="122"/>
      <c r="L5" s="126"/>
      <c r="M5" s="122"/>
      <c r="N5" s="338"/>
      <c r="O5" s="339"/>
      <c r="P5" s="29"/>
    </row>
    <row r="6" spans="1:16" s="337" customFormat="1" ht="15.6"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2"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2"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2"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42" t="s">
        <v>428</v>
      </c>
      <c r="B12" s="543"/>
      <c r="C12" s="543"/>
      <c r="D12" s="543"/>
      <c r="E12" s="543"/>
      <c r="F12" s="543"/>
      <c r="G12" s="543"/>
      <c r="H12" s="543"/>
      <c r="I12" s="543"/>
      <c r="J12" s="543"/>
      <c r="K12" s="543"/>
      <c r="L12" s="543"/>
      <c r="M12" s="543"/>
      <c r="N12" s="543"/>
      <c r="O12" s="544"/>
    </row>
    <row r="13" spans="1:16" s="120" customFormat="1" ht="96.6">
      <c r="A13" s="119"/>
      <c r="B13" s="133"/>
      <c r="C13" s="134" t="s">
        <v>484</v>
      </c>
      <c r="D13" s="135"/>
      <c r="E13" s="134" t="s">
        <v>485</v>
      </c>
      <c r="F13" s="136"/>
      <c r="G13" s="134" t="s">
        <v>486</v>
      </c>
      <c r="H13" s="136"/>
      <c r="I13" s="134" t="s">
        <v>487</v>
      </c>
      <c r="J13" s="320" t="s">
        <v>488</v>
      </c>
      <c r="K13" s="134" t="s">
        <v>489</v>
      </c>
      <c r="L13" s="134"/>
      <c r="M13" s="134" t="s">
        <v>1441</v>
      </c>
      <c r="N13" s="131"/>
      <c r="O13" s="601" t="s">
        <v>550</v>
      </c>
    </row>
    <row r="14" spans="1:16" s="62" customFormat="1" ht="23.25" customHeight="1">
      <c r="A14" s="33"/>
      <c r="B14" s="137"/>
      <c r="C14" s="534" t="s">
        <v>490</v>
      </c>
      <c r="D14" s="534"/>
      <c r="E14" s="534"/>
      <c r="F14" s="534"/>
      <c r="G14" s="534"/>
      <c r="H14" s="534"/>
      <c r="I14" s="534"/>
      <c r="J14" s="534"/>
      <c r="K14" s="534"/>
      <c r="L14" s="534"/>
      <c r="M14" s="534"/>
      <c r="N14" s="344"/>
      <c r="O14" s="602"/>
    </row>
    <row r="15" spans="1:16" s="337" customFormat="1" ht="26.25" customHeight="1">
      <c r="A15" s="34" t="s">
        <v>491</v>
      </c>
      <c r="B15" s="35" t="s">
        <v>492</v>
      </c>
      <c r="C15" s="36" t="s">
        <v>493</v>
      </c>
      <c r="D15" s="333" t="s">
        <v>494</v>
      </c>
      <c r="E15" s="36" t="s">
        <v>493</v>
      </c>
      <c r="G15" s="36" t="s">
        <v>493</v>
      </c>
      <c r="I15" s="36" t="s">
        <v>493</v>
      </c>
      <c r="J15" s="321"/>
      <c r="K15" s="36" t="s">
        <v>493</v>
      </c>
      <c r="L15" s="128"/>
      <c r="M15" s="36" t="s">
        <v>493</v>
      </c>
      <c r="O15" s="603"/>
      <c r="P15" s="29"/>
    </row>
    <row r="16" spans="1:16" s="337" customFormat="1" ht="19.5" customHeight="1">
      <c r="A16" s="38" t="s">
        <v>495</v>
      </c>
      <c r="B16" s="39" t="s">
        <v>496</v>
      </c>
      <c r="C16" s="604">
        <v>2579341</v>
      </c>
      <c r="D16" s="334" t="s">
        <v>497</v>
      </c>
      <c r="E16" s="515">
        <v>2601985</v>
      </c>
      <c r="F16" s="345"/>
      <c r="G16" s="605">
        <v>2721022</v>
      </c>
      <c r="H16" s="345"/>
      <c r="I16" s="605">
        <v>799792</v>
      </c>
      <c r="J16" s="606">
        <v>0.28999999999999998</v>
      </c>
      <c r="K16" s="605">
        <v>2721102</v>
      </c>
      <c r="L16" s="346"/>
      <c r="M16" s="607">
        <f>K16-E16</f>
        <v>119117</v>
      </c>
      <c r="N16" s="345"/>
      <c r="O16" s="608" t="s">
        <v>1482</v>
      </c>
    </row>
    <row r="17" spans="1:15" s="337" customFormat="1" ht="19.5" customHeight="1">
      <c r="A17" s="38" t="s">
        <v>498</v>
      </c>
      <c r="B17" s="39" t="s">
        <v>499</v>
      </c>
      <c r="C17" s="604">
        <v>0</v>
      </c>
      <c r="D17" s="335" t="s">
        <v>500</v>
      </c>
      <c r="E17" s="515">
        <v>0</v>
      </c>
      <c r="F17" s="345"/>
      <c r="G17" s="605">
        <v>0</v>
      </c>
      <c r="H17" s="345"/>
      <c r="I17" s="605">
        <v>0</v>
      </c>
      <c r="J17" s="606">
        <v>0</v>
      </c>
      <c r="K17" s="605">
        <v>0</v>
      </c>
      <c r="L17" s="346"/>
      <c r="M17" s="143">
        <f t="shared" ref="M17:M34" si="0">K17-E17</f>
        <v>0</v>
      </c>
      <c r="N17" s="345"/>
      <c r="O17" s="608"/>
    </row>
    <row r="18" spans="1:15" s="337" customFormat="1" ht="19.5" customHeight="1">
      <c r="A18" s="38" t="s">
        <v>501</v>
      </c>
      <c r="B18" s="39" t="s">
        <v>502</v>
      </c>
      <c r="C18" s="604">
        <v>99237</v>
      </c>
      <c r="D18" s="335" t="s">
        <v>503</v>
      </c>
      <c r="E18" s="515">
        <v>88985</v>
      </c>
      <c r="F18" s="345"/>
      <c r="G18" s="605">
        <v>96642</v>
      </c>
      <c r="H18" s="345"/>
      <c r="I18" s="605">
        <v>22246</v>
      </c>
      <c r="J18" s="606">
        <v>0.23</v>
      </c>
      <c r="K18" s="605">
        <v>96642</v>
      </c>
      <c r="L18" s="346"/>
      <c r="M18" s="607">
        <f t="shared" si="0"/>
        <v>7657</v>
      </c>
      <c r="N18" s="345"/>
      <c r="O18" s="608" t="s">
        <v>1483</v>
      </c>
    </row>
    <row r="19" spans="1:15" s="337" customFormat="1" ht="19.5" customHeight="1">
      <c r="A19" s="38" t="s">
        <v>504</v>
      </c>
      <c r="B19" s="39" t="s">
        <v>505</v>
      </c>
      <c r="C19" s="604">
        <v>0</v>
      </c>
      <c r="D19" s="335" t="s">
        <v>506</v>
      </c>
      <c r="E19" s="515">
        <v>0</v>
      </c>
      <c r="F19" s="345"/>
      <c r="G19" s="605">
        <v>0</v>
      </c>
      <c r="H19" s="345"/>
      <c r="I19" s="605">
        <v>0</v>
      </c>
      <c r="J19" s="606">
        <v>0</v>
      </c>
      <c r="K19" s="605">
        <v>0</v>
      </c>
      <c r="L19" s="346"/>
      <c r="M19" s="143">
        <f t="shared" si="0"/>
        <v>0</v>
      </c>
      <c r="N19" s="345"/>
      <c r="O19" s="608"/>
    </row>
    <row r="20" spans="1:15" s="337" customFormat="1" ht="19.5" customHeight="1">
      <c r="A20" s="38" t="s">
        <v>507</v>
      </c>
      <c r="B20" s="39" t="s">
        <v>508</v>
      </c>
      <c r="C20" s="604">
        <v>186180</v>
      </c>
      <c r="D20" s="335" t="s">
        <v>509</v>
      </c>
      <c r="E20" s="515">
        <v>199830</v>
      </c>
      <c r="F20" s="345"/>
      <c r="G20" s="605">
        <v>199830</v>
      </c>
      <c r="H20" s="345"/>
      <c r="I20" s="605">
        <v>0</v>
      </c>
      <c r="J20" s="606">
        <v>0</v>
      </c>
      <c r="K20" s="605">
        <v>199830</v>
      </c>
      <c r="L20" s="346"/>
      <c r="M20" s="143">
        <f t="shared" si="0"/>
        <v>0</v>
      </c>
      <c r="N20" s="345"/>
      <c r="O20" s="608"/>
    </row>
    <row r="21" spans="1:15" s="337" customFormat="1" ht="19.5" customHeight="1">
      <c r="A21" s="38" t="s">
        <v>510</v>
      </c>
      <c r="B21" s="39" t="s">
        <v>511</v>
      </c>
      <c r="C21" s="604">
        <v>1706</v>
      </c>
      <c r="D21" s="335" t="s">
        <v>512</v>
      </c>
      <c r="E21" s="515">
        <v>0</v>
      </c>
      <c r="F21" s="345"/>
      <c r="G21" s="605">
        <v>109721</v>
      </c>
      <c r="H21" s="345"/>
      <c r="I21" s="605">
        <v>8673</v>
      </c>
      <c r="J21" s="606">
        <v>0.08</v>
      </c>
      <c r="K21" s="605">
        <v>109721</v>
      </c>
      <c r="L21" s="346"/>
      <c r="M21" s="607">
        <f t="shared" si="0"/>
        <v>109721</v>
      </c>
      <c r="N21" s="345"/>
      <c r="O21" s="608" t="s">
        <v>1484</v>
      </c>
    </row>
    <row r="22" spans="1:15" s="337" customFormat="1" ht="19.5" customHeight="1">
      <c r="A22" s="38" t="s">
        <v>513</v>
      </c>
      <c r="B22" s="39" t="s">
        <v>514</v>
      </c>
      <c r="C22" s="604">
        <v>0</v>
      </c>
      <c r="D22" s="335" t="s">
        <v>515</v>
      </c>
      <c r="E22" s="515">
        <v>0</v>
      </c>
      <c r="F22" s="345"/>
      <c r="G22" s="605">
        <v>0</v>
      </c>
      <c r="H22" s="345"/>
      <c r="I22" s="605">
        <v>0</v>
      </c>
      <c r="J22" s="606">
        <v>0</v>
      </c>
      <c r="K22" s="605">
        <v>0</v>
      </c>
      <c r="L22" s="346"/>
      <c r="M22" s="143">
        <f t="shared" si="0"/>
        <v>0</v>
      </c>
      <c r="N22" s="345"/>
      <c r="O22" s="608"/>
    </row>
    <row r="23" spans="1:15" s="337" customFormat="1" ht="19.5" customHeight="1">
      <c r="A23" s="38" t="s">
        <v>516</v>
      </c>
      <c r="B23" s="39" t="s">
        <v>517</v>
      </c>
      <c r="C23" s="604">
        <v>24357</v>
      </c>
      <c r="D23" s="335" t="s">
        <v>518</v>
      </c>
      <c r="E23" s="515">
        <v>26500</v>
      </c>
      <c r="F23" s="345"/>
      <c r="G23" s="605">
        <v>26500</v>
      </c>
      <c r="H23" s="345"/>
      <c r="I23" s="605">
        <v>4417</v>
      </c>
      <c r="J23" s="609">
        <v>0.16</v>
      </c>
      <c r="K23" s="605">
        <v>26500</v>
      </c>
      <c r="L23" s="346"/>
      <c r="M23" s="143">
        <f t="shared" si="0"/>
        <v>0</v>
      </c>
      <c r="N23" s="345"/>
      <c r="O23" s="608" t="s">
        <v>1485</v>
      </c>
    </row>
    <row r="24" spans="1:15" s="337" customFormat="1" ht="19.5" customHeight="1">
      <c r="A24" s="38" t="s">
        <v>519</v>
      </c>
      <c r="B24" s="39" t="s">
        <v>520</v>
      </c>
      <c r="C24" s="604">
        <v>8652</v>
      </c>
      <c r="D24" s="335" t="s">
        <v>521</v>
      </c>
      <c r="E24" s="515">
        <v>2000</v>
      </c>
      <c r="F24" s="345"/>
      <c r="G24" s="605">
        <v>2000</v>
      </c>
      <c r="H24" s="345"/>
      <c r="I24" s="605">
        <v>3525</v>
      </c>
      <c r="J24" s="609">
        <v>1</v>
      </c>
      <c r="K24" s="605">
        <v>3525</v>
      </c>
      <c r="L24" s="346"/>
      <c r="M24" s="607">
        <f t="shared" si="0"/>
        <v>1525</v>
      </c>
      <c r="N24" s="345"/>
      <c r="O24" s="608" t="s">
        <v>1486</v>
      </c>
    </row>
    <row r="25" spans="1:15" s="337" customFormat="1" ht="19.5" customHeight="1">
      <c r="A25" s="38" t="s">
        <v>522</v>
      </c>
      <c r="B25" s="39" t="s">
        <v>523</v>
      </c>
      <c r="C25" s="604">
        <v>38695</v>
      </c>
      <c r="D25" s="335" t="s">
        <v>524</v>
      </c>
      <c r="E25" s="515">
        <v>40000</v>
      </c>
      <c r="F25" s="345"/>
      <c r="G25" s="605">
        <v>40000</v>
      </c>
      <c r="H25" s="345"/>
      <c r="I25" s="605">
        <v>9273</v>
      </c>
      <c r="J25" s="606">
        <v>0.23</v>
      </c>
      <c r="K25" s="605">
        <v>40000</v>
      </c>
      <c r="L25" s="346"/>
      <c r="M25" s="143">
        <f t="shared" si="0"/>
        <v>0</v>
      </c>
      <c r="N25" s="345"/>
      <c r="O25" s="608"/>
    </row>
    <row r="26" spans="1:15" s="337" customFormat="1" ht="19.5" customHeight="1">
      <c r="A26" s="38" t="s">
        <v>525</v>
      </c>
      <c r="B26" s="39" t="s">
        <v>526</v>
      </c>
      <c r="C26" s="604">
        <v>5750</v>
      </c>
      <c r="D26" s="335" t="s">
        <v>527</v>
      </c>
      <c r="E26" s="515">
        <v>0</v>
      </c>
      <c r="F26" s="345"/>
      <c r="G26" s="605">
        <v>0</v>
      </c>
      <c r="H26" s="345"/>
      <c r="I26" s="605">
        <v>1150</v>
      </c>
      <c r="J26" s="609">
        <v>1</v>
      </c>
      <c r="K26" s="605">
        <v>1150</v>
      </c>
      <c r="L26" s="346"/>
      <c r="M26" s="607">
        <f t="shared" si="0"/>
        <v>1150</v>
      </c>
      <c r="N26" s="345"/>
      <c r="O26" s="608" t="s">
        <v>1487</v>
      </c>
    </row>
    <row r="27" spans="1:15" s="337" customFormat="1" ht="19.5" customHeight="1">
      <c r="A27" s="38" t="s">
        <v>528</v>
      </c>
      <c r="B27" s="39" t="s">
        <v>529</v>
      </c>
      <c r="C27" s="604">
        <v>0</v>
      </c>
      <c r="D27" s="335" t="s">
        <v>530</v>
      </c>
      <c r="E27" s="515">
        <v>0</v>
      </c>
      <c r="F27" s="345"/>
      <c r="G27" s="605">
        <v>0</v>
      </c>
      <c r="H27" s="345"/>
      <c r="I27" s="605">
        <v>0</v>
      </c>
      <c r="J27" s="606">
        <v>0</v>
      </c>
      <c r="K27" s="605">
        <v>0</v>
      </c>
      <c r="L27" s="346"/>
      <c r="M27" s="143">
        <f t="shared" si="0"/>
        <v>0</v>
      </c>
      <c r="N27" s="345"/>
      <c r="O27" s="608"/>
    </row>
    <row r="28" spans="1:15" s="337" customFormat="1" ht="19.5" customHeight="1">
      <c r="A28" s="38" t="s">
        <v>531</v>
      </c>
      <c r="B28" s="39" t="s">
        <v>532</v>
      </c>
      <c r="C28" s="604">
        <v>62456</v>
      </c>
      <c r="D28" s="335" t="s">
        <v>533</v>
      </c>
      <c r="E28" s="515">
        <v>63000</v>
      </c>
      <c r="F28" s="345"/>
      <c r="G28" s="605">
        <v>63000</v>
      </c>
      <c r="H28" s="345"/>
      <c r="I28" s="605">
        <v>34760</v>
      </c>
      <c r="J28" s="609">
        <v>0.55000000000000004</v>
      </c>
      <c r="K28" s="605">
        <v>63000</v>
      </c>
      <c r="L28" s="346"/>
      <c r="M28" s="143">
        <f t="shared" si="0"/>
        <v>0</v>
      </c>
      <c r="N28" s="345"/>
      <c r="O28" s="608" t="s">
        <v>1488</v>
      </c>
    </row>
    <row r="29" spans="1:15" s="337" customFormat="1" ht="19.5" customHeight="1">
      <c r="A29" s="38" t="s">
        <v>534</v>
      </c>
      <c r="B29" s="39" t="s">
        <v>535</v>
      </c>
      <c r="C29" s="604">
        <v>25000</v>
      </c>
      <c r="D29" s="335" t="s">
        <v>536</v>
      </c>
      <c r="E29" s="515">
        <v>0</v>
      </c>
      <c r="F29" s="345"/>
      <c r="G29" s="605">
        <v>0</v>
      </c>
      <c r="H29" s="345"/>
      <c r="I29" s="605">
        <v>5000</v>
      </c>
      <c r="J29" s="609">
        <v>1</v>
      </c>
      <c r="K29" s="605">
        <v>5000</v>
      </c>
      <c r="L29" s="346"/>
      <c r="M29" s="607">
        <f t="shared" si="0"/>
        <v>5000</v>
      </c>
      <c r="N29" s="345"/>
      <c r="O29" s="608" t="s">
        <v>1489</v>
      </c>
    </row>
    <row r="30" spans="1:15" s="337" customFormat="1" ht="19.5" customHeight="1">
      <c r="A30" s="38" t="s">
        <v>537</v>
      </c>
      <c r="B30" s="39" t="s">
        <v>538</v>
      </c>
      <c r="C30" s="604">
        <v>0</v>
      </c>
      <c r="D30" s="335"/>
      <c r="E30" s="515">
        <v>0</v>
      </c>
      <c r="F30" s="345"/>
      <c r="G30" s="605">
        <v>0</v>
      </c>
      <c r="H30" s="345"/>
      <c r="I30" s="605">
        <v>0</v>
      </c>
      <c r="J30" s="606">
        <v>0</v>
      </c>
      <c r="K30" s="605">
        <v>0</v>
      </c>
      <c r="L30" s="346"/>
      <c r="M30" s="143">
        <f t="shared" si="0"/>
        <v>0</v>
      </c>
      <c r="N30" s="345"/>
      <c r="O30" s="608"/>
    </row>
    <row r="31" spans="1:15" s="337" customFormat="1" ht="19.5" customHeight="1">
      <c r="A31" s="38" t="s">
        <v>539</v>
      </c>
      <c r="B31" s="39" t="s">
        <v>540</v>
      </c>
      <c r="C31" s="604">
        <v>0</v>
      </c>
      <c r="D31" s="335" t="s">
        <v>541</v>
      </c>
      <c r="E31" s="515">
        <v>0</v>
      </c>
      <c r="F31" s="345"/>
      <c r="G31" s="605">
        <v>0</v>
      </c>
      <c r="H31" s="345"/>
      <c r="I31" s="605">
        <v>0</v>
      </c>
      <c r="J31" s="606">
        <v>0</v>
      </c>
      <c r="K31" s="605">
        <v>0</v>
      </c>
      <c r="L31" s="346"/>
      <c r="M31" s="143">
        <f t="shared" si="0"/>
        <v>0</v>
      </c>
      <c r="N31" s="345"/>
      <c r="O31" s="608"/>
    </row>
    <row r="32" spans="1:15" s="337" customFormat="1" ht="19.5" customHeight="1">
      <c r="A32" s="38" t="s">
        <v>542</v>
      </c>
      <c r="B32" s="39" t="s">
        <v>540</v>
      </c>
      <c r="C32" s="604">
        <v>0</v>
      </c>
      <c r="D32" s="335" t="s">
        <v>543</v>
      </c>
      <c r="E32" s="515">
        <v>0</v>
      </c>
      <c r="F32" s="345"/>
      <c r="G32" s="605">
        <v>0</v>
      </c>
      <c r="H32" s="345"/>
      <c r="I32" s="605">
        <v>0</v>
      </c>
      <c r="J32" s="606">
        <v>0</v>
      </c>
      <c r="K32" s="605">
        <v>0</v>
      </c>
      <c r="L32" s="346"/>
      <c r="M32" s="143">
        <f t="shared" si="0"/>
        <v>0</v>
      </c>
      <c r="N32" s="345"/>
      <c r="O32" s="608"/>
    </row>
    <row r="33" spans="1:16" s="337" customFormat="1" ht="19.5" customHeight="1">
      <c r="A33" s="38" t="s">
        <v>544</v>
      </c>
      <c r="B33" s="39" t="s">
        <v>540</v>
      </c>
      <c r="C33" s="604">
        <v>369</v>
      </c>
      <c r="D33" s="335" t="s">
        <v>545</v>
      </c>
      <c r="E33" s="515">
        <v>0</v>
      </c>
      <c r="F33" s="345"/>
      <c r="G33" s="605">
        <v>0</v>
      </c>
      <c r="H33" s="345"/>
      <c r="I33" s="605">
        <v>0</v>
      </c>
      <c r="J33" s="606">
        <v>0</v>
      </c>
      <c r="K33" s="605">
        <v>0</v>
      </c>
      <c r="L33" s="346"/>
      <c r="M33" s="143">
        <f t="shared" si="0"/>
        <v>0</v>
      </c>
      <c r="N33" s="345"/>
      <c r="O33" s="608"/>
    </row>
    <row r="34" spans="1:16" s="337" customFormat="1" ht="19.5" customHeight="1" thickBot="1">
      <c r="A34" s="40" t="s">
        <v>546</v>
      </c>
      <c r="B34" s="39" t="s">
        <v>547</v>
      </c>
      <c r="C34" s="604">
        <v>113458</v>
      </c>
      <c r="D34" s="335" t="s">
        <v>548</v>
      </c>
      <c r="E34" s="515">
        <v>109721</v>
      </c>
      <c r="F34" s="345"/>
      <c r="G34" s="605">
        <v>0</v>
      </c>
      <c r="H34" s="345"/>
      <c r="I34" s="605">
        <v>0</v>
      </c>
      <c r="J34" s="606">
        <v>0</v>
      </c>
      <c r="K34" s="605">
        <v>0</v>
      </c>
      <c r="L34" s="346"/>
      <c r="M34" s="607">
        <f t="shared" si="0"/>
        <v>-109721</v>
      </c>
      <c r="N34" s="345"/>
      <c r="O34" s="608" t="s">
        <v>1490</v>
      </c>
    </row>
    <row r="35" spans="1:16" s="337" customFormat="1" ht="19.5" customHeight="1" thickBot="1">
      <c r="A35" s="38"/>
      <c r="B35" s="41" t="s">
        <v>549</v>
      </c>
      <c r="C35" s="1">
        <v>3145201</v>
      </c>
      <c r="D35" s="336"/>
      <c r="E35" s="1">
        <v>3132021</v>
      </c>
      <c r="F35" s="345"/>
      <c r="G35" s="1">
        <v>3258715</v>
      </c>
      <c r="H35" s="345"/>
      <c r="I35" s="1">
        <v>888836</v>
      </c>
      <c r="J35" s="610">
        <v>0.27</v>
      </c>
      <c r="K35" s="1">
        <v>3266470</v>
      </c>
      <c r="L35" s="64"/>
      <c r="M35" s="144">
        <f>SUM(M16:M34)</f>
        <v>134449</v>
      </c>
      <c r="O35" s="611">
        <f>K35-E35-M35</f>
        <v>0</v>
      </c>
    </row>
    <row r="36" spans="1:16" s="337" customFormat="1" ht="12" customHeight="1">
      <c r="A36" s="38"/>
      <c r="B36" s="41"/>
      <c r="C36" s="6"/>
      <c r="D36" s="336"/>
      <c r="E36" s="6"/>
      <c r="G36" s="6"/>
      <c r="I36" s="6"/>
      <c r="J36" s="322"/>
      <c r="K36" s="6"/>
      <c r="L36" s="51"/>
      <c r="M36" s="6"/>
      <c r="O36" s="603"/>
    </row>
    <row r="37" spans="1:16" s="337" customFormat="1" ht="96.6">
      <c r="A37" s="47" t="str">
        <f>B3</f>
        <v>River Cam Primary School</v>
      </c>
      <c r="B37" s="41"/>
      <c r="C37" s="134" t="s">
        <v>484</v>
      </c>
      <c r="D37" s="135"/>
      <c r="E37" s="134" t="s">
        <v>485</v>
      </c>
      <c r="F37" s="136"/>
      <c r="G37" s="134" t="s">
        <v>486</v>
      </c>
      <c r="H37" s="136"/>
      <c r="I37" s="134" t="s">
        <v>487</v>
      </c>
      <c r="J37" s="320" t="s">
        <v>488</v>
      </c>
      <c r="K37" s="134" t="s">
        <v>489</v>
      </c>
      <c r="L37" s="134"/>
      <c r="M37" s="134" t="s">
        <v>1441</v>
      </c>
      <c r="N37" s="131"/>
      <c r="O37" s="601" t="s">
        <v>550</v>
      </c>
    </row>
    <row r="38" spans="1:16" s="62" customFormat="1" ht="23.25" customHeight="1">
      <c r="A38" s="33"/>
      <c r="B38" s="137"/>
      <c r="C38" s="534" t="s">
        <v>490</v>
      </c>
      <c r="D38" s="534"/>
      <c r="E38" s="534"/>
      <c r="F38" s="534"/>
      <c r="G38" s="534"/>
      <c r="H38" s="534"/>
      <c r="I38" s="534"/>
      <c r="J38" s="534"/>
      <c r="K38" s="534"/>
      <c r="L38" s="534"/>
      <c r="M38" s="534"/>
      <c r="N38" s="344"/>
      <c r="O38" s="602"/>
    </row>
    <row r="39" spans="1:16" s="337" customFormat="1" ht="19.5" customHeight="1">
      <c r="A39" s="44" t="s">
        <v>491</v>
      </c>
      <c r="B39" s="35" t="s">
        <v>551</v>
      </c>
      <c r="C39" s="42" t="s">
        <v>493</v>
      </c>
      <c r="D39" s="37"/>
      <c r="E39" s="42" t="s">
        <v>493</v>
      </c>
      <c r="G39" s="42" t="s">
        <v>493</v>
      </c>
      <c r="I39" s="42" t="s">
        <v>493</v>
      </c>
      <c r="J39" s="321"/>
      <c r="K39" s="42" t="s">
        <v>493</v>
      </c>
      <c r="L39" s="128"/>
      <c r="M39" s="42" t="s">
        <v>493</v>
      </c>
      <c r="O39" s="603"/>
      <c r="P39" s="29"/>
    </row>
    <row r="40" spans="1:16" s="337" customFormat="1" ht="38.1" customHeight="1">
      <c r="A40" s="38" t="s">
        <v>552</v>
      </c>
      <c r="B40" s="39" t="s">
        <v>553</v>
      </c>
      <c r="C40" s="142">
        <v>1652391</v>
      </c>
      <c r="D40" s="335" t="s">
        <v>554</v>
      </c>
      <c r="E40" s="516">
        <v>1573482</v>
      </c>
      <c r="F40" s="345"/>
      <c r="G40" s="612">
        <v>1546457</v>
      </c>
      <c r="H40" s="345"/>
      <c r="I40" s="612">
        <v>371156</v>
      </c>
      <c r="J40" s="606">
        <v>0.24</v>
      </c>
      <c r="K40" s="612">
        <v>1546457</v>
      </c>
      <c r="L40" s="346"/>
      <c r="M40" s="607">
        <f>K40-E40</f>
        <v>-27025</v>
      </c>
      <c r="N40" s="345"/>
      <c r="O40" s="613" t="s">
        <v>1491</v>
      </c>
    </row>
    <row r="41" spans="1:16" s="337" customFormat="1" ht="19.5" customHeight="1">
      <c r="A41" s="38" t="s">
        <v>555</v>
      </c>
      <c r="B41" s="39" t="s">
        <v>556</v>
      </c>
      <c r="C41" s="142">
        <v>0</v>
      </c>
      <c r="D41" s="335" t="s">
        <v>557</v>
      </c>
      <c r="E41" s="516">
        <v>0</v>
      </c>
      <c r="F41" s="345"/>
      <c r="G41" s="605">
        <v>0</v>
      </c>
      <c r="H41" s="345"/>
      <c r="I41" s="605">
        <v>0</v>
      </c>
      <c r="J41" s="614">
        <v>0</v>
      </c>
      <c r="K41" s="605">
        <v>0</v>
      </c>
      <c r="L41" s="346"/>
      <c r="M41" s="143">
        <f t="shared" ref="M41:M70" si="1">K41-E41</f>
        <v>0</v>
      </c>
      <c r="N41" s="345"/>
      <c r="O41" s="613"/>
    </row>
    <row r="42" spans="1:16" s="337" customFormat="1" ht="19.5" customHeight="1">
      <c r="A42" s="38" t="s">
        <v>558</v>
      </c>
      <c r="B42" s="39" t="s">
        <v>559</v>
      </c>
      <c r="C42" s="142">
        <v>492384</v>
      </c>
      <c r="D42" s="335" t="s">
        <v>560</v>
      </c>
      <c r="E42" s="516">
        <v>541471</v>
      </c>
      <c r="F42" s="345"/>
      <c r="G42" s="605">
        <v>543856</v>
      </c>
      <c r="H42" s="345"/>
      <c r="I42" s="605">
        <v>130526</v>
      </c>
      <c r="J42" s="606">
        <v>0.23783428875113033</v>
      </c>
      <c r="K42" s="605">
        <v>543856</v>
      </c>
      <c r="L42" s="346"/>
      <c r="M42" s="607">
        <f t="shared" si="1"/>
        <v>2385</v>
      </c>
      <c r="N42" s="345"/>
      <c r="O42" s="608" t="s">
        <v>1492</v>
      </c>
    </row>
    <row r="43" spans="1:16" s="337" customFormat="1" ht="19.5" customHeight="1">
      <c r="A43" s="38" t="s">
        <v>561</v>
      </c>
      <c r="B43" s="39" t="s">
        <v>562</v>
      </c>
      <c r="C43" s="142">
        <v>60586</v>
      </c>
      <c r="D43" s="335" t="s">
        <v>563</v>
      </c>
      <c r="E43" s="516">
        <v>61172</v>
      </c>
      <c r="F43" s="345"/>
      <c r="G43" s="605">
        <v>61172</v>
      </c>
      <c r="H43" s="345"/>
      <c r="I43" s="605">
        <v>12696</v>
      </c>
      <c r="J43" s="606">
        <v>0.21</v>
      </c>
      <c r="K43" s="605">
        <v>61564</v>
      </c>
      <c r="L43" s="346"/>
      <c r="M43" s="607">
        <f t="shared" si="1"/>
        <v>392</v>
      </c>
      <c r="N43" s="345"/>
      <c r="O43" s="608" t="s">
        <v>1493</v>
      </c>
    </row>
    <row r="44" spans="1:16" s="337" customFormat="1" ht="19.5" customHeight="1">
      <c r="A44" s="38" t="s">
        <v>564</v>
      </c>
      <c r="B44" s="39" t="s">
        <v>565</v>
      </c>
      <c r="C44" s="142">
        <v>125203</v>
      </c>
      <c r="D44" s="335" t="s">
        <v>566</v>
      </c>
      <c r="E44" s="516">
        <v>138445</v>
      </c>
      <c r="F44" s="345"/>
      <c r="G44" s="605">
        <v>138445</v>
      </c>
      <c r="H44" s="345"/>
      <c r="I44" s="605">
        <v>33837.5</v>
      </c>
      <c r="J44" s="606">
        <v>0.24</v>
      </c>
      <c r="K44" s="605">
        <v>135355</v>
      </c>
      <c r="L44" s="346"/>
      <c r="M44" s="607">
        <f t="shared" si="1"/>
        <v>-3090</v>
      </c>
      <c r="N44" s="345"/>
      <c r="O44" s="608" t="s">
        <v>1494</v>
      </c>
    </row>
    <row r="45" spans="1:16" s="337" customFormat="1" ht="19.5" customHeight="1">
      <c r="A45" s="38" t="s">
        <v>567</v>
      </c>
      <c r="B45" s="39" t="s">
        <v>568</v>
      </c>
      <c r="C45" s="142">
        <v>48363</v>
      </c>
      <c r="D45" s="335" t="s">
        <v>569</v>
      </c>
      <c r="E45" s="516">
        <v>52212</v>
      </c>
      <c r="F45" s="345"/>
      <c r="G45" s="605">
        <v>52212</v>
      </c>
      <c r="H45" s="345"/>
      <c r="I45" s="605">
        <v>12714</v>
      </c>
      <c r="J45" s="606">
        <v>0.25</v>
      </c>
      <c r="K45" s="605">
        <v>51873</v>
      </c>
      <c r="L45" s="346"/>
      <c r="M45" s="607">
        <f t="shared" si="1"/>
        <v>-339</v>
      </c>
      <c r="N45" s="345"/>
      <c r="O45" s="608" t="s">
        <v>1495</v>
      </c>
    </row>
    <row r="46" spans="1:16" s="337" customFormat="1" ht="19.5" customHeight="1">
      <c r="A46" s="38" t="s">
        <v>570</v>
      </c>
      <c r="B46" s="39" t="s">
        <v>571</v>
      </c>
      <c r="C46" s="142">
        <v>11935</v>
      </c>
      <c r="D46" s="335" t="s">
        <v>572</v>
      </c>
      <c r="E46" s="516">
        <v>12772</v>
      </c>
      <c r="F46" s="345"/>
      <c r="G46" s="605">
        <v>12772</v>
      </c>
      <c r="H46" s="345"/>
      <c r="I46" s="605">
        <v>3089</v>
      </c>
      <c r="J46" s="606">
        <v>0.24</v>
      </c>
      <c r="K46" s="605">
        <v>12667</v>
      </c>
      <c r="L46" s="346"/>
      <c r="M46" s="607">
        <f t="shared" si="1"/>
        <v>-105</v>
      </c>
      <c r="N46" s="345"/>
      <c r="O46" s="608" t="s">
        <v>1495</v>
      </c>
    </row>
    <row r="47" spans="1:16" s="337" customFormat="1" ht="19.5" customHeight="1">
      <c r="A47" s="38" t="s">
        <v>573</v>
      </c>
      <c r="B47" s="39" t="s">
        <v>574</v>
      </c>
      <c r="C47" s="142">
        <v>11583</v>
      </c>
      <c r="D47" s="335" t="s">
        <v>575</v>
      </c>
      <c r="E47" s="516">
        <v>13966</v>
      </c>
      <c r="F47" s="345"/>
      <c r="G47" s="605">
        <v>13966</v>
      </c>
      <c r="H47" s="345"/>
      <c r="I47" s="605">
        <v>2654</v>
      </c>
      <c r="J47" s="609">
        <v>0.19</v>
      </c>
      <c r="K47" s="605">
        <v>13966</v>
      </c>
      <c r="L47" s="346"/>
      <c r="M47" s="143">
        <f t="shared" si="1"/>
        <v>0</v>
      </c>
      <c r="N47" s="345"/>
      <c r="O47" s="608" t="s">
        <v>1496</v>
      </c>
    </row>
    <row r="48" spans="1:16" s="337" customFormat="1" ht="19.5" customHeight="1">
      <c r="A48" s="38" t="s">
        <v>576</v>
      </c>
      <c r="B48" s="39" t="s">
        <v>577</v>
      </c>
      <c r="C48" s="142">
        <v>9196</v>
      </c>
      <c r="D48" s="335" t="s">
        <v>578</v>
      </c>
      <c r="E48" s="516">
        <v>8000</v>
      </c>
      <c r="F48" s="345"/>
      <c r="G48" s="605">
        <v>8000</v>
      </c>
      <c r="H48" s="345"/>
      <c r="I48" s="605">
        <v>5750</v>
      </c>
      <c r="J48" s="609">
        <v>0.72</v>
      </c>
      <c r="K48" s="605">
        <v>8000</v>
      </c>
      <c r="L48" s="346"/>
      <c r="M48" s="143">
        <f t="shared" si="1"/>
        <v>0</v>
      </c>
      <c r="N48" s="345"/>
      <c r="O48" s="608" t="s">
        <v>1497</v>
      </c>
    </row>
    <row r="49" spans="1:15" s="337" customFormat="1" ht="19.5" customHeight="1">
      <c r="A49" s="38" t="s">
        <v>579</v>
      </c>
      <c r="B49" s="39" t="s">
        <v>580</v>
      </c>
      <c r="C49" s="142">
        <v>14096</v>
      </c>
      <c r="D49" s="335" t="s">
        <v>581</v>
      </c>
      <c r="E49" s="516">
        <v>14500</v>
      </c>
      <c r="F49" s="345"/>
      <c r="G49" s="605">
        <v>14500</v>
      </c>
      <c r="H49" s="345"/>
      <c r="I49" s="605">
        <v>0</v>
      </c>
      <c r="J49" s="606">
        <v>0</v>
      </c>
      <c r="K49" s="605">
        <v>14500</v>
      </c>
      <c r="L49" s="346"/>
      <c r="M49" s="143">
        <f t="shared" si="1"/>
        <v>0</v>
      </c>
      <c r="N49" s="345"/>
      <c r="O49" s="608"/>
    </row>
    <row r="50" spans="1:15" s="337" customFormat="1" ht="19.5" customHeight="1">
      <c r="A50" s="38" t="s">
        <v>582</v>
      </c>
      <c r="B50" s="39" t="s">
        <v>583</v>
      </c>
      <c r="C50" s="142">
        <v>1352</v>
      </c>
      <c r="D50" s="335" t="s">
        <v>584</v>
      </c>
      <c r="E50" s="516">
        <v>1800</v>
      </c>
      <c r="F50" s="345"/>
      <c r="G50" s="605">
        <v>1800</v>
      </c>
      <c r="H50" s="345"/>
      <c r="I50" s="605">
        <v>0</v>
      </c>
      <c r="J50" s="606">
        <v>0</v>
      </c>
      <c r="K50" s="605">
        <v>1800</v>
      </c>
      <c r="L50" s="346"/>
      <c r="M50" s="143">
        <f t="shared" si="1"/>
        <v>0</v>
      </c>
      <c r="N50" s="345"/>
      <c r="O50" s="608"/>
    </row>
    <row r="51" spans="1:15" s="337" customFormat="1" ht="19.5" customHeight="1">
      <c r="A51" s="38" t="s">
        <v>585</v>
      </c>
      <c r="B51" s="39" t="s">
        <v>586</v>
      </c>
      <c r="C51" s="142">
        <v>33954</v>
      </c>
      <c r="D51" s="335" t="s">
        <v>587</v>
      </c>
      <c r="E51" s="516">
        <v>20000</v>
      </c>
      <c r="F51" s="345"/>
      <c r="G51" s="605">
        <v>24000</v>
      </c>
      <c r="H51" s="345"/>
      <c r="I51" s="605">
        <v>7451</v>
      </c>
      <c r="J51" s="609">
        <v>0.31</v>
      </c>
      <c r="K51" s="605">
        <v>24000</v>
      </c>
      <c r="L51" s="346"/>
      <c r="M51" s="607">
        <f t="shared" si="1"/>
        <v>4000</v>
      </c>
      <c r="N51" s="345"/>
      <c r="O51" s="608" t="s">
        <v>1498</v>
      </c>
    </row>
    <row r="52" spans="1:15" s="337" customFormat="1" ht="39.9" customHeight="1">
      <c r="A52" s="38" t="s">
        <v>588</v>
      </c>
      <c r="B52" s="39" t="s">
        <v>589</v>
      </c>
      <c r="C52" s="142">
        <v>14000</v>
      </c>
      <c r="D52" s="335" t="s">
        <v>590</v>
      </c>
      <c r="E52" s="516">
        <v>14400</v>
      </c>
      <c r="F52" s="345"/>
      <c r="G52" s="605">
        <v>12300</v>
      </c>
      <c r="H52" s="345"/>
      <c r="I52" s="605">
        <v>4613</v>
      </c>
      <c r="J52" s="609">
        <v>0.38</v>
      </c>
      <c r="K52" s="605">
        <v>12300</v>
      </c>
      <c r="L52" s="346"/>
      <c r="M52" s="607">
        <f t="shared" si="1"/>
        <v>-2100</v>
      </c>
      <c r="N52" s="345"/>
      <c r="O52" s="613" t="s">
        <v>1499</v>
      </c>
    </row>
    <row r="53" spans="1:15" s="337" customFormat="1" ht="19.5" customHeight="1">
      <c r="A53" s="38" t="s">
        <v>591</v>
      </c>
      <c r="B53" s="39" t="s">
        <v>592</v>
      </c>
      <c r="C53" s="142">
        <v>57234</v>
      </c>
      <c r="D53" s="335" t="s">
        <v>593</v>
      </c>
      <c r="E53" s="516">
        <v>60000</v>
      </c>
      <c r="F53" s="345"/>
      <c r="G53" s="605">
        <v>60000</v>
      </c>
      <c r="H53" s="345"/>
      <c r="I53" s="605">
        <v>18500</v>
      </c>
      <c r="J53" s="609">
        <v>0.31</v>
      </c>
      <c r="K53" s="605">
        <v>65000</v>
      </c>
      <c r="L53" s="346"/>
      <c r="M53" s="143">
        <f t="shared" si="1"/>
        <v>5000</v>
      </c>
      <c r="N53" s="345"/>
      <c r="O53" s="608" t="s">
        <v>1500</v>
      </c>
    </row>
    <row r="54" spans="1:15" s="337" customFormat="1" ht="19.5" customHeight="1">
      <c r="A54" s="38" t="s">
        <v>594</v>
      </c>
      <c r="B54" s="39" t="s">
        <v>595</v>
      </c>
      <c r="C54" s="142">
        <v>9527</v>
      </c>
      <c r="D54" s="335" t="s">
        <v>596</v>
      </c>
      <c r="E54" s="516">
        <v>10000</v>
      </c>
      <c r="F54" s="345"/>
      <c r="G54" s="605">
        <v>10000</v>
      </c>
      <c r="H54" s="345"/>
      <c r="I54" s="605">
        <v>0</v>
      </c>
      <c r="J54" s="609">
        <v>0</v>
      </c>
      <c r="K54" s="605">
        <v>10000</v>
      </c>
      <c r="L54" s="346"/>
      <c r="M54" s="143">
        <f t="shared" si="1"/>
        <v>0</v>
      </c>
      <c r="N54" s="345"/>
      <c r="O54" s="608" t="s">
        <v>1501</v>
      </c>
    </row>
    <row r="55" spans="1:15" s="337" customFormat="1" ht="19.5" customHeight="1">
      <c r="A55" s="38" t="s">
        <v>597</v>
      </c>
      <c r="B55" s="39" t="s">
        <v>598</v>
      </c>
      <c r="C55" s="142">
        <v>67673</v>
      </c>
      <c r="D55" s="335" t="s">
        <v>599</v>
      </c>
      <c r="E55" s="516">
        <v>74441</v>
      </c>
      <c r="F55" s="345"/>
      <c r="G55" s="605">
        <v>74441</v>
      </c>
      <c r="H55" s="345"/>
      <c r="I55" s="605">
        <v>11166</v>
      </c>
      <c r="J55" s="609">
        <v>0.15</v>
      </c>
      <c r="K55" s="605">
        <v>74441</v>
      </c>
      <c r="L55" s="346"/>
      <c r="M55" s="143">
        <f t="shared" si="1"/>
        <v>0</v>
      </c>
      <c r="N55" s="345"/>
      <c r="O55" s="608" t="s">
        <v>1502</v>
      </c>
    </row>
    <row r="56" spans="1:15" s="337" customFormat="1" ht="19.5" customHeight="1">
      <c r="A56" s="38" t="s">
        <v>600</v>
      </c>
      <c r="B56" s="39" t="s">
        <v>601</v>
      </c>
      <c r="C56" s="142">
        <v>94310</v>
      </c>
      <c r="D56" s="335" t="s">
        <v>602</v>
      </c>
      <c r="E56" s="516">
        <v>0</v>
      </c>
      <c r="F56" s="345"/>
      <c r="G56" s="605">
        <v>0</v>
      </c>
      <c r="H56" s="345"/>
      <c r="I56" s="605">
        <v>97256</v>
      </c>
      <c r="J56" s="609">
        <v>1</v>
      </c>
      <c r="K56" s="605">
        <v>97256</v>
      </c>
      <c r="L56" s="346"/>
      <c r="M56" s="607">
        <f t="shared" si="1"/>
        <v>97256</v>
      </c>
      <c r="N56" s="345"/>
      <c r="O56" s="608" t="s">
        <v>1503</v>
      </c>
    </row>
    <row r="57" spans="1:15" s="337" customFormat="1" ht="19.5" customHeight="1">
      <c r="A57" s="38" t="s">
        <v>603</v>
      </c>
      <c r="B57" s="39" t="s">
        <v>604</v>
      </c>
      <c r="C57" s="142">
        <v>14951</v>
      </c>
      <c r="D57" s="335" t="s">
        <v>605</v>
      </c>
      <c r="E57" s="516">
        <v>8447</v>
      </c>
      <c r="F57" s="345"/>
      <c r="G57" s="605">
        <v>16447</v>
      </c>
      <c r="H57" s="345"/>
      <c r="I57" s="605">
        <v>4112</v>
      </c>
      <c r="J57" s="606">
        <v>0.25</v>
      </c>
      <c r="K57" s="605">
        <v>16447</v>
      </c>
      <c r="L57" s="346"/>
      <c r="M57" s="607">
        <f t="shared" si="1"/>
        <v>8000</v>
      </c>
      <c r="N57" s="345"/>
      <c r="O57" s="608" t="s">
        <v>1504</v>
      </c>
    </row>
    <row r="58" spans="1:15" s="337" customFormat="1" ht="19.5" customHeight="1">
      <c r="A58" s="38" t="s">
        <v>606</v>
      </c>
      <c r="B58" s="39" t="s">
        <v>607</v>
      </c>
      <c r="C58" s="142">
        <v>106502</v>
      </c>
      <c r="D58" s="335" t="s">
        <v>608</v>
      </c>
      <c r="E58" s="516">
        <v>105000</v>
      </c>
      <c r="F58" s="345"/>
      <c r="G58" s="605">
        <v>105000</v>
      </c>
      <c r="H58" s="345"/>
      <c r="I58" s="605">
        <v>49168</v>
      </c>
      <c r="J58" s="609">
        <v>0.47</v>
      </c>
      <c r="K58" s="605">
        <v>105000</v>
      </c>
      <c r="L58" s="346"/>
      <c r="M58" s="143">
        <f t="shared" si="1"/>
        <v>0</v>
      </c>
      <c r="N58" s="345"/>
      <c r="O58" s="608" t="s">
        <v>1505</v>
      </c>
    </row>
    <row r="59" spans="1:15" s="337" customFormat="1" ht="19.5" customHeight="1">
      <c r="A59" s="38" t="s">
        <v>609</v>
      </c>
      <c r="B59" s="39" t="s">
        <v>610</v>
      </c>
      <c r="C59" s="142">
        <v>59242</v>
      </c>
      <c r="D59" s="335"/>
      <c r="E59" s="516">
        <v>60000</v>
      </c>
      <c r="F59" s="345"/>
      <c r="G59" s="605">
        <v>60000</v>
      </c>
      <c r="H59" s="345"/>
      <c r="I59" s="605">
        <v>21949</v>
      </c>
      <c r="J59" s="609">
        <v>0.37</v>
      </c>
      <c r="K59" s="605">
        <v>60000</v>
      </c>
      <c r="L59" s="346"/>
      <c r="M59" s="143">
        <f t="shared" si="1"/>
        <v>0</v>
      </c>
      <c r="N59" s="345"/>
      <c r="O59" s="608" t="s">
        <v>1506</v>
      </c>
    </row>
    <row r="60" spans="1:15" s="337" customFormat="1" ht="19.5" customHeight="1">
      <c r="A60" s="38" t="s">
        <v>611</v>
      </c>
      <c r="B60" s="39" t="s">
        <v>612</v>
      </c>
      <c r="C60" s="142">
        <v>0</v>
      </c>
      <c r="D60" s="335" t="s">
        <v>613</v>
      </c>
      <c r="E60" s="516">
        <v>0</v>
      </c>
      <c r="F60" s="345"/>
      <c r="G60" s="605">
        <v>0</v>
      </c>
      <c r="H60" s="345"/>
      <c r="I60" s="605">
        <v>0</v>
      </c>
      <c r="J60" s="606">
        <v>0</v>
      </c>
      <c r="K60" s="605">
        <v>0</v>
      </c>
      <c r="L60" s="346"/>
      <c r="M60" s="143">
        <f t="shared" si="1"/>
        <v>0</v>
      </c>
      <c r="N60" s="345"/>
      <c r="O60" s="608"/>
    </row>
    <row r="61" spans="1:15" s="337" customFormat="1" ht="19.5" customHeight="1">
      <c r="A61" s="38" t="s">
        <v>614</v>
      </c>
      <c r="B61" s="39" t="s">
        <v>615</v>
      </c>
      <c r="C61" s="142">
        <v>16598</v>
      </c>
      <c r="D61" s="335" t="s">
        <v>616</v>
      </c>
      <c r="E61" s="516">
        <v>15000</v>
      </c>
      <c r="F61" s="345"/>
      <c r="G61" s="605">
        <v>17200</v>
      </c>
      <c r="H61" s="345"/>
      <c r="I61" s="605">
        <v>3443</v>
      </c>
      <c r="J61" s="606">
        <v>0.2</v>
      </c>
      <c r="K61" s="605">
        <v>17200</v>
      </c>
      <c r="L61" s="346"/>
      <c r="M61" s="607">
        <f t="shared" si="1"/>
        <v>2200</v>
      </c>
      <c r="N61" s="345"/>
      <c r="O61" s="608" t="s">
        <v>1507</v>
      </c>
    </row>
    <row r="62" spans="1:15" s="337" customFormat="1" ht="19.5" customHeight="1">
      <c r="A62" s="38" t="s">
        <v>617</v>
      </c>
      <c r="B62" s="39" t="s">
        <v>618</v>
      </c>
      <c r="C62" s="142">
        <v>7012.5</v>
      </c>
      <c r="D62" s="335" t="s">
        <v>619</v>
      </c>
      <c r="E62" s="516">
        <v>7500</v>
      </c>
      <c r="F62" s="345"/>
      <c r="G62" s="605">
        <v>7500</v>
      </c>
      <c r="H62" s="345"/>
      <c r="I62" s="605">
        <v>0</v>
      </c>
      <c r="J62" s="606">
        <v>0</v>
      </c>
      <c r="K62" s="605">
        <v>7500</v>
      </c>
      <c r="L62" s="346"/>
      <c r="M62" s="143">
        <f t="shared" si="1"/>
        <v>0</v>
      </c>
      <c r="N62" s="345"/>
      <c r="O62" s="608"/>
    </row>
    <row r="63" spans="1:15" s="337" customFormat="1" ht="19.5" customHeight="1">
      <c r="A63" s="38" t="s">
        <v>620</v>
      </c>
      <c r="B63" s="39" t="s">
        <v>621</v>
      </c>
      <c r="C63" s="142">
        <v>0</v>
      </c>
      <c r="D63" s="335" t="s">
        <v>622</v>
      </c>
      <c r="E63" s="516">
        <v>0</v>
      </c>
      <c r="F63" s="345"/>
      <c r="G63" s="605">
        <v>0</v>
      </c>
      <c r="H63" s="345"/>
      <c r="I63" s="605">
        <v>0</v>
      </c>
      <c r="J63" s="606">
        <v>0</v>
      </c>
      <c r="K63" s="605">
        <v>0</v>
      </c>
      <c r="L63" s="346"/>
      <c r="M63" s="143">
        <f t="shared" si="1"/>
        <v>0</v>
      </c>
      <c r="N63" s="345"/>
      <c r="O63" s="608"/>
    </row>
    <row r="64" spans="1:15" s="337" customFormat="1" ht="19.5" customHeight="1">
      <c r="A64" s="38" t="s">
        <v>623</v>
      </c>
      <c r="B64" s="39" t="s">
        <v>624</v>
      </c>
      <c r="C64" s="142">
        <v>162724</v>
      </c>
      <c r="D64" s="335" t="s">
        <v>625</v>
      </c>
      <c r="E64" s="516">
        <v>164390</v>
      </c>
      <c r="F64" s="345"/>
      <c r="G64" s="605">
        <v>164390</v>
      </c>
      <c r="H64" s="345"/>
      <c r="I64" s="605">
        <v>22610.62</v>
      </c>
      <c r="J64" s="606">
        <v>0.2</v>
      </c>
      <c r="K64" s="605">
        <v>164390</v>
      </c>
      <c r="L64" s="346"/>
      <c r="M64" s="143">
        <f t="shared" si="1"/>
        <v>0</v>
      </c>
      <c r="N64" s="345"/>
      <c r="O64" s="608"/>
    </row>
    <row r="65" spans="1:16" s="337" customFormat="1" ht="32.4" customHeight="1">
      <c r="A65" s="38" t="s">
        <v>626</v>
      </c>
      <c r="B65" s="39" t="s">
        <v>627</v>
      </c>
      <c r="C65" s="142">
        <v>36548</v>
      </c>
      <c r="D65" s="335" t="s">
        <v>628</v>
      </c>
      <c r="E65" s="516">
        <v>10000</v>
      </c>
      <c r="F65" s="345"/>
      <c r="G65" s="605">
        <v>10000</v>
      </c>
      <c r="H65" s="345"/>
      <c r="I65" s="605">
        <v>11248</v>
      </c>
      <c r="J65" s="609">
        <v>1</v>
      </c>
      <c r="K65" s="605">
        <v>11748</v>
      </c>
      <c r="L65" s="346"/>
      <c r="M65" s="607">
        <f t="shared" si="1"/>
        <v>1748</v>
      </c>
      <c r="N65" s="345"/>
      <c r="O65" s="613" t="s">
        <v>1508</v>
      </c>
    </row>
    <row r="66" spans="1:16" s="337" customFormat="1" ht="19.5" customHeight="1">
      <c r="A66" s="38" t="s">
        <v>629</v>
      </c>
      <c r="B66" s="39" t="s">
        <v>630</v>
      </c>
      <c r="C66" s="142">
        <v>21595</v>
      </c>
      <c r="D66" s="335" t="s">
        <v>631</v>
      </c>
      <c r="E66" s="516">
        <v>23000</v>
      </c>
      <c r="F66" s="345"/>
      <c r="G66" s="605">
        <v>23000</v>
      </c>
      <c r="H66" s="345"/>
      <c r="I66" s="605">
        <v>3684</v>
      </c>
      <c r="J66" s="609">
        <v>0.16</v>
      </c>
      <c r="K66" s="605">
        <v>23000</v>
      </c>
      <c r="L66" s="346"/>
      <c r="M66" s="143">
        <f t="shared" si="1"/>
        <v>0</v>
      </c>
      <c r="N66" s="345"/>
      <c r="O66" s="608" t="s">
        <v>1509</v>
      </c>
    </row>
    <row r="67" spans="1:16" s="337" customFormat="1" ht="19.5" customHeight="1">
      <c r="A67" s="38" t="s">
        <v>632</v>
      </c>
      <c r="B67" s="39" t="s">
        <v>633</v>
      </c>
      <c r="C67" s="142">
        <v>16824</v>
      </c>
      <c r="D67" s="335" t="s">
        <v>634</v>
      </c>
      <c r="E67" s="516">
        <v>17504</v>
      </c>
      <c r="F67" s="345"/>
      <c r="G67" s="605">
        <v>16504</v>
      </c>
      <c r="H67" s="345"/>
      <c r="I67" s="605">
        <v>4786</v>
      </c>
      <c r="J67" s="606">
        <v>0.28999999999999998</v>
      </c>
      <c r="K67" s="605">
        <v>16504</v>
      </c>
      <c r="L67" s="346"/>
      <c r="M67" s="607">
        <f t="shared" si="1"/>
        <v>-1000</v>
      </c>
      <c r="N67" s="345"/>
      <c r="O67" s="608" t="s">
        <v>1510</v>
      </c>
    </row>
    <row r="68" spans="1:16" s="337" customFormat="1" ht="19.5" customHeight="1">
      <c r="A68" s="38" t="s">
        <v>635</v>
      </c>
      <c r="B68" s="39" t="s">
        <v>636</v>
      </c>
      <c r="C68" s="142">
        <v>0</v>
      </c>
      <c r="D68" s="335" t="s">
        <v>637</v>
      </c>
      <c r="E68" s="516">
        <v>0</v>
      </c>
      <c r="F68" s="345"/>
      <c r="G68" s="605">
        <v>0</v>
      </c>
      <c r="H68" s="345"/>
      <c r="I68" s="605">
        <v>0</v>
      </c>
      <c r="J68" s="606">
        <v>0</v>
      </c>
      <c r="K68" s="605">
        <v>0</v>
      </c>
      <c r="L68" s="346"/>
      <c r="M68" s="143">
        <f t="shared" si="1"/>
        <v>0</v>
      </c>
      <c r="N68" s="345"/>
      <c r="O68" s="608"/>
    </row>
    <row r="69" spans="1:16" s="337" customFormat="1" ht="19.5" customHeight="1">
      <c r="A69" s="38" t="s">
        <v>638</v>
      </c>
      <c r="B69" s="39" t="s">
        <v>639</v>
      </c>
      <c r="C69" s="142">
        <v>189</v>
      </c>
      <c r="D69" s="335" t="s">
        <v>640</v>
      </c>
      <c r="E69" s="516">
        <v>0</v>
      </c>
      <c r="F69" s="345"/>
      <c r="G69" s="605">
        <v>0</v>
      </c>
      <c r="H69" s="345"/>
      <c r="I69" s="605">
        <v>125</v>
      </c>
      <c r="J69" s="609">
        <v>1</v>
      </c>
      <c r="K69" s="605">
        <v>125</v>
      </c>
      <c r="L69" s="346"/>
      <c r="M69" s="607">
        <f t="shared" si="1"/>
        <v>125</v>
      </c>
      <c r="N69" s="345"/>
      <c r="O69" s="608" t="s">
        <v>1511</v>
      </c>
    </row>
    <row r="70" spans="1:16" s="337" customFormat="1" ht="19.5" customHeight="1" thickBot="1">
      <c r="A70" s="38" t="s">
        <v>641</v>
      </c>
      <c r="B70" s="39" t="s">
        <v>642</v>
      </c>
      <c r="C70" s="142">
        <v>1054</v>
      </c>
      <c r="D70" s="335" t="s">
        <v>643</v>
      </c>
      <c r="E70" s="516">
        <v>0</v>
      </c>
      <c r="F70" s="345"/>
      <c r="G70" s="605">
        <v>0</v>
      </c>
      <c r="H70" s="345"/>
      <c r="I70" s="605">
        <v>423</v>
      </c>
      <c r="J70" s="609">
        <v>1</v>
      </c>
      <c r="K70" s="605">
        <v>423</v>
      </c>
      <c r="L70" s="346"/>
      <c r="M70" s="607">
        <f t="shared" si="1"/>
        <v>423</v>
      </c>
      <c r="N70" s="345"/>
      <c r="O70" s="608" t="s">
        <v>1511</v>
      </c>
    </row>
    <row r="71" spans="1:16" s="337" customFormat="1" ht="19.5" customHeight="1" thickBot="1">
      <c r="A71" s="45"/>
      <c r="B71" s="41" t="s">
        <v>644</v>
      </c>
      <c r="C71" s="1">
        <f>SUM(C40:C70)</f>
        <v>3147026.5</v>
      </c>
      <c r="D71" s="335">
        <f t="shared" ref="D71" si="2">IFERROR((E71/C71)-1,"")</f>
        <v>-4.4335343220020529E-2</v>
      </c>
      <c r="E71" s="1">
        <f>SUM(E40:E70)</f>
        <v>3007502</v>
      </c>
      <c r="F71" s="46"/>
      <c r="G71" s="1">
        <f>SUM(G40:G70)</f>
        <v>2993962</v>
      </c>
      <c r="H71" s="46"/>
      <c r="I71" s="1">
        <f>SUM(I40:I70)</f>
        <v>832957.12</v>
      </c>
      <c r="J71" s="610">
        <f>IF(OR(I71="",I71=0),0%,I71/K71)</f>
        <v>0.26909758180923005</v>
      </c>
      <c r="K71" s="1">
        <f>SUM(K40:K70)</f>
        <v>3095372</v>
      </c>
      <c r="L71" s="129"/>
      <c r="M71" s="144">
        <f>SUM(M40:M70)</f>
        <v>87870</v>
      </c>
      <c r="N71" s="132"/>
      <c r="O71" s="611">
        <f>K71-E71-M71</f>
        <v>0</v>
      </c>
    </row>
    <row r="72" spans="1:16" s="337" customFormat="1" ht="19.5" customHeight="1">
      <c r="A72" s="47"/>
      <c r="B72" s="41"/>
      <c r="C72" s="48"/>
      <c r="D72" s="37"/>
      <c r="E72" s="48"/>
      <c r="G72" s="48"/>
      <c r="I72" s="48"/>
      <c r="J72" s="323"/>
      <c r="K72" s="48"/>
      <c r="L72" s="130"/>
      <c r="M72" s="48"/>
      <c r="O72" s="603"/>
    </row>
    <row r="73" spans="1:16" ht="88.2">
      <c r="A73" s="49"/>
      <c r="B73" s="39"/>
      <c r="C73" s="134" t="s">
        <v>484</v>
      </c>
      <c r="D73" s="135"/>
      <c r="E73" s="134" t="s">
        <v>485</v>
      </c>
      <c r="F73" s="136"/>
      <c r="G73" s="134" t="s">
        <v>486</v>
      </c>
      <c r="H73" s="136"/>
      <c r="I73" s="134" t="s">
        <v>487</v>
      </c>
      <c r="J73" s="320" t="s">
        <v>488</v>
      </c>
      <c r="K73" s="134" t="s">
        <v>489</v>
      </c>
      <c r="L73" s="134"/>
      <c r="M73" s="134"/>
      <c r="N73" s="131"/>
      <c r="O73" s="601"/>
    </row>
    <row r="74" spans="1:16" s="337" customFormat="1" ht="19.5" customHeight="1">
      <c r="A74" s="49" t="s">
        <v>645</v>
      </c>
      <c r="B74" s="39"/>
      <c r="C74" s="42" t="s">
        <v>493</v>
      </c>
      <c r="D74" s="37"/>
      <c r="E74" s="42" t="s">
        <v>493</v>
      </c>
      <c r="G74" s="42" t="s">
        <v>493</v>
      </c>
      <c r="I74" s="42"/>
      <c r="J74" s="321"/>
      <c r="K74" s="42"/>
      <c r="L74" s="128"/>
      <c r="M74" s="42"/>
      <c r="O74" s="603"/>
      <c r="P74" s="29"/>
    </row>
    <row r="75" spans="1:16" s="337" customFormat="1" ht="19.5" customHeight="1">
      <c r="A75" s="47"/>
      <c r="B75" s="39"/>
      <c r="C75" s="42"/>
      <c r="D75" s="37"/>
      <c r="E75" s="42"/>
      <c r="G75" s="42"/>
      <c r="I75" s="42"/>
      <c r="J75" s="321"/>
      <c r="K75" s="42"/>
      <c r="L75" s="128"/>
      <c r="M75" s="42"/>
      <c r="O75" s="603"/>
      <c r="P75" s="29"/>
    </row>
    <row r="76" spans="1:16" s="337" customFormat="1" ht="19.5" customHeight="1">
      <c r="A76" s="47"/>
      <c r="B76" s="39" t="s">
        <v>646</v>
      </c>
      <c r="C76" s="142">
        <f>C35</f>
        <v>3145201</v>
      </c>
      <c r="D76" s="37"/>
      <c r="E76" s="142">
        <f>E35</f>
        <v>3132021</v>
      </c>
      <c r="G76" s="142">
        <f>G35</f>
        <v>3258715</v>
      </c>
      <c r="I76" s="42"/>
      <c r="J76" s="321"/>
      <c r="K76" s="142">
        <f>K35</f>
        <v>3266470</v>
      </c>
      <c r="L76" s="128"/>
      <c r="M76" s="42"/>
      <c r="O76" s="603"/>
      <c r="P76" s="29"/>
    </row>
    <row r="77" spans="1:16" s="337" customFormat="1" ht="19.5" customHeight="1" thickBot="1">
      <c r="A77" s="47"/>
      <c r="B77" s="39" t="s">
        <v>644</v>
      </c>
      <c r="C77" s="148">
        <f>C71</f>
        <v>3147026.5</v>
      </c>
      <c r="D77" s="37"/>
      <c r="E77" s="148">
        <f>E71</f>
        <v>3007502</v>
      </c>
      <c r="G77" s="148">
        <f>G71</f>
        <v>2993962</v>
      </c>
      <c r="I77" s="42"/>
      <c r="J77" s="321"/>
      <c r="K77" s="148">
        <f>K71</f>
        <v>3095372</v>
      </c>
      <c r="L77" s="128"/>
      <c r="M77" s="42"/>
      <c r="O77" s="603"/>
      <c r="P77" s="29"/>
    </row>
    <row r="78" spans="1:16" ht="19.5" customHeight="1" thickBot="1">
      <c r="A78" s="47"/>
      <c r="B78" s="41" t="s">
        <v>647</v>
      </c>
      <c r="C78" s="144">
        <f>C76-C77</f>
        <v>-1825.5</v>
      </c>
      <c r="D78" s="37"/>
      <c r="E78" s="144">
        <f>E76-E77</f>
        <v>124519</v>
      </c>
      <c r="F78" s="345"/>
      <c r="G78" s="144">
        <f>G76-G77</f>
        <v>264753</v>
      </c>
      <c r="H78" s="347"/>
      <c r="I78" s="42"/>
      <c r="J78" s="42"/>
      <c r="K78" s="144">
        <f>K76-K77</f>
        <v>171098</v>
      </c>
      <c r="L78" s="64"/>
      <c r="M78" s="42"/>
      <c r="N78" s="337"/>
      <c r="O78" s="603" t="s">
        <v>648</v>
      </c>
    </row>
    <row r="79" spans="1:16" ht="19.5" customHeight="1" thickBot="1">
      <c r="A79" s="47"/>
      <c r="B79" s="41" t="s">
        <v>649</v>
      </c>
      <c r="C79" s="168">
        <v>-66108</v>
      </c>
      <c r="D79" s="37"/>
      <c r="E79" s="245">
        <v>-67934</v>
      </c>
      <c r="F79" s="345"/>
      <c r="G79" s="168">
        <v>-67934</v>
      </c>
      <c r="H79" s="347"/>
      <c r="I79" s="42"/>
      <c r="J79" s="42"/>
      <c r="K79" s="168">
        <f>G79</f>
        <v>-67934</v>
      </c>
      <c r="L79" s="64"/>
      <c r="M79" s="42"/>
      <c r="N79" s="337"/>
      <c r="O79" s="603"/>
    </row>
    <row r="80" spans="1:16" s="337" customFormat="1" ht="19.5" customHeight="1" thickBot="1">
      <c r="A80" s="47"/>
      <c r="B80" s="41" t="s">
        <v>650</v>
      </c>
      <c r="C80" s="144">
        <f>C78+C79</f>
        <v>-67933.5</v>
      </c>
      <c r="D80" s="37"/>
      <c r="E80" s="144">
        <f>E78+E79</f>
        <v>56585</v>
      </c>
      <c r="F80" s="345"/>
      <c r="G80" s="144">
        <f>G78+G79</f>
        <v>196819</v>
      </c>
      <c r="H80" s="347"/>
      <c r="I80" s="42"/>
      <c r="J80" s="42"/>
      <c r="K80" s="365">
        <f>K78+K79</f>
        <v>103164</v>
      </c>
      <c r="L80" s="64"/>
      <c r="M80" s="42"/>
      <c r="O80" s="603"/>
    </row>
    <row r="81" spans="1:15" s="337" customFormat="1" ht="7.5" customHeight="1" thickBot="1">
      <c r="A81" s="47"/>
      <c r="B81" s="39"/>
      <c r="C81" s="145"/>
      <c r="D81" s="37"/>
      <c r="E81" s="145"/>
      <c r="G81" s="145"/>
      <c r="I81" s="42"/>
      <c r="J81" s="42"/>
      <c r="K81" s="146"/>
      <c r="L81" s="64"/>
      <c r="M81" s="42"/>
      <c r="O81" s="603"/>
    </row>
    <row r="82" spans="1:15" s="337" customFormat="1" ht="19.5" customHeight="1" thickBot="1">
      <c r="A82" s="47"/>
      <c r="B82" s="39" t="s">
        <v>651</v>
      </c>
      <c r="C82" s="170">
        <f>C80/SUM(C16:C20)</f>
        <v>-2.3713521351541735E-2</v>
      </c>
      <c r="D82" s="37"/>
      <c r="E82" s="170">
        <f>E80/SUM(E16:E20)</f>
        <v>1.9574166320741663E-2</v>
      </c>
      <c r="F82" s="348"/>
      <c r="G82" s="170">
        <f>G80/SUM(G16:G20)</f>
        <v>6.5225978908325918E-2</v>
      </c>
      <c r="I82" s="42"/>
      <c r="J82" s="42"/>
      <c r="K82" s="364">
        <f>K80/SUM(K16:K20)</f>
        <v>3.4187728287690705E-2</v>
      </c>
      <c r="L82" s="64"/>
      <c r="M82" s="42"/>
      <c r="O82" s="615"/>
    </row>
    <row r="83" spans="1:15" s="337" customFormat="1" ht="19.5" customHeight="1">
      <c r="A83" s="55"/>
      <c r="B83" s="56"/>
      <c r="C83" s="60"/>
      <c r="D83" s="58"/>
      <c r="E83" s="60"/>
      <c r="F83" s="349"/>
      <c r="G83" s="60"/>
      <c r="H83" s="349"/>
      <c r="I83" s="60"/>
      <c r="J83" s="325"/>
      <c r="K83" s="60"/>
      <c r="L83" s="138"/>
      <c r="M83" s="42"/>
      <c r="N83" s="349"/>
      <c r="O83" s="616"/>
    </row>
    <row r="84" spans="1:15" s="337" customFormat="1" ht="31.5" customHeight="1">
      <c r="A84" s="617" t="s">
        <v>433</v>
      </c>
      <c r="B84" s="618"/>
      <c r="C84" s="618"/>
      <c r="D84" s="618"/>
      <c r="E84" s="618"/>
      <c r="F84" s="618"/>
      <c r="G84" s="618"/>
      <c r="H84" s="618"/>
      <c r="I84" s="618"/>
      <c r="J84" s="618"/>
      <c r="K84" s="618"/>
      <c r="L84" s="618"/>
      <c r="M84" s="618"/>
      <c r="N84" s="618"/>
      <c r="O84" s="619"/>
    </row>
    <row r="85" spans="1:15" s="337" customFormat="1" ht="96.6">
      <c r="A85" s="47" t="str">
        <f>B3</f>
        <v>River Cam Primary School</v>
      </c>
      <c r="B85" s="41"/>
      <c r="C85" s="134" t="s">
        <v>484</v>
      </c>
      <c r="D85" s="135"/>
      <c r="E85" s="134" t="s">
        <v>485</v>
      </c>
      <c r="F85" s="136"/>
      <c r="G85" s="134" t="s">
        <v>486</v>
      </c>
      <c r="H85" s="136"/>
      <c r="I85" s="134" t="s">
        <v>487</v>
      </c>
      <c r="J85" s="320" t="s">
        <v>488</v>
      </c>
      <c r="K85" s="134" t="s">
        <v>489</v>
      </c>
      <c r="L85" s="134"/>
      <c r="M85" s="134" t="s">
        <v>1441</v>
      </c>
      <c r="N85" s="131"/>
      <c r="O85" s="601" t="s">
        <v>550</v>
      </c>
    </row>
    <row r="86" spans="1:15" s="62" customFormat="1" ht="23.25" customHeight="1">
      <c r="A86" s="33"/>
      <c r="B86" s="137"/>
      <c r="C86" s="534" t="s">
        <v>490</v>
      </c>
      <c r="D86" s="534"/>
      <c r="E86" s="534"/>
      <c r="F86" s="534"/>
      <c r="G86" s="534"/>
      <c r="H86" s="534"/>
      <c r="I86" s="534"/>
      <c r="J86" s="534"/>
      <c r="K86" s="534"/>
      <c r="L86" s="534"/>
      <c r="M86" s="534"/>
      <c r="N86" s="344"/>
      <c r="O86" s="602"/>
    </row>
    <row r="87" spans="1:15" s="337" customFormat="1" ht="19.5" customHeight="1">
      <c r="A87" s="44" t="s">
        <v>491</v>
      </c>
      <c r="B87" s="41" t="s">
        <v>652</v>
      </c>
      <c r="C87" s="42" t="s">
        <v>493</v>
      </c>
      <c r="D87" s="37"/>
      <c r="E87" s="42" t="s">
        <v>493</v>
      </c>
      <c r="G87" s="42" t="s">
        <v>493</v>
      </c>
      <c r="I87" s="42" t="s">
        <v>493</v>
      </c>
      <c r="J87" s="321"/>
      <c r="K87" s="42" t="s">
        <v>493</v>
      </c>
      <c r="L87" s="128"/>
      <c r="M87" s="42" t="s">
        <v>493</v>
      </c>
      <c r="O87" s="616"/>
    </row>
    <row r="88" spans="1:15" s="337" customFormat="1" ht="39" customHeight="1">
      <c r="A88" s="38" t="s">
        <v>653</v>
      </c>
      <c r="B88" s="39" t="s">
        <v>654</v>
      </c>
      <c r="C88" s="516">
        <v>69776</v>
      </c>
      <c r="D88" s="379" t="s">
        <v>655</v>
      </c>
      <c r="E88" s="516">
        <v>73265</v>
      </c>
      <c r="F88" s="345"/>
      <c r="G88" s="612">
        <v>73265</v>
      </c>
      <c r="H88" s="345"/>
      <c r="I88" s="612">
        <v>31982</v>
      </c>
      <c r="J88" s="609">
        <f t="shared" ref="J88:J89" si="3">IFERROR(IF(I88="",0%,I88/K88),0)</f>
        <v>0.43652494369753636</v>
      </c>
      <c r="K88" s="612">
        <v>73265</v>
      </c>
      <c r="L88" s="346"/>
      <c r="M88" s="143">
        <f t="shared" ref="M88:M89" si="4">IF(G88="",(K88-E88),(K88-E88))</f>
        <v>0</v>
      </c>
      <c r="N88" s="345"/>
      <c r="O88" s="613" t="s">
        <v>1512</v>
      </c>
    </row>
    <row r="89" spans="1:15" s="337" customFormat="1" ht="38.1" customHeight="1" thickBot="1">
      <c r="A89" s="38" t="s">
        <v>656</v>
      </c>
      <c r="B89" s="39" t="s">
        <v>657</v>
      </c>
      <c r="C89" s="516">
        <v>10627</v>
      </c>
      <c r="D89" s="379" t="s">
        <v>658</v>
      </c>
      <c r="E89" s="516">
        <v>11158</v>
      </c>
      <c r="F89" s="345"/>
      <c r="G89" s="612">
        <v>11158</v>
      </c>
      <c r="H89" s="345"/>
      <c r="I89" s="612">
        <v>3682</v>
      </c>
      <c r="J89" s="609">
        <f t="shared" si="3"/>
        <v>0.32998745294855708</v>
      </c>
      <c r="K89" s="612">
        <v>11158</v>
      </c>
      <c r="L89" s="346"/>
      <c r="M89" s="143">
        <f t="shared" si="4"/>
        <v>0</v>
      </c>
      <c r="N89" s="345"/>
      <c r="O89" s="613" t="s">
        <v>1513</v>
      </c>
    </row>
    <row r="90" spans="1:15" s="337" customFormat="1" ht="19.5" customHeight="1" thickBot="1">
      <c r="A90" s="38"/>
      <c r="B90" s="41" t="s">
        <v>659</v>
      </c>
      <c r="C90" s="1">
        <f>C88+C89</f>
        <v>80403</v>
      </c>
      <c r="D90" s="379"/>
      <c r="E90" s="12">
        <f>E88+E89</f>
        <v>84423</v>
      </c>
      <c r="F90" s="345"/>
      <c r="G90" s="12">
        <f>G88+G89</f>
        <v>84423</v>
      </c>
      <c r="H90" s="345"/>
      <c r="I90" s="12">
        <f>I88+I89</f>
        <v>35664</v>
      </c>
      <c r="J90" s="610">
        <f>IF(OR(I90="",I90=0),0%,I90/K90)</f>
        <v>0.42244412067801429</v>
      </c>
      <c r="K90" s="12">
        <f>K88+K89</f>
        <v>84423</v>
      </c>
      <c r="L90" s="64"/>
      <c r="M90" s="144">
        <f>M88+M89</f>
        <v>0</v>
      </c>
      <c r="O90" s="611"/>
    </row>
    <row r="91" spans="1:15" s="337" customFormat="1" ht="19.5" customHeight="1">
      <c r="A91" s="38"/>
      <c r="B91" s="39"/>
      <c r="C91" s="50"/>
      <c r="D91" s="379"/>
      <c r="E91" s="50"/>
      <c r="G91" s="50"/>
      <c r="I91" s="50"/>
      <c r="J91" s="326"/>
      <c r="K91" s="50"/>
      <c r="L91" s="69"/>
      <c r="M91" s="50"/>
      <c r="O91" s="603"/>
    </row>
    <row r="92" spans="1:15" s="337" customFormat="1" ht="19.5" customHeight="1">
      <c r="A92" s="44" t="s">
        <v>491</v>
      </c>
      <c r="B92" s="41" t="s">
        <v>660</v>
      </c>
      <c r="C92" s="42" t="s">
        <v>493</v>
      </c>
      <c r="D92" s="379"/>
      <c r="E92" s="42" t="s">
        <v>493</v>
      </c>
      <c r="G92" s="42" t="s">
        <v>493</v>
      </c>
      <c r="I92" s="42" t="s">
        <v>493</v>
      </c>
      <c r="J92" s="321"/>
      <c r="K92" s="42" t="s">
        <v>493</v>
      </c>
      <c r="L92" s="128"/>
      <c r="M92" s="42" t="s">
        <v>493</v>
      </c>
      <c r="O92" s="616"/>
    </row>
    <row r="93" spans="1:15" s="337" customFormat="1" ht="39" customHeight="1">
      <c r="A93" s="38" t="s">
        <v>661</v>
      </c>
      <c r="B93" s="39" t="s">
        <v>662</v>
      </c>
      <c r="C93" s="516">
        <v>74499</v>
      </c>
      <c r="D93" s="379" t="s">
        <v>663</v>
      </c>
      <c r="E93" s="516">
        <v>77479</v>
      </c>
      <c r="F93" s="345"/>
      <c r="G93" s="612">
        <v>77479</v>
      </c>
      <c r="H93" s="345"/>
      <c r="I93" s="612">
        <v>22469</v>
      </c>
      <c r="J93" s="606">
        <f t="shared" ref="J93:J94" si="5">IFERROR(IF(I93="",0%,I93/K93),0)</f>
        <v>0.2846266879481138</v>
      </c>
      <c r="K93" s="612">
        <v>78942</v>
      </c>
      <c r="L93" s="346"/>
      <c r="M93" s="607">
        <f t="shared" ref="M93:M94" si="6">IF(G93="",(K93-E93),(K93-E93))</f>
        <v>1463</v>
      </c>
      <c r="N93" s="345"/>
      <c r="O93" s="613" t="s">
        <v>1514</v>
      </c>
    </row>
    <row r="94" spans="1:15" s="337" customFormat="1" ht="19.5" customHeight="1" thickBot="1">
      <c r="A94" s="38" t="s">
        <v>664</v>
      </c>
      <c r="B94" s="39" t="s">
        <v>665</v>
      </c>
      <c r="C94" s="516">
        <v>16227</v>
      </c>
      <c r="D94" s="379" t="s">
        <v>666</v>
      </c>
      <c r="E94" s="516">
        <v>17038</v>
      </c>
      <c r="F94" s="345"/>
      <c r="G94" s="612">
        <v>17038</v>
      </c>
      <c r="H94" s="345"/>
      <c r="I94" s="612">
        <v>3578</v>
      </c>
      <c r="J94" s="606">
        <f t="shared" si="5"/>
        <v>0.21000117384669562</v>
      </c>
      <c r="K94" s="612">
        <v>17038</v>
      </c>
      <c r="L94" s="346"/>
      <c r="M94" s="143">
        <f t="shared" si="6"/>
        <v>0</v>
      </c>
      <c r="N94" s="345"/>
      <c r="O94" s="517"/>
    </row>
    <row r="95" spans="1:15" s="337" customFormat="1" ht="19.5" customHeight="1" thickBot="1">
      <c r="A95" s="47"/>
      <c r="B95" s="41" t="s">
        <v>667</v>
      </c>
      <c r="C95" s="1">
        <f>C93+C94</f>
        <v>90726</v>
      </c>
      <c r="D95" s="379"/>
      <c r="E95" s="12">
        <f>E93+E94</f>
        <v>94517</v>
      </c>
      <c r="F95" s="345"/>
      <c r="G95" s="12">
        <f>G93+G94</f>
        <v>94517</v>
      </c>
      <c r="H95" s="345"/>
      <c r="I95" s="12">
        <f>I93+I94</f>
        <v>26047</v>
      </c>
      <c r="J95" s="610">
        <f>IF(OR(I95="",I95=0),0%,I95/K95)</f>
        <v>0.27137945405292768</v>
      </c>
      <c r="K95" s="12">
        <f>K93+K94</f>
        <v>95980</v>
      </c>
      <c r="L95" s="64"/>
      <c r="M95" s="144">
        <f>M93+M94</f>
        <v>1463</v>
      </c>
      <c r="O95" s="611"/>
    </row>
    <row r="96" spans="1:15" s="337" customFormat="1" ht="19.5" customHeight="1">
      <c r="A96" s="47"/>
      <c r="B96" s="39"/>
      <c r="C96" s="50"/>
      <c r="D96" s="37"/>
      <c r="E96" s="50"/>
      <c r="G96" s="50"/>
      <c r="I96" s="50"/>
      <c r="J96" s="326"/>
      <c r="K96" s="50"/>
      <c r="L96" s="69"/>
      <c r="M96" s="50"/>
      <c r="O96" s="603"/>
    </row>
    <row r="97" spans="1:16" ht="19.5" customHeight="1">
      <c r="A97" s="49" t="s">
        <v>668</v>
      </c>
      <c r="B97" s="39"/>
      <c r="C97" s="50"/>
      <c r="D97" s="37"/>
      <c r="E97" s="50"/>
      <c r="F97" s="337"/>
      <c r="G97" s="50"/>
      <c r="H97" s="337"/>
      <c r="I97" s="50"/>
      <c r="J97" s="326"/>
      <c r="K97" s="50"/>
      <c r="L97" s="69"/>
      <c r="M97" s="50"/>
      <c r="N97" s="337"/>
      <c r="O97" s="603"/>
    </row>
    <row r="98" spans="1:16" s="337" customFormat="1" ht="19.5" customHeight="1">
      <c r="A98" s="47"/>
      <c r="B98" s="39"/>
      <c r="C98" s="42" t="s">
        <v>493</v>
      </c>
      <c r="D98" s="37"/>
      <c r="E98" s="42" t="s">
        <v>493</v>
      </c>
      <c r="G98" s="42" t="s">
        <v>493</v>
      </c>
      <c r="I98" s="42"/>
      <c r="J98" s="321"/>
      <c r="K98" s="42" t="s">
        <v>493</v>
      </c>
      <c r="L98" s="128"/>
      <c r="M98" s="42"/>
      <c r="O98" s="603"/>
      <c r="P98" s="29"/>
    </row>
    <row r="99" spans="1:16" s="337" customFormat="1" ht="19.5" customHeight="1">
      <c r="A99" s="47"/>
      <c r="B99" s="39" t="s">
        <v>646</v>
      </c>
      <c r="C99" s="142">
        <f>C90</f>
        <v>80403</v>
      </c>
      <c r="D99" s="37"/>
      <c r="E99" s="142">
        <f>E90</f>
        <v>84423</v>
      </c>
      <c r="G99" s="142">
        <f>G90</f>
        <v>84423</v>
      </c>
      <c r="I99" s="42"/>
      <c r="J99" s="321"/>
      <c r="K99" s="142">
        <f>K90</f>
        <v>84423</v>
      </c>
      <c r="L99" s="128"/>
      <c r="M99" s="42"/>
      <c r="O99" s="603"/>
      <c r="P99" s="29"/>
    </row>
    <row r="100" spans="1:16" s="337" customFormat="1" ht="19.5" customHeight="1" thickBot="1">
      <c r="A100" s="47"/>
      <c r="B100" s="39" t="s">
        <v>644</v>
      </c>
      <c r="C100" s="148">
        <f>C95</f>
        <v>90726</v>
      </c>
      <c r="D100" s="37"/>
      <c r="E100" s="148">
        <f>E95</f>
        <v>94517</v>
      </c>
      <c r="G100" s="148">
        <f>G95</f>
        <v>94517</v>
      </c>
      <c r="I100" s="42"/>
      <c r="J100" s="321"/>
      <c r="K100" s="148">
        <f>K95</f>
        <v>95980</v>
      </c>
      <c r="L100" s="128"/>
      <c r="M100" s="42"/>
      <c r="O100" s="603"/>
      <c r="P100" s="29"/>
    </row>
    <row r="101" spans="1:16" ht="19.5" customHeight="1" thickBot="1">
      <c r="A101" s="47"/>
      <c r="B101" s="39" t="s">
        <v>647</v>
      </c>
      <c r="C101" s="144">
        <f>C99-C100</f>
        <v>-10323</v>
      </c>
      <c r="D101" s="37"/>
      <c r="E101" s="144">
        <f>E99-E100</f>
        <v>-10094</v>
      </c>
      <c r="F101" s="345"/>
      <c r="G101" s="144">
        <f>G99-G100</f>
        <v>-10094</v>
      </c>
      <c r="H101" s="347"/>
      <c r="I101" s="13"/>
      <c r="J101" s="324"/>
      <c r="K101" s="144">
        <f>K99-K100</f>
        <v>-11557</v>
      </c>
      <c r="L101" s="64"/>
      <c r="M101" s="42"/>
      <c r="N101" s="337"/>
      <c r="O101" s="603"/>
    </row>
    <row r="102" spans="1:16" ht="19.5" customHeight="1" thickBot="1">
      <c r="A102" s="47"/>
      <c r="B102" s="39" t="s">
        <v>669</v>
      </c>
      <c r="C102" s="168">
        <v>-15249</v>
      </c>
      <c r="D102" s="37"/>
      <c r="E102" s="245">
        <v>-25572</v>
      </c>
      <c r="F102" s="345"/>
      <c r="G102" s="168">
        <v>-25572</v>
      </c>
      <c r="H102" s="347"/>
      <c r="I102" s="13"/>
      <c r="J102" s="324"/>
      <c r="K102" s="168">
        <f>G102</f>
        <v>-25572</v>
      </c>
      <c r="L102" s="64"/>
      <c r="M102" s="42"/>
      <c r="N102" s="337"/>
      <c r="O102" s="603"/>
    </row>
    <row r="103" spans="1:16" s="337" customFormat="1" ht="19.5" customHeight="1" thickBot="1">
      <c r="A103" s="38"/>
      <c r="B103" s="39" t="s">
        <v>670</v>
      </c>
      <c r="C103" s="144">
        <f>C101+C102</f>
        <v>-25572</v>
      </c>
      <c r="D103" s="37"/>
      <c r="E103" s="144">
        <f>E101+E102</f>
        <v>-35666</v>
      </c>
      <c r="F103" s="345"/>
      <c r="G103" s="144">
        <f>G101+G102</f>
        <v>-35666</v>
      </c>
      <c r="H103" s="347"/>
      <c r="I103" s="13"/>
      <c r="J103" s="324"/>
      <c r="K103" s="365">
        <f>K101+K102</f>
        <v>-37129</v>
      </c>
      <c r="L103" s="64"/>
      <c r="M103" s="42"/>
      <c r="O103" s="603"/>
    </row>
    <row r="104" spans="1:16" s="337" customFormat="1" ht="19.5" customHeight="1" thickBot="1">
      <c r="A104" s="38"/>
      <c r="B104" s="39"/>
      <c r="C104" s="51"/>
      <c r="D104" s="37"/>
      <c r="E104" s="51"/>
      <c r="G104" s="51"/>
      <c r="I104" s="6"/>
      <c r="J104" s="322"/>
      <c r="K104" s="51"/>
      <c r="L104" s="51"/>
      <c r="M104" s="42"/>
      <c r="O104" s="603"/>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620"/>
    </row>
    <row r="106" spans="1:16" s="337" customFormat="1" ht="19.5" customHeight="1" thickBot="1">
      <c r="A106" s="154" t="s">
        <v>672</v>
      </c>
      <c r="B106" s="39" t="s">
        <v>673</v>
      </c>
      <c r="C106" s="168">
        <v>0</v>
      </c>
      <c r="D106" s="37"/>
      <c r="E106" s="245">
        <v>0</v>
      </c>
      <c r="F106" s="345"/>
      <c r="G106" s="12">
        <v>0</v>
      </c>
      <c r="H106" s="347"/>
      <c r="I106" s="13"/>
      <c r="J106" s="324"/>
      <c r="K106" s="433"/>
      <c r="L106" s="64"/>
      <c r="M106" s="42"/>
      <c r="O106" s="621"/>
    </row>
    <row r="107" spans="1:16" s="337" customFormat="1" ht="19.5" customHeight="1" thickBot="1">
      <c r="A107" s="154" t="s">
        <v>674</v>
      </c>
      <c r="B107" s="39" t="s">
        <v>675</v>
      </c>
      <c r="C107" s="168">
        <f>$C$80</f>
        <v>-67933.5</v>
      </c>
      <c r="D107" s="37"/>
      <c r="E107" s="245">
        <v>56585</v>
      </c>
      <c r="F107" s="345"/>
      <c r="G107" s="12">
        <f>G80</f>
        <v>196819</v>
      </c>
      <c r="H107" s="347"/>
      <c r="I107" s="13"/>
      <c r="J107" s="324"/>
      <c r="K107" s="12">
        <f>K80-K106</f>
        <v>103164</v>
      </c>
      <c r="L107" s="64"/>
      <c r="M107" s="42"/>
      <c r="O107" s="621"/>
    </row>
    <row r="108" spans="1:16" s="337" customFormat="1" ht="19.5" customHeight="1" thickBot="1">
      <c r="A108" s="154" t="s">
        <v>676</v>
      </c>
      <c r="B108" s="39" t="s">
        <v>677</v>
      </c>
      <c r="C108" s="168">
        <f>C103</f>
        <v>-25572</v>
      </c>
      <c r="D108" s="37"/>
      <c r="E108" s="245">
        <v>-35666</v>
      </c>
      <c r="F108" s="345"/>
      <c r="G108" s="168">
        <f>G103</f>
        <v>-35666</v>
      </c>
      <c r="H108" s="347"/>
      <c r="I108" s="13"/>
      <c r="J108" s="324"/>
      <c r="K108" s="168">
        <f>K103</f>
        <v>-37129</v>
      </c>
      <c r="L108" s="64"/>
      <c r="M108" s="42"/>
      <c r="O108" s="621"/>
    </row>
    <row r="109" spans="1:16" s="337" customFormat="1" ht="18" thickBot="1">
      <c r="A109" s="155" t="s">
        <v>678</v>
      </c>
      <c r="B109" s="52"/>
      <c r="C109" s="141">
        <f>SUM(C106:C108)</f>
        <v>-93505.5</v>
      </c>
      <c r="D109" s="52"/>
      <c r="E109" s="141">
        <f>SUM(E106:E108)</f>
        <v>20919</v>
      </c>
      <c r="F109" s="53"/>
      <c r="G109" s="141">
        <f>SUM(G106:G108)</f>
        <v>161153</v>
      </c>
      <c r="H109" s="147"/>
      <c r="I109" s="63"/>
      <c r="J109" s="324"/>
      <c r="K109" s="168">
        <f>SUM(K106:K108)</f>
        <v>66035</v>
      </c>
      <c r="L109" s="54"/>
      <c r="M109" s="42"/>
      <c r="O109" s="621"/>
    </row>
    <row r="110" spans="1:16" s="337" customFormat="1" ht="7.5" customHeight="1" thickBot="1">
      <c r="A110" s="155"/>
      <c r="B110" s="52"/>
      <c r="C110" s="63"/>
      <c r="D110" s="52"/>
      <c r="E110" s="54"/>
      <c r="F110" s="52"/>
      <c r="G110" s="54"/>
      <c r="H110" s="52"/>
      <c r="I110" s="63"/>
      <c r="J110" s="324"/>
      <c r="K110" s="54"/>
      <c r="L110" s="54"/>
      <c r="M110" s="42"/>
      <c r="O110" s="621"/>
    </row>
    <row r="111" spans="1:16" s="337" customFormat="1" ht="19.5" customHeight="1" thickBot="1">
      <c r="A111" s="156"/>
      <c r="B111" s="39" t="s">
        <v>679</v>
      </c>
      <c r="C111" s="170">
        <f>C109/SUM(C16:C20)</f>
        <v>-3.2639929795117074E-2</v>
      </c>
      <c r="D111" s="37"/>
      <c r="E111" s="170">
        <f>E109/SUM(E16:E20)</f>
        <v>7.2364051473640511E-3</v>
      </c>
      <c r="G111" s="170">
        <f>G109/SUM(G16:G20)</f>
        <v>5.3406237096080389E-2</v>
      </c>
      <c r="I111" s="13"/>
      <c r="J111" s="324"/>
      <c r="K111" s="364">
        <f>K109/SUM(K16:K20)</f>
        <v>2.1883473280191305E-2</v>
      </c>
      <c r="L111" s="64"/>
      <c r="M111" s="418"/>
      <c r="O111" s="622"/>
    </row>
    <row r="112" spans="1:16" s="337" customFormat="1" ht="19.5" customHeight="1">
      <c r="A112" s="156"/>
      <c r="B112" s="39"/>
      <c r="C112" s="162"/>
      <c r="D112" s="37"/>
      <c r="E112" s="162"/>
      <c r="G112" s="162"/>
      <c r="I112" s="13"/>
      <c r="J112" s="324"/>
      <c r="K112" s="163"/>
      <c r="L112" s="64"/>
      <c r="M112" s="42"/>
      <c r="O112" s="622"/>
    </row>
    <row r="113" spans="1:15" s="337" customFormat="1" ht="19.5" customHeight="1">
      <c r="A113" s="156"/>
      <c r="B113" s="39" t="s">
        <v>1452</v>
      </c>
      <c r="C113" s="162"/>
      <c r="D113" s="37"/>
      <c r="E113" s="162"/>
      <c r="G113" s="162"/>
      <c r="I113" s="13"/>
      <c r="J113" s="324"/>
      <c r="K113" s="164">
        <f>K109-E109</f>
        <v>45116</v>
      </c>
      <c r="L113" s="64"/>
      <c r="M113" s="42"/>
      <c r="O113" s="622"/>
    </row>
    <row r="114" spans="1:15" s="337" customFormat="1" ht="19.5" customHeight="1">
      <c r="A114" s="156"/>
      <c r="B114" s="39" t="s">
        <v>680</v>
      </c>
      <c r="C114" s="162"/>
      <c r="D114" s="37"/>
      <c r="E114" s="162"/>
      <c r="G114" s="162"/>
      <c r="I114" s="13"/>
      <c r="J114" s="324"/>
      <c r="K114" s="180">
        <f>K113/SUM(E16:E20)</f>
        <v>1.5606752456067524E-2</v>
      </c>
      <c r="L114" s="64"/>
      <c r="M114" s="42"/>
      <c r="O114" s="622"/>
    </row>
    <row r="115" spans="1:15" s="337" customFormat="1" ht="19.5" customHeight="1">
      <c r="A115" s="156"/>
      <c r="B115" s="39"/>
      <c r="C115" s="162"/>
      <c r="D115" s="37"/>
      <c r="E115" s="162"/>
      <c r="G115" s="162"/>
      <c r="I115" s="13"/>
      <c r="J115" s="324"/>
      <c r="K115" s="42"/>
      <c r="L115" s="64"/>
      <c r="M115" s="42"/>
      <c r="O115" s="622"/>
    </row>
    <row r="116" spans="1:15" s="337" customFormat="1" ht="19.5" customHeight="1">
      <c r="A116" s="156"/>
      <c r="B116" s="39">
        <f>_xlfn.IFNA(IF(K116&lt;&gt;0,"Difference to SBS BvA Report Totals",),)</f>
        <v>0</v>
      </c>
      <c r="C116" s="162"/>
      <c r="D116" s="37"/>
      <c r="E116" s="162"/>
      <c r="G116" s="162"/>
      <c r="I116" s="326"/>
      <c r="J116" s="324"/>
      <c r="K116" s="42">
        <v>0</v>
      </c>
      <c r="L116" s="64"/>
      <c r="M116" s="42"/>
      <c r="O116" s="622"/>
    </row>
    <row r="117" spans="1:15" s="337" customFormat="1" ht="19.5" customHeight="1">
      <c r="A117" s="156"/>
      <c r="B117" s="39">
        <f>IF(K117&lt;&gt;0,"ZZZ Amount",)</f>
        <v>0</v>
      </c>
      <c r="C117" s="162"/>
      <c r="D117" s="37"/>
      <c r="E117" s="162"/>
      <c r="G117" s="162"/>
      <c r="I117" s="326"/>
      <c r="J117" s="324"/>
      <c r="K117" s="42">
        <f>_xlfn.IFNA(VLOOKUP("ZZZ",'[2]SBS BvA Report (Table)'!A:AF,11,0),)</f>
        <v>0</v>
      </c>
      <c r="L117" s="64"/>
      <c r="M117" s="42"/>
      <c r="O117" s="622"/>
    </row>
    <row r="118" spans="1:15" s="337" customFormat="1" ht="19.5" customHeight="1">
      <c r="A118" s="156"/>
      <c r="B118" s="39"/>
      <c r="C118" s="162"/>
      <c r="D118" s="37"/>
      <c r="E118" s="162"/>
      <c r="G118" s="162"/>
      <c r="I118" s="13"/>
      <c r="J118" s="324"/>
      <c r="K118" s="42"/>
      <c r="L118" s="64"/>
      <c r="M118" s="42"/>
      <c r="O118" s="622"/>
    </row>
    <row r="119" spans="1:15" s="337" customFormat="1" ht="7.5" customHeight="1" thickBot="1">
      <c r="A119" s="157"/>
      <c r="B119" s="158"/>
      <c r="C119" s="159"/>
      <c r="D119" s="160"/>
      <c r="E119" s="159"/>
      <c r="F119" s="351"/>
      <c r="G119" s="161"/>
      <c r="H119" s="351"/>
      <c r="I119" s="161"/>
      <c r="J119" s="328"/>
      <c r="K119" s="159"/>
      <c r="L119" s="159"/>
      <c r="M119" s="161"/>
      <c r="N119" s="351"/>
      <c r="O119" s="623"/>
    </row>
    <row r="120" spans="1:15" s="337" customFormat="1" ht="30.75" customHeight="1">
      <c r="A120" s="545" t="s">
        <v>435</v>
      </c>
      <c r="B120" s="546"/>
      <c r="C120" s="546"/>
      <c r="D120" s="546"/>
      <c r="E120" s="546"/>
      <c r="F120" s="546"/>
      <c r="G120" s="546"/>
      <c r="H120" s="546"/>
      <c r="I120" s="546"/>
      <c r="J120" s="546"/>
      <c r="K120" s="546"/>
      <c r="L120" s="546"/>
      <c r="M120" s="546"/>
      <c r="N120" s="546"/>
      <c r="O120" s="547"/>
    </row>
    <row r="121" spans="1:15" s="337" customFormat="1" ht="96.6">
      <c r="A121" s="47" t="str">
        <f>B3</f>
        <v>River Cam Primary School</v>
      </c>
      <c r="B121" s="41"/>
      <c r="C121" s="134" t="s">
        <v>484</v>
      </c>
      <c r="D121" s="135"/>
      <c r="E121" s="134" t="s">
        <v>485</v>
      </c>
      <c r="F121" s="136"/>
      <c r="G121" s="134" t="s">
        <v>486</v>
      </c>
      <c r="H121" s="136"/>
      <c r="I121" s="134" t="s">
        <v>487</v>
      </c>
      <c r="J121" s="320" t="s">
        <v>488</v>
      </c>
      <c r="K121" s="134" t="s">
        <v>489</v>
      </c>
      <c r="L121" s="134"/>
      <c r="M121" s="134" t="s">
        <v>1441</v>
      </c>
      <c r="N121" s="131"/>
      <c r="O121" s="601" t="s">
        <v>550</v>
      </c>
    </row>
    <row r="122" spans="1:15" s="62" customFormat="1" ht="23.25" customHeight="1">
      <c r="A122" s="33"/>
      <c r="B122" s="137"/>
      <c r="C122" s="534" t="s">
        <v>490</v>
      </c>
      <c r="D122" s="534"/>
      <c r="E122" s="534"/>
      <c r="F122" s="534"/>
      <c r="G122" s="534"/>
      <c r="H122" s="534"/>
      <c r="I122" s="534"/>
      <c r="J122" s="534"/>
      <c r="K122" s="534"/>
      <c r="L122" s="534"/>
      <c r="M122" s="534"/>
      <c r="N122" s="344"/>
      <c r="O122" s="602"/>
    </row>
    <row r="123" spans="1:15" s="337" customFormat="1" ht="19.5" customHeight="1">
      <c r="A123" s="49" t="s">
        <v>681</v>
      </c>
      <c r="B123" s="39"/>
      <c r="C123" s="42" t="s">
        <v>493</v>
      </c>
      <c r="E123" s="42" t="s">
        <v>493</v>
      </c>
      <c r="G123" s="42" t="s">
        <v>493</v>
      </c>
      <c r="I123" s="42" t="s">
        <v>493</v>
      </c>
      <c r="J123" s="321"/>
      <c r="K123" s="42" t="s">
        <v>493</v>
      </c>
      <c r="L123" s="128"/>
      <c r="M123" s="42" t="s">
        <v>493</v>
      </c>
      <c r="O123" s="616"/>
    </row>
    <row r="124" spans="1:15" s="337" customFormat="1" ht="19.5" customHeight="1">
      <c r="A124" s="47" t="s">
        <v>682</v>
      </c>
      <c r="B124" s="39" t="s">
        <v>683</v>
      </c>
      <c r="C124" s="516">
        <v>9452</v>
      </c>
      <c r="D124" s="336" t="s">
        <v>684</v>
      </c>
      <c r="E124" s="516">
        <v>9529</v>
      </c>
      <c r="F124" s="345"/>
      <c r="G124" s="612">
        <v>19529</v>
      </c>
      <c r="H124" s="345"/>
      <c r="I124" s="612">
        <v>10000</v>
      </c>
      <c r="J124" s="609">
        <f t="shared" ref="J124:J126" si="7">IFERROR(IF(I124="",0%,I124/K124),0)</f>
        <v>0.51205898919555537</v>
      </c>
      <c r="K124" s="612">
        <v>19529</v>
      </c>
      <c r="L124" s="346"/>
      <c r="M124" s="607">
        <f t="shared" ref="M124:M126" si="8">IF(G124="",(K124-E124),(K124-E124))</f>
        <v>10000</v>
      </c>
      <c r="N124" s="345"/>
      <c r="O124" s="608" t="s">
        <v>1515</v>
      </c>
    </row>
    <row r="125" spans="1:15" s="337" customFormat="1" ht="19.5" customHeight="1">
      <c r="A125" s="47" t="s">
        <v>685</v>
      </c>
      <c r="B125" s="39" t="s">
        <v>686</v>
      </c>
      <c r="C125" s="516">
        <v>0</v>
      </c>
      <c r="D125" s="336" t="s">
        <v>687</v>
      </c>
      <c r="E125" s="516">
        <v>0</v>
      </c>
      <c r="F125" s="345"/>
      <c r="G125" s="612">
        <f>_xlfn.IFNA(VLOOKUP(CONCATENATE($A125,$D125),'[2]SBS BvA Report (Table)'!$A:$N,5,0),0)</f>
        <v>0</v>
      </c>
      <c r="H125" s="345"/>
      <c r="I125" s="612">
        <f>IF($O$3="y",_xlfn.IFNA(VLOOKUP(CONCATENATE($A125,$D125),'[2]SBS BvA Report (Table)'!$A:$N,6,0),0),_xlfn.IFNA(-VLOOKUP($A125,'[2]SBS BvA Report (Table)'!$A:$N,6,0),0))</f>
        <v>0</v>
      </c>
      <c r="J125" s="606">
        <f t="shared" si="7"/>
        <v>0</v>
      </c>
      <c r="K125" s="612">
        <f>_xlfn.IFNA(VLOOKUP(CONCATENATE($A125,$D125),'[2]SBS BvA Report (Table)'!$A:$N,11,0),0)</f>
        <v>0</v>
      </c>
      <c r="L125" s="346"/>
      <c r="M125" s="143">
        <f t="shared" si="8"/>
        <v>0</v>
      </c>
      <c r="N125" s="345"/>
      <c r="O125" s="517"/>
    </row>
    <row r="126" spans="1:15" s="337" customFormat="1" ht="19.5" customHeight="1" thickBot="1">
      <c r="A126" s="47" t="s">
        <v>688</v>
      </c>
      <c r="B126" s="39" t="s">
        <v>689</v>
      </c>
      <c r="C126" s="516">
        <v>0</v>
      </c>
      <c r="D126" s="336" t="s">
        <v>690</v>
      </c>
      <c r="E126" s="516">
        <v>0</v>
      </c>
      <c r="F126" s="345"/>
      <c r="G126" s="612">
        <f>_xlfn.IFNA(VLOOKUP(CONCATENATE($A126,$D126),'[2]SBS BvA Report (Table)'!$A:$N,5,0),0)</f>
        <v>0</v>
      </c>
      <c r="H126" s="345"/>
      <c r="I126" s="612">
        <f>IF($O$3="y",_xlfn.IFNA(VLOOKUP(CONCATENATE($A126,$D126),'[2]SBS BvA Report (Table)'!$A:$N,6,0),0),_xlfn.IFNA(-VLOOKUP($A126,'[2]SBS BvA Report (Table)'!$A:$N,6,0),0))</f>
        <v>0</v>
      </c>
      <c r="J126" s="606">
        <f t="shared" si="7"/>
        <v>0</v>
      </c>
      <c r="K126" s="612">
        <f>_xlfn.IFNA(VLOOKUP(CONCATENATE($A126,$D126),'[2]SBS BvA Report (Table)'!$A:$N,11,0),0)</f>
        <v>0</v>
      </c>
      <c r="L126" s="346"/>
      <c r="M126" s="143">
        <f t="shared" si="8"/>
        <v>0</v>
      </c>
      <c r="N126" s="345"/>
      <c r="O126" s="517"/>
    </row>
    <row r="127" spans="1:15" s="43" customFormat="1" ht="19.5" customHeight="1" thickBot="1">
      <c r="A127" s="45"/>
      <c r="B127" s="41" t="s">
        <v>436</v>
      </c>
      <c r="C127" s="1">
        <f>SUM(C124:C126)</f>
        <v>9452</v>
      </c>
      <c r="D127" s="380"/>
      <c r="E127" s="1">
        <f>SUM(E124:E126)</f>
        <v>9529</v>
      </c>
      <c r="F127" s="59"/>
      <c r="G127" s="1">
        <f>SUM(G124:G126)</f>
        <v>19529</v>
      </c>
      <c r="H127" s="59"/>
      <c r="I127" s="1">
        <f>SUM(I124:I126)</f>
        <v>10000</v>
      </c>
      <c r="J127" s="610">
        <f>IF(OR(I127="",I127=0),0%,I127/K127)</f>
        <v>0.51205898919555537</v>
      </c>
      <c r="K127" s="1">
        <f>SUM(K124:K126)</f>
        <v>19529</v>
      </c>
      <c r="L127" s="64"/>
      <c r="M127" s="144">
        <f>SUM(M124:M126)</f>
        <v>10000</v>
      </c>
      <c r="O127" s="624"/>
    </row>
    <row r="128" spans="1:15" s="337" customFormat="1" ht="19.5" customHeight="1">
      <c r="A128" s="47"/>
      <c r="B128" s="39"/>
      <c r="C128" s="50"/>
      <c r="D128" s="336"/>
      <c r="E128" s="50"/>
      <c r="G128" s="50"/>
      <c r="I128" s="50"/>
      <c r="J128" s="326"/>
      <c r="K128" s="50"/>
      <c r="L128" s="69"/>
      <c r="M128" s="50"/>
      <c r="O128" s="603"/>
    </row>
    <row r="129" spans="1:15" s="337" customFormat="1" ht="19.5" customHeight="1">
      <c r="A129" s="49" t="s">
        <v>691</v>
      </c>
      <c r="B129" s="39"/>
      <c r="C129" s="42" t="s">
        <v>493</v>
      </c>
      <c r="D129" s="381"/>
      <c r="E129" s="42" t="s">
        <v>493</v>
      </c>
      <c r="G129" s="42" t="s">
        <v>493</v>
      </c>
      <c r="I129" s="42" t="s">
        <v>493</v>
      </c>
      <c r="J129" s="321"/>
      <c r="K129" s="42" t="s">
        <v>493</v>
      </c>
      <c r="L129" s="128"/>
      <c r="M129" s="42" t="s">
        <v>493</v>
      </c>
      <c r="O129" s="616"/>
    </row>
    <row r="130" spans="1:15" s="337" customFormat="1" ht="19.5" customHeight="1">
      <c r="A130" s="47" t="s">
        <v>692</v>
      </c>
      <c r="B130" s="39" t="s">
        <v>693</v>
      </c>
      <c r="C130" s="516">
        <v>0</v>
      </c>
      <c r="D130" s="336" t="s">
        <v>694</v>
      </c>
      <c r="E130" s="516">
        <v>0</v>
      </c>
      <c r="F130" s="345"/>
      <c r="G130" s="612">
        <f>_xlfn.IFNA(VLOOKUP(CONCATENATE($A130,$D130),'[2]SBS BvA Report (Table)'!$A:$N,5,0),0)</f>
        <v>0</v>
      </c>
      <c r="H130" s="345"/>
      <c r="I130" s="612">
        <f>_xlfn.IFNA(VLOOKUP(CONCATENATE($A130,$D130),'[2]SBS BvA Report (Table)'!$A:$N,6,0),0)</f>
        <v>0</v>
      </c>
      <c r="J130" s="606">
        <f t="shared" ref="J130:J133" si="9">IFERROR(IF(I130="",0%,I130/K130),0)</f>
        <v>0</v>
      </c>
      <c r="K130" s="612">
        <f>_xlfn.IFNA(VLOOKUP(CONCATENATE($A130,$D130),'[2]SBS BvA Report (Table)'!$A:$N,11,0),0)</f>
        <v>0</v>
      </c>
      <c r="L130" s="346"/>
      <c r="M130" s="143">
        <f t="shared" ref="M130" si="10">IF(G130="",(K130-E130),(K130-E130))</f>
        <v>0</v>
      </c>
      <c r="N130" s="345"/>
      <c r="O130" s="517"/>
    </row>
    <row r="131" spans="1:15" s="337" customFormat="1" ht="19.5" customHeight="1">
      <c r="A131" s="47" t="s">
        <v>695</v>
      </c>
      <c r="B131" s="39" t="s">
        <v>696</v>
      </c>
      <c r="C131" s="516">
        <v>0</v>
      </c>
      <c r="D131" s="336" t="s">
        <v>697</v>
      </c>
      <c r="E131" s="516">
        <v>0</v>
      </c>
      <c r="F131" s="345"/>
      <c r="G131" s="612">
        <v>10000</v>
      </c>
      <c r="H131" s="345"/>
      <c r="I131" s="612">
        <v>0</v>
      </c>
      <c r="J131" s="606">
        <f t="shared" si="9"/>
        <v>0</v>
      </c>
      <c r="K131" s="612">
        <v>10000</v>
      </c>
      <c r="L131" s="346"/>
      <c r="M131" s="143">
        <v>10000</v>
      </c>
      <c r="N131" s="345"/>
      <c r="O131" s="608" t="s">
        <v>1516</v>
      </c>
    </row>
    <row r="132" spans="1:15" s="337" customFormat="1" ht="19.5" customHeight="1">
      <c r="A132" s="47" t="s">
        <v>698</v>
      </c>
      <c r="B132" s="39" t="s">
        <v>699</v>
      </c>
      <c r="C132" s="516">
        <v>0</v>
      </c>
      <c r="D132" s="336" t="s">
        <v>700</v>
      </c>
      <c r="E132" s="516">
        <v>0</v>
      </c>
      <c r="F132" s="345"/>
      <c r="G132" s="612">
        <f>_xlfn.IFNA(VLOOKUP(CONCATENATE($A132,$D132),'[2]SBS BvA Report (Table)'!$A:$N,5,0),0)</f>
        <v>0</v>
      </c>
      <c r="H132" s="345"/>
      <c r="I132" s="612">
        <f>_xlfn.IFNA(VLOOKUP(CONCATENATE($A132,$D132),'[2]SBS BvA Report (Table)'!$A:$N,6,0),0)</f>
        <v>0</v>
      </c>
      <c r="J132" s="606">
        <f t="shared" si="9"/>
        <v>0</v>
      </c>
      <c r="K132" s="612">
        <f>_xlfn.IFNA(VLOOKUP(CONCATENATE($A132,$D132),'[2]SBS BvA Report (Table)'!$A:$N,11,0),0)</f>
        <v>0</v>
      </c>
      <c r="L132" s="346"/>
      <c r="M132" s="143">
        <f>IF(G132="",(K132-E132),(K132-G132))</f>
        <v>0</v>
      </c>
      <c r="N132" s="345"/>
      <c r="O132" s="517"/>
    </row>
    <row r="133" spans="1:15" s="337" customFormat="1" ht="19.5" customHeight="1" thickBot="1">
      <c r="A133" s="47" t="s">
        <v>701</v>
      </c>
      <c r="B133" s="39" t="s">
        <v>702</v>
      </c>
      <c r="C133" s="516">
        <v>11579</v>
      </c>
      <c r="D133" s="336"/>
      <c r="E133" s="516">
        <v>9529</v>
      </c>
      <c r="F133" s="345"/>
      <c r="G133" s="605">
        <v>9600</v>
      </c>
      <c r="H133" s="345"/>
      <c r="I133" s="605">
        <f>SUM(_xlfn.IFNA(VLOOKUP("CE04A: Connectivity",'[2]SBS BvA Report (Table)'!$A:$N,6,0),0),_xlfn.IFNA(VLOOKUP("CE04B: Onsite Servers",'[2]SBS BvA Report (Table)'!$A:$N,6,0),0),_xlfn.IFNA(VLOOKUP("CE04C: Administration Software &amp; Systems",'[2]SBS BvA Report (Table)'!$A:$N,6,0),0),_xlfn.IFNA(VLOOKUP("CE04D: Laptops, Desktops &amp; Tablets",'[2]SBS BvA Report (Table)'!$A:$N,6,0),0),0)</f>
        <v>0</v>
      </c>
      <c r="J133" s="606">
        <f t="shared" si="9"/>
        <v>0</v>
      </c>
      <c r="K133" s="605">
        <v>9600</v>
      </c>
      <c r="L133" s="346"/>
      <c r="M133" s="607">
        <v>71</v>
      </c>
      <c r="N133" s="345"/>
      <c r="O133" s="608" t="s">
        <v>1517</v>
      </c>
    </row>
    <row r="134" spans="1:15" s="337" customFormat="1" ht="19.5" customHeight="1" thickBot="1">
      <c r="A134" s="47"/>
      <c r="B134" s="41" t="s">
        <v>437</v>
      </c>
      <c r="C134" s="1">
        <f>SUM(C130:C133)</f>
        <v>11579</v>
      </c>
      <c r="D134" s="336"/>
      <c r="E134" s="1">
        <f>SUM(E130:E133)</f>
        <v>9529</v>
      </c>
      <c r="F134" s="345"/>
      <c r="G134" s="1">
        <f>SUM(G130:G133)</f>
        <v>19600</v>
      </c>
      <c r="H134" s="345"/>
      <c r="I134" s="1">
        <f>SUM(I130:I133)</f>
        <v>0</v>
      </c>
      <c r="J134" s="610">
        <f>IF(OR(I134="",I134=0),0%,I134/K134)</f>
        <v>0</v>
      </c>
      <c r="K134" s="1">
        <f>SUM(K130:K133)</f>
        <v>19600</v>
      </c>
      <c r="L134" s="64"/>
      <c r="M134" s="625">
        <f>SUM(M130:M133)</f>
        <v>10071</v>
      </c>
      <c r="N134" s="347"/>
      <c r="O134" s="626" t="s">
        <v>1518</v>
      </c>
    </row>
    <row r="135" spans="1:15" s="337" customFormat="1" ht="19.5" customHeight="1" thickBot="1">
      <c r="A135" s="47"/>
      <c r="B135" s="41"/>
      <c r="C135" s="6"/>
      <c r="D135" s="37"/>
      <c r="E135" s="6"/>
      <c r="G135" s="6"/>
      <c r="I135" s="6"/>
      <c r="J135" s="322"/>
      <c r="K135" s="6"/>
      <c r="L135" s="51"/>
      <c r="M135" s="6"/>
      <c r="O135" s="603"/>
    </row>
    <row r="136" spans="1:15" s="337" customFormat="1" ht="19.5" customHeight="1" thickBot="1">
      <c r="A136" s="47"/>
      <c r="B136" s="39" t="s">
        <v>703</v>
      </c>
      <c r="C136" s="144">
        <f>C127-C134</f>
        <v>-2127</v>
      </c>
      <c r="D136" s="37"/>
      <c r="E136" s="144">
        <f>E127-E134</f>
        <v>0</v>
      </c>
      <c r="F136" s="345"/>
      <c r="G136" s="144">
        <f>G127-G134</f>
        <v>-71</v>
      </c>
      <c r="H136" s="347"/>
      <c r="I136" s="42"/>
      <c r="J136" s="329"/>
      <c r="K136" s="144">
        <f>K127-K134</f>
        <v>-71</v>
      </c>
      <c r="L136" s="352"/>
      <c r="M136" s="353"/>
      <c r="O136" s="603"/>
    </row>
    <row r="137" spans="1:15" s="337" customFormat="1" ht="19.5" customHeight="1" thickBot="1">
      <c r="A137" s="47"/>
      <c r="B137" s="39" t="s">
        <v>704</v>
      </c>
      <c r="C137" s="168">
        <v>2127</v>
      </c>
      <c r="D137" s="37"/>
      <c r="E137" s="245">
        <v>0</v>
      </c>
      <c r="F137" s="345"/>
      <c r="G137" s="168">
        <f>E137</f>
        <v>0</v>
      </c>
      <c r="H137" s="347"/>
      <c r="I137" s="42"/>
      <c r="J137" s="329"/>
      <c r="K137" s="168">
        <f>G137</f>
        <v>0</v>
      </c>
      <c r="L137" s="352"/>
      <c r="M137" s="353"/>
      <c r="O137" s="603"/>
    </row>
    <row r="138" spans="1:15" s="337" customFormat="1" ht="19.5" customHeight="1" thickBot="1">
      <c r="A138" s="47"/>
      <c r="B138" s="41" t="s">
        <v>705</v>
      </c>
      <c r="C138" s="144">
        <f>C136+C137</f>
        <v>0</v>
      </c>
      <c r="D138" s="37"/>
      <c r="E138" s="144">
        <f>E136+E137</f>
        <v>0</v>
      </c>
      <c r="F138" s="345"/>
      <c r="G138" s="144">
        <f>G136+G137</f>
        <v>-71</v>
      </c>
      <c r="H138" s="347"/>
      <c r="I138" s="42"/>
      <c r="J138" s="324"/>
      <c r="K138" s="144">
        <f>K136+K137</f>
        <v>-71</v>
      </c>
      <c r="L138" s="64"/>
      <c r="M138" s="13"/>
      <c r="O138" s="603"/>
    </row>
    <row r="139" spans="1:15" ht="19.5" customHeight="1">
      <c r="A139" s="55"/>
      <c r="B139" s="354"/>
      <c r="C139" s="7"/>
      <c r="D139" s="58"/>
      <c r="E139" s="7"/>
      <c r="F139" s="349"/>
      <c r="G139" s="7"/>
      <c r="H139" s="349"/>
      <c r="I139" s="7"/>
      <c r="J139" s="330"/>
      <c r="K139" s="7"/>
      <c r="L139" s="57"/>
      <c r="M139" s="7"/>
      <c r="N139" s="349"/>
      <c r="O139" s="616"/>
    </row>
    <row r="140" spans="1:15" ht="17.25" customHeight="1">
      <c r="A140" s="250"/>
      <c r="B140" s="355"/>
    </row>
    <row r="141" spans="1:15" ht="17.25" customHeight="1">
      <c r="A141" s="250"/>
      <c r="B141" s="355"/>
    </row>
    <row r="142" spans="1:15" ht="15.6">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tr">
        <f>VLOOKUP(D193,'[2]Data - CFR 2024-25'!$B$4:$E$127,4,0)</f>
        <v>30EP3373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tr">
        <f>VLOOKUP(D194,'[2]Data - CFR 2024-25'!$B$4:$E$127,4,0)</f>
        <v>30EP3061</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tr">
        <f>VLOOKUP(D195,'[2]Data - CFR 2024-25'!$B$4:$E$127,4,0)</f>
        <v>30EP2083</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tr">
        <f>VLOOKUP(D196,'[2]Data - CFR 2024-25'!$B$4:$E$127,4,0)</f>
        <v>30EP2118</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tr">
        <f>VLOOKUP(D197,'[2]Data - CFR 2024-25'!$B$4:$E$127,4,0)</f>
        <v>30EP2217</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tr">
        <f>VLOOKUP(D198,'[2]Data - CFR 2024-25'!$B$4:$E$127,4,0)</f>
        <v>30EP3067</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tr">
        <f>VLOOKUP(D199,'[2]Data - CFR 2024-25'!$B$4:$E$127,4,0)</f>
        <v>30EP3001</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tr">
        <f>VLOOKUP(D200,'[2]Data - CFR 2024-25'!$B$4:$E$127,4,0)</f>
        <v>30EP3301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tr">
        <f>VLOOKUP(D201,'[2]Data - CFR 2024-25'!$B$4:$E$127,4,0)</f>
        <v>30EP2002</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tr">
        <f>VLOOKUP(D202,'[2]Data - CFR 2024-25'!$B$4:$E$127,4,0)</f>
        <v>30EP2082</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tr">
        <f>VLOOKUP(D203,'[2]Data - CFR 2024-25'!$B$4:$E$127,4,0)</f>
        <v>30EP3943</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tr">
        <f>VLOOKUP(D204,'[2]Data - CFR 2024-25'!$B$4:$E$127,4,0)</f>
        <v>30EP2060</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tr">
        <f>VLOOKUP(D205,'[2]Data - CFR 2024-25'!$B$4:$E$127,4,0)</f>
        <v>30EP2312</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tr">
        <f>VLOOKUP(D206,'[2]Data - CFR 2024-25'!$B$4:$E$127,4,0)</f>
        <v>30EP3942</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tr">
        <f>VLOOKUP(D207,'[2]Data - CFR 2024-25'!$B$4:$E$127,4,0)</f>
        <v>30EP3081</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tr">
        <f>VLOOKUP(D208,'[2]Data - CFR 2024-25'!$B$4:$E$127,4,0)</f>
        <v>30EN1005</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tr">
        <f>VLOOKUP(D209,'[2]Data - CFR 2024-25'!$B$4:$E$127,4,0)</f>
        <v>30EP2327</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tr">
        <f>VLOOKUP(D210,'[2]Data - CFR 2024-25'!$B$4:$E$127,4,0)</f>
        <v>30EP2452</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tr">
        <f>VLOOKUP(D211,'[2]Data - CFR 2024-25'!$B$4:$E$127,4,0)</f>
        <v>30EP2004</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tr">
        <f>VLOOKUP(D212,'[2]Data - CFR 2024-25'!$B$4:$E$127,4,0)</f>
        <v>30EP3008</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tr">
        <f>VLOOKUP(D213,'[2]Data - CFR 2024-25'!$B$4:$E$127,4,0)</f>
        <v>30ES7026</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tr">
        <f>VLOOKUP(D214,'[2]Data - CFR 2024-25'!$B$4:$E$127,4,0)</f>
        <v>30EP3050</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tr">
        <f>VLOOKUP(D215,'[2]Data - CFR 2024-25'!$B$4:$E$127,4,0)</f>
        <v>30EP3009</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tr">
        <f>VLOOKUP(D216,'[2]Data - CFR 2024-25'!$B$4:$E$127,4,0)</f>
        <v>30EP2091</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tr">
        <f>VLOOKUP(D217,'[2]Data - CFR 2024-25'!$B$4:$E$127,4,0)</f>
        <v>30EP2065</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tr">
        <f>VLOOKUP(D218,'[2]Data - CFR 2024-25'!$B$4:$E$127,4,0)</f>
        <v>30EN1006</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tr">
        <f>VLOOKUP(D219,'[2]Data - CFR 2024-25'!$B$4:$E$127,4,0)</f>
        <v>30EP2119</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tr">
        <f>VLOOKUP(D220,'[2]Data - CFR 2024-25'!$B$4:$E$127,4,0)</f>
        <v>30EP3011</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tr">
        <f>VLOOKUP(D221,'[2]Data - CFR 2024-25'!$B$4:$E$127,4,0)</f>
        <v>30EP2006</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tr">
        <f>VLOOKUP(D222,'[2]Data - CFR 2024-25'!$B$4:$E$127,4,0)</f>
        <v>30EP3012</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tr">
        <f>VLOOKUP(D223,'[2]Data - CFR 2024-25'!$B$4:$E$127,4,0)</f>
        <v>30EP3041</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tr">
        <f>VLOOKUP(D224,'[2]Data - CFR 2024-25'!$B$4:$E$127,4,0)</f>
        <v>30EP2246</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tr">
        <f>VLOOKUP(D225,'[2]Data - CFR 2024-25'!$B$4:$E$127,4,0)</f>
        <v>30EP3308</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tr">
        <f>VLOOKUP(D226,'[2]Data - CFR 2024-25'!$B$4:$E$127,4,0)</f>
        <v>30EP3368</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tr">
        <f>VLOOKUP(D227,'[2]Data - CFR 2024-25'!$B$4:$E$127,4,0)</f>
        <v>30EP2444</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tr">
        <f>VLOOKUP(D228,'[2]Data - CFR 2024-25'!$B$4:$E$127,4,0)</f>
        <v>30EP3074</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tr">
        <f>VLOOKUP(D229,'[2]Data - CFR 2024-25'!$B$4:$E$127,4,0)</f>
        <v>30EP2336</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tr">
        <f>VLOOKUP(D230,'[2]Data - CFR 2024-25'!$B$4:$E$127,4,0)</f>
        <v>30EP2010</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tr">
        <f>VLOOKUP(D231,'[2]Data - CFR 2024-25'!$B$4:$E$127,4,0)</f>
        <v>30EP2208</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tr">
        <f>VLOOKUP(D232,'[2]Data - CFR 2024-25'!$B$4:$E$127,4,0)</f>
        <v>30EP3065</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tr">
        <f>VLOOKUP(D233,'[2]Data - CFR 2024-25'!$B$4:$E$127,4,0)</f>
        <v>30EP3014</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tr">
        <f>VLOOKUP(D234,'[2]Data - CFR 2024-25'!$B$4:$E$127,4,0)</f>
        <v>30EP2321</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tr">
        <f>VLOOKUP(D235,'[2]Data - CFR 2024-25'!$B$4:$E$127,4,0)</f>
        <v>30EP2011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tr">
        <f>VLOOKUP(D236,'[2]Data - CFR 2024-25'!$B$4:$E$127,4,0)</f>
        <v>30EP2012</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tr">
        <f>VLOOKUP(D237,'[2]Data - CFR 2024-25'!$B$4:$E$127,4,0)</f>
        <v>30EP2068</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tr">
        <f>VLOOKUP(D238,'[2]Data - CFR 2024-25'!$B$4:$E$127,4,0)</f>
        <v>30EP2328</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tr">
        <f>VLOOKUP(D239,'[2]Data - CFR 2024-25'!$B$4:$E$127,4,0)</f>
        <v>30ES7025</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tr">
        <f>VLOOKUP(D240,'[2]Data - CFR 2024-25'!$B$4:$E$127,4,0)</f>
        <v>30EP2016</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tr">
        <f>VLOOKUP(D241,'[2]Data - CFR 2024-25'!$B$4:$E$127,4,0)</f>
        <v>30EP3310</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tr">
        <f>VLOOKUP(D242,'[2]Data - CFR 2024-25'!$B$4:$E$127,4,0)</f>
        <v>30EP3068</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tr">
        <f>VLOOKUP(D243,'[2]Data - CFR 2024-25'!$B$4:$E$127,4,0)</f>
        <v>30EP2315</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tr">
        <f>VLOOKUP(D244,'[2]Data - CFR 2024-25'!$B$4:$E$127,4,0)</f>
        <v>30EP2018</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tr">
        <f>VLOOKUP(D245,'[2]Data - CFR 2024-25'!$B$4:$E$127,4,0)</f>
        <v>30EP3035</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tr">
        <f>VLOOKUP(D246,'[2]Data - CFR 2024-25'!$B$4:$E$127,4,0)</f>
        <v>30EP2205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tr">
        <f>VLOOKUP(D247,'[2]Data - CFR 2024-25'!$B$4:$E$127,4,0)</f>
        <v>30EP2211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tr">
        <f>VLOOKUP(D248,'[2]Data - CFR 2024-25'!$B$4:$E$127,4,0)</f>
        <v>30EN1003</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tr">
        <f>VLOOKUP(D249,'[2]Data - CFR 2024-25'!$B$4:$E$127,4,0)</f>
        <v>30EP3071</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tr">
        <f>VLOOKUP(D250,'[2]Data - CFR 2024-25'!$B$4:$E$127,4,0)</f>
        <v>30EN1002</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tr">
        <f>VLOOKUP(D251,'[2]Data - CFR 2024-25'!$B$4:$E$127,4,0)</f>
        <v>30EP2212</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tr">
        <f>VLOOKUP(D252,'[2]Data - CFR 2024-25'!$B$4:$E$127,4,0)</f>
        <v>30EN1007</v>
      </c>
      <c r="I252" s="50"/>
    </row>
    <row r="253" spans="1:256" hidden="1">
      <c r="A253" s="288" t="s">
        <v>769</v>
      </c>
      <c r="B253" s="332" t="s">
        <v>708</v>
      </c>
      <c r="C253" s="288">
        <v>3945</v>
      </c>
      <c r="D253" s="288">
        <v>3945</v>
      </c>
      <c r="E253" s="50" t="str">
        <f>VLOOKUP(D253,'[2]Data - CFR 2024-25'!$B$4:$E$127,4,0)</f>
        <v>30EP3945</v>
      </c>
      <c r="G253" s="357"/>
      <c r="I253" s="332"/>
      <c r="J253" s="332"/>
      <c r="K253" s="332"/>
      <c r="L253" s="358"/>
      <c r="M253" s="332"/>
      <c r="N253" s="359"/>
      <c r="O253" s="360"/>
      <c r="P253" s="357"/>
    </row>
    <row r="254" spans="1:256" hidden="1">
      <c r="A254" s="288" t="s">
        <v>770</v>
      </c>
      <c r="B254" s="332" t="s">
        <v>708</v>
      </c>
      <c r="C254" s="288">
        <v>3022</v>
      </c>
      <c r="D254" s="288">
        <v>3022</v>
      </c>
      <c r="E254" s="50" t="str">
        <f>VLOOKUP(D254,'[2]Data - CFR 2024-25'!$B$4:$E$127,4,0)</f>
        <v>30EP3022</v>
      </c>
      <c r="G254" s="361"/>
      <c r="I254" s="332"/>
      <c r="J254" s="332"/>
      <c r="K254" s="332"/>
      <c r="L254" s="358"/>
      <c r="M254" s="332"/>
    </row>
    <row r="255" spans="1:256" hidden="1">
      <c r="A255" s="288" t="s">
        <v>771</v>
      </c>
      <c r="B255" s="332" t="s">
        <v>708</v>
      </c>
      <c r="C255" s="288">
        <v>2442</v>
      </c>
      <c r="D255" s="288">
        <v>2442</v>
      </c>
      <c r="E255" s="50" t="str">
        <f>VLOOKUP(D255,'[2]Data - CFR 2024-25'!$B$4:$E$127,4,0)</f>
        <v>30EP2442</v>
      </c>
      <c r="G255" s="361"/>
      <c r="I255" s="332"/>
      <c r="J255" s="332"/>
      <c r="K255" s="332"/>
      <c r="L255" s="358"/>
      <c r="M255" s="332"/>
    </row>
    <row r="256" spans="1:256" hidden="1">
      <c r="A256" s="288" t="s">
        <v>772</v>
      </c>
      <c r="B256" s="332" t="s">
        <v>708</v>
      </c>
      <c r="C256" s="288">
        <v>2331</v>
      </c>
      <c r="D256" s="288">
        <v>2331</v>
      </c>
      <c r="E256" s="50" t="str">
        <f>VLOOKUP(D256,'[2]Data - CFR 2024-25'!$B$4:$E$127,4,0)</f>
        <v>30EP2331</v>
      </c>
      <c r="G256" s="361"/>
      <c r="I256" s="332"/>
      <c r="J256" s="332"/>
      <c r="K256" s="332"/>
      <c r="L256" s="358"/>
      <c r="M256" s="332"/>
    </row>
    <row r="257" spans="1:13" hidden="1">
      <c r="A257" s="288"/>
      <c r="B257" s="332" t="s">
        <v>724</v>
      </c>
      <c r="C257" s="288">
        <v>1000</v>
      </c>
      <c r="D257" s="288">
        <v>1000</v>
      </c>
      <c r="E257" s="50" t="str">
        <f>VLOOKUP(D257,'[2]Data - CFR 2024-25'!$B$4:$E$127,4,0)</f>
        <v>30EN1000</v>
      </c>
      <c r="G257" s="361"/>
      <c r="I257" s="332"/>
      <c r="J257" s="332"/>
      <c r="K257" s="332"/>
      <c r="L257" s="358"/>
      <c r="M257" s="332"/>
    </row>
    <row r="258" spans="1:13" hidden="1">
      <c r="A258" s="288" t="s">
        <v>474</v>
      </c>
      <c r="B258" s="332" t="s">
        <v>708</v>
      </c>
      <c r="C258" s="288">
        <v>2446</v>
      </c>
      <c r="D258" s="288">
        <v>2446</v>
      </c>
      <c r="E258" s="50" t="str">
        <f>VLOOKUP(D258,'[2]Data - CFR 2024-25'!$B$4:$E$127,4,0)</f>
        <v>30EP2446</v>
      </c>
      <c r="G258" s="361"/>
      <c r="I258" s="332"/>
      <c r="J258" s="332"/>
      <c r="K258" s="332"/>
      <c r="L258" s="358"/>
      <c r="M258" s="332"/>
    </row>
    <row r="259" spans="1:13" hidden="1">
      <c r="A259" s="288" t="s">
        <v>773</v>
      </c>
      <c r="B259" s="332" t="s">
        <v>708</v>
      </c>
      <c r="C259" s="288">
        <v>3317</v>
      </c>
      <c r="D259" s="288">
        <v>3317</v>
      </c>
      <c r="E259" s="50" t="str">
        <f>VLOOKUP(D259,'[2]Data - CFR 2024-25'!$B$4:$E$127,4,0)</f>
        <v>30EP3317</v>
      </c>
      <c r="G259" s="361"/>
      <c r="I259" s="332"/>
      <c r="J259" s="332"/>
      <c r="K259" s="332"/>
      <c r="L259" s="358"/>
      <c r="M259" s="332"/>
    </row>
    <row r="260" spans="1:13" hidden="1">
      <c r="A260" s="290" t="s">
        <v>774</v>
      </c>
      <c r="B260" s="332" t="s">
        <v>708</v>
      </c>
      <c r="C260" s="290">
        <v>2066</v>
      </c>
      <c r="D260" s="290">
        <v>2066</v>
      </c>
      <c r="E260" s="50" t="str">
        <f>VLOOKUP(D260,'[2]Data - CFR 2024-25'!$B$4:$E$127,4,0)</f>
        <v>30EP2066</v>
      </c>
      <c r="G260" s="361"/>
      <c r="I260" s="332"/>
      <c r="J260" s="332"/>
      <c r="K260" s="332"/>
      <c r="L260" s="358"/>
      <c r="M260" s="332"/>
    </row>
    <row r="261" spans="1:13" hidden="1">
      <c r="A261" s="288" t="s">
        <v>775</v>
      </c>
      <c r="B261" s="332" t="s">
        <v>708</v>
      </c>
      <c r="C261" s="288">
        <v>2293</v>
      </c>
      <c r="D261" s="288">
        <v>2293</v>
      </c>
      <c r="E261" s="50" t="str">
        <f>VLOOKUP(D261,'[2]Data - CFR 2024-25'!$B$4:$E$127,4,0)</f>
        <v>30EP2293</v>
      </c>
      <c r="G261" s="361"/>
      <c r="I261" s="332"/>
      <c r="J261" s="332"/>
      <c r="K261" s="332"/>
      <c r="L261" s="358"/>
      <c r="M261" s="332"/>
    </row>
    <row r="262" spans="1:13" hidden="1">
      <c r="A262" s="288" t="s">
        <v>776</v>
      </c>
      <c r="B262" s="332" t="s">
        <v>708</v>
      </c>
      <c r="C262" s="288">
        <v>2074</v>
      </c>
      <c r="D262" s="288">
        <v>2074</v>
      </c>
      <c r="E262" s="50" t="str">
        <f>VLOOKUP(D262,'[2]Data - CFR 2024-25'!$B$4:$E$127,4,0)</f>
        <v>30EP2074</v>
      </c>
      <c r="G262" s="361"/>
      <c r="I262" s="332"/>
      <c r="J262" s="332"/>
      <c r="K262" s="332"/>
      <c r="L262" s="358"/>
      <c r="M262" s="332"/>
    </row>
    <row r="263" spans="1:13" hidden="1">
      <c r="A263" s="288" t="s">
        <v>777</v>
      </c>
      <c r="B263" s="332" t="s">
        <v>708</v>
      </c>
      <c r="C263" s="288">
        <v>2075</v>
      </c>
      <c r="D263" s="288">
        <v>2075</v>
      </c>
      <c r="E263" s="50" t="str">
        <f>VLOOKUP(D263,'[2]Data - CFR 2024-25'!$B$4:$E$127,4,0)</f>
        <v>30EP2075</v>
      </c>
      <c r="G263" s="361"/>
      <c r="I263" s="332"/>
      <c r="J263" s="332"/>
      <c r="K263" s="332"/>
      <c r="L263" s="358"/>
      <c r="M263" s="332"/>
    </row>
    <row r="264" spans="1:13" hidden="1">
      <c r="A264" s="288" t="s">
        <v>778</v>
      </c>
      <c r="B264" s="332" t="s">
        <v>708</v>
      </c>
      <c r="C264" s="288">
        <v>2121</v>
      </c>
      <c r="D264" s="288">
        <v>2121</v>
      </c>
      <c r="E264" s="50" t="str">
        <f>VLOOKUP(D264,'[2]Data - CFR 2024-25'!$B$4:$E$127,4,0)</f>
        <v>30EP2121</v>
      </c>
      <c r="G264" s="361"/>
      <c r="I264" s="332"/>
      <c r="J264" s="332"/>
      <c r="K264" s="332"/>
      <c r="L264" s="358"/>
      <c r="M264" s="332"/>
    </row>
    <row r="265" spans="1:13" hidden="1">
      <c r="A265" s="288" t="s">
        <v>779</v>
      </c>
      <c r="B265" s="332" t="s">
        <v>708</v>
      </c>
      <c r="C265" s="288">
        <v>2028</v>
      </c>
      <c r="D265" s="288">
        <v>2028</v>
      </c>
      <c r="E265" s="50" t="str">
        <f>VLOOKUP(D265,'[2]Data - CFR 2024-25'!$B$4:$E$127,4,0)</f>
        <v>30EP2028</v>
      </c>
      <c r="G265" s="361"/>
      <c r="I265" s="332"/>
      <c r="J265" s="332"/>
      <c r="K265" s="332"/>
      <c r="L265" s="358"/>
      <c r="M265" s="332"/>
    </row>
    <row r="266" spans="1:13" hidden="1">
      <c r="A266" s="288" t="s">
        <v>780</v>
      </c>
      <c r="B266" s="332" t="s">
        <v>708</v>
      </c>
      <c r="C266" s="288">
        <v>2029</v>
      </c>
      <c r="D266" s="288">
        <v>2029</v>
      </c>
      <c r="E266" s="50" t="str">
        <f>VLOOKUP(D266,'[2]Data - CFR 2024-25'!$B$4:$E$127,4,0)</f>
        <v>30EP2029</v>
      </c>
      <c r="G266" s="361"/>
      <c r="I266" s="332"/>
      <c r="J266" s="332"/>
      <c r="K266" s="332"/>
      <c r="L266" s="358"/>
      <c r="M266" s="332"/>
    </row>
    <row r="267" spans="1:13" hidden="1">
      <c r="A267" s="288" t="s">
        <v>781</v>
      </c>
      <c r="B267" s="332" t="s">
        <v>708</v>
      </c>
      <c r="C267" s="288">
        <v>2059</v>
      </c>
      <c r="D267" s="288">
        <v>2059</v>
      </c>
      <c r="E267" s="50" t="str">
        <f>VLOOKUP(D267,'[2]Data - CFR 2024-25'!$B$4:$E$127,4,0)</f>
        <v>30EP2059</v>
      </c>
      <c r="G267" s="361"/>
      <c r="I267" s="332"/>
      <c r="J267" s="332"/>
      <c r="K267" s="332"/>
      <c r="L267" s="358"/>
      <c r="M267" s="332"/>
    </row>
    <row r="268" spans="1:13" hidden="1">
      <c r="A268" s="288" t="s">
        <v>782</v>
      </c>
      <c r="B268" s="332" t="s">
        <v>708</v>
      </c>
      <c r="C268" s="288">
        <v>3386</v>
      </c>
      <c r="D268" s="288">
        <v>3386</v>
      </c>
      <c r="E268" s="50" t="str">
        <f>VLOOKUP(D268,'[2]Data - CFR 2024-25'!$B$4:$E$127,4,0)</f>
        <v>30EP3386</v>
      </c>
      <c r="G268" s="361"/>
      <c r="I268" s="332"/>
      <c r="J268" s="332"/>
      <c r="K268" s="332"/>
      <c r="L268" s="358"/>
      <c r="M268" s="332"/>
    </row>
    <row r="269" spans="1:13" hidden="1">
      <c r="A269" s="288" t="s">
        <v>783</v>
      </c>
      <c r="B269" s="332" t="s">
        <v>708</v>
      </c>
      <c r="C269" s="288">
        <v>2449</v>
      </c>
      <c r="D269" s="288">
        <v>2449</v>
      </c>
      <c r="E269" s="50" t="str">
        <f>VLOOKUP(D269,'[2]Data - CFR 2024-25'!$B$4:$E$127,4,0)</f>
        <v>30EP2449</v>
      </c>
      <c r="G269" s="361"/>
      <c r="I269" s="332"/>
      <c r="J269" s="332"/>
      <c r="K269" s="332"/>
      <c r="L269" s="358"/>
      <c r="M269" s="332"/>
    </row>
    <row r="270" spans="1:13" hidden="1">
      <c r="A270" s="288" t="s">
        <v>784</v>
      </c>
      <c r="B270" s="332" t="s">
        <v>708</v>
      </c>
      <c r="C270" s="288">
        <v>2107</v>
      </c>
      <c r="D270" s="288">
        <v>2107</v>
      </c>
      <c r="E270" s="50" t="str">
        <f>VLOOKUP(D270,'[2]Data - CFR 2024-25'!$B$4:$E$127,4,0)</f>
        <v>30EP2107</v>
      </c>
      <c r="G270" s="361"/>
      <c r="I270" s="332"/>
      <c r="J270" s="332"/>
      <c r="K270" s="332"/>
      <c r="L270" s="358"/>
      <c r="M270" s="332"/>
    </row>
    <row r="271" spans="1:13" hidden="1">
      <c r="A271" s="288" t="s">
        <v>785</v>
      </c>
      <c r="B271" s="332" t="s">
        <v>708</v>
      </c>
      <c r="C271" s="288">
        <v>2109</v>
      </c>
      <c r="D271" s="288">
        <v>2109</v>
      </c>
      <c r="E271" s="50" t="str">
        <f>VLOOKUP(D271,'[2]Data - CFR 2024-25'!$B$4:$E$127,4,0)</f>
        <v>30EP2109</v>
      </c>
      <c r="G271" s="361"/>
      <c r="I271" s="332"/>
      <c r="J271" s="332"/>
      <c r="K271" s="332"/>
      <c r="L271" s="358"/>
      <c r="M271" s="332"/>
    </row>
    <row r="272" spans="1:13" hidden="1">
      <c r="A272" s="288" t="s">
        <v>786</v>
      </c>
      <c r="B272" s="332" t="s">
        <v>708</v>
      </c>
      <c r="C272" s="288">
        <v>3390</v>
      </c>
      <c r="D272" s="288">
        <v>3390</v>
      </c>
      <c r="E272" s="50" t="str">
        <f>VLOOKUP(D272,'[2]Data - CFR 2024-25'!$B$4:$E$127,4,0)</f>
        <v>30EP3390</v>
      </c>
      <c r="I272" s="332"/>
      <c r="J272" s="332"/>
      <c r="K272" s="332"/>
      <c r="L272" s="358"/>
      <c r="M272" s="332"/>
    </row>
    <row r="273" spans="1:13" hidden="1">
      <c r="A273" s="290" t="s">
        <v>787</v>
      </c>
      <c r="B273" s="332" t="s">
        <v>708</v>
      </c>
      <c r="C273" s="290">
        <v>2031</v>
      </c>
      <c r="D273" s="290">
        <v>2031</v>
      </c>
      <c r="E273" s="50" t="str">
        <f>VLOOKUP(D273,'[2]Data - CFR 2024-25'!$B$4:$E$127,4,0)</f>
        <v>30EP2031</v>
      </c>
      <c r="I273" s="332"/>
      <c r="J273" s="332"/>
      <c r="K273" s="332"/>
      <c r="L273" s="358"/>
      <c r="M273" s="332"/>
    </row>
    <row r="274" spans="1:13" hidden="1">
      <c r="A274" s="288" t="s">
        <v>788</v>
      </c>
      <c r="B274" s="332" t="s">
        <v>708</v>
      </c>
      <c r="C274" s="288">
        <v>3350</v>
      </c>
      <c r="D274" s="288">
        <v>3350</v>
      </c>
      <c r="E274" s="50" t="str">
        <f>VLOOKUP(D274,'[2]Data - CFR 2024-25'!$B$4:$E$127,4,0)</f>
        <v>30EP3350</v>
      </c>
      <c r="I274" s="332"/>
      <c r="J274" s="332"/>
      <c r="K274" s="332"/>
      <c r="L274" s="358"/>
      <c r="M274" s="332"/>
    </row>
    <row r="275" spans="1:13" hidden="1">
      <c r="A275" s="288" t="s">
        <v>789</v>
      </c>
      <c r="B275" s="332" t="s">
        <v>708</v>
      </c>
      <c r="C275" s="288">
        <v>2033</v>
      </c>
      <c r="D275" s="288">
        <v>2033</v>
      </c>
      <c r="E275" s="50" t="str">
        <f>VLOOKUP(D275,'[2]Data - CFR 2024-25'!$B$4:$E$127,4,0)</f>
        <v>30EP2033</v>
      </c>
      <c r="I275" s="332"/>
      <c r="J275" s="332"/>
      <c r="K275" s="332"/>
      <c r="L275" s="358"/>
      <c r="M275" s="332"/>
    </row>
    <row r="276" spans="1:13" hidden="1">
      <c r="A276" s="288" t="s">
        <v>790</v>
      </c>
      <c r="B276" s="332" t="s">
        <v>708</v>
      </c>
      <c r="C276" s="288">
        <v>3331</v>
      </c>
      <c r="D276" s="288">
        <v>3331</v>
      </c>
      <c r="E276" s="50" t="str">
        <f>VLOOKUP(D276,'[2]Data - CFR 2024-25'!$B$4:$E$127,4,0)</f>
        <v>30EP3331</v>
      </c>
      <c r="I276" s="332"/>
      <c r="J276" s="332"/>
      <c r="K276" s="332"/>
      <c r="L276" s="358"/>
      <c r="M276" s="332"/>
    </row>
    <row r="277" spans="1:13" hidden="1">
      <c r="A277" s="288" t="s">
        <v>791</v>
      </c>
      <c r="B277" s="332" t="s">
        <v>708</v>
      </c>
      <c r="C277" s="288">
        <v>2239</v>
      </c>
      <c r="D277" s="288">
        <v>2239</v>
      </c>
      <c r="E277" s="50" t="str">
        <f>VLOOKUP(D277,'[2]Data - CFR 2024-25'!$B$4:$E$127,4,0)</f>
        <v>30EP2239</v>
      </c>
      <c r="I277" s="332"/>
      <c r="J277" s="332"/>
      <c r="K277" s="332"/>
      <c r="L277" s="358"/>
      <c r="M277" s="332"/>
    </row>
    <row r="278" spans="1:13" hidden="1">
      <c r="A278" s="288" t="s">
        <v>792</v>
      </c>
      <c r="B278" s="332" t="s">
        <v>708</v>
      </c>
      <c r="C278" s="288">
        <v>2219</v>
      </c>
      <c r="D278" s="288">
        <v>2219</v>
      </c>
      <c r="E278" s="50" t="str">
        <f>VLOOKUP(D278,'[2]Data - CFR 2024-25'!$B$4:$E$127,4,0)</f>
        <v>30EP2219</v>
      </c>
      <c r="I278" s="332"/>
      <c r="J278" s="332"/>
      <c r="K278" s="332"/>
      <c r="L278" s="358"/>
      <c r="M278" s="332"/>
    </row>
    <row r="279" spans="1:13" hidden="1">
      <c r="A279" s="288" t="s">
        <v>793</v>
      </c>
      <c r="B279" s="332" t="s">
        <v>708</v>
      </c>
      <c r="C279" s="288">
        <v>2333</v>
      </c>
      <c r="D279" s="288">
        <v>2333</v>
      </c>
      <c r="E279" s="50" t="str">
        <f>VLOOKUP(D279,'[2]Data - CFR 2024-25'!$B$4:$E$127,4,0)</f>
        <v>30EP2333</v>
      </c>
      <c r="I279" s="332"/>
      <c r="J279" s="332"/>
      <c r="K279" s="332"/>
      <c r="L279" s="358"/>
      <c r="M279" s="332"/>
    </row>
    <row r="280" spans="1:13" hidden="1">
      <c r="A280" s="288" t="s">
        <v>794</v>
      </c>
      <c r="B280" s="332" t="s">
        <v>708</v>
      </c>
      <c r="C280" s="288">
        <v>3946</v>
      </c>
      <c r="D280" s="288">
        <v>3946</v>
      </c>
      <c r="E280" s="50" t="str">
        <f>VLOOKUP(D280,'[2]Data - CFR 2024-25'!$B$4:$E$127,4,0)</f>
        <v>30EP3946</v>
      </c>
      <c r="I280" s="332"/>
      <c r="J280" s="332"/>
      <c r="K280" s="332"/>
      <c r="L280" s="358"/>
      <c r="M280" s="332"/>
    </row>
    <row r="281" spans="1:13" hidden="1">
      <c r="A281" s="288" t="s">
        <v>795</v>
      </c>
      <c r="B281" s="332" t="s">
        <v>708</v>
      </c>
      <c r="C281" s="288">
        <v>2453</v>
      </c>
      <c r="D281" s="288">
        <v>2453</v>
      </c>
      <c r="E281" s="50" t="str">
        <f>VLOOKUP(D281,'[2]Data - CFR 2024-25'!$B$4:$E$127,4,0)</f>
        <v>30EP2453</v>
      </c>
      <c r="I281" s="332"/>
      <c r="J281" s="332"/>
      <c r="K281" s="332"/>
      <c r="L281" s="358"/>
      <c r="M281" s="332"/>
    </row>
    <row r="282" spans="1:13" hidden="1">
      <c r="A282" s="288" t="s">
        <v>796</v>
      </c>
      <c r="B282" s="332" t="s">
        <v>708</v>
      </c>
      <c r="C282" s="288">
        <v>2070</v>
      </c>
      <c r="D282" s="288">
        <v>2070</v>
      </c>
      <c r="E282" s="50" t="str">
        <f>VLOOKUP(D282,'[2]Data - CFR 2024-25'!$B$4:$E$127,4,0)</f>
        <v>30EP2070</v>
      </c>
      <c r="I282" s="332"/>
      <c r="J282" s="332"/>
      <c r="K282" s="332"/>
      <c r="L282" s="358"/>
      <c r="M282" s="332"/>
    </row>
    <row r="283" spans="1:13" hidden="1">
      <c r="A283" s="288" t="s">
        <v>797</v>
      </c>
      <c r="B283" s="332" t="s">
        <v>730</v>
      </c>
      <c r="C283" s="288">
        <v>7023</v>
      </c>
      <c r="D283" s="288">
        <v>7023</v>
      </c>
      <c r="E283" s="50" t="str">
        <f>VLOOKUP(D283,'[2]Data - CFR 2024-25'!$B$4:$E$127,4,0)</f>
        <v>30ES7023</v>
      </c>
      <c r="I283" s="332"/>
      <c r="J283" s="332"/>
      <c r="K283" s="332"/>
      <c r="L283" s="358"/>
      <c r="M283" s="332"/>
    </row>
    <row r="284" spans="1:13" hidden="1">
      <c r="A284" s="288" t="s">
        <v>798</v>
      </c>
      <c r="B284" s="332" t="s">
        <v>708</v>
      </c>
      <c r="C284" s="288">
        <v>2255</v>
      </c>
      <c r="D284" s="288">
        <v>2255</v>
      </c>
      <c r="E284" s="50" t="str">
        <f>VLOOKUP(D284,'[2]Data - CFR 2024-25'!$B$4:$E$127,4,0)</f>
        <v>30EP2255</v>
      </c>
      <c r="I284" s="332"/>
      <c r="J284" s="332"/>
      <c r="K284" s="332"/>
      <c r="L284" s="358"/>
      <c r="M284" s="332"/>
    </row>
    <row r="285" spans="1:13" hidden="1">
      <c r="A285" s="288" t="s">
        <v>799</v>
      </c>
      <c r="B285" s="332" t="s">
        <v>708</v>
      </c>
      <c r="C285" s="288">
        <v>2115</v>
      </c>
      <c r="D285" s="288">
        <v>2115</v>
      </c>
      <c r="E285" s="50" t="str">
        <f>VLOOKUP(D285,'[2]Data - CFR 2024-25'!$B$4:$E$127,4,0)</f>
        <v>30EP2115</v>
      </c>
      <c r="I285" s="332"/>
      <c r="J285" s="332"/>
      <c r="K285" s="332"/>
      <c r="L285" s="358"/>
      <c r="M285" s="332"/>
    </row>
    <row r="286" spans="1:13" hidden="1">
      <c r="A286" s="288" t="s">
        <v>800</v>
      </c>
      <c r="B286" s="332" t="s">
        <v>708</v>
      </c>
      <c r="C286" s="288">
        <v>2329</v>
      </c>
      <c r="D286" s="288">
        <v>2329</v>
      </c>
      <c r="E286" s="50" t="str">
        <f>VLOOKUP(D286,'[2]Data - CFR 2024-25'!$B$4:$E$127,4,0)</f>
        <v>30EP2329</v>
      </c>
      <c r="I286" s="332"/>
      <c r="J286" s="332"/>
      <c r="K286" s="332"/>
      <c r="L286" s="358"/>
      <c r="M286" s="332"/>
    </row>
    <row r="287" spans="1:13" hidden="1">
      <c r="A287" s="288" t="s">
        <v>801</v>
      </c>
      <c r="B287" s="332" t="s">
        <v>708</v>
      </c>
      <c r="C287" s="288">
        <v>3384</v>
      </c>
      <c r="D287" s="288">
        <v>3384</v>
      </c>
      <c r="E287" s="50" t="str">
        <f>VLOOKUP(D287,'[2]Data - CFR 2024-25'!$B$4:$E$127,4,0)</f>
        <v>30EP3384</v>
      </c>
      <c r="I287" s="332"/>
      <c r="J287" s="332"/>
      <c r="K287" s="332"/>
      <c r="L287" s="358"/>
      <c r="M287" s="332"/>
    </row>
    <row r="288" spans="1:13" hidden="1">
      <c r="A288" s="288" t="s">
        <v>802</v>
      </c>
      <c r="B288" s="332" t="s">
        <v>803</v>
      </c>
      <c r="C288" s="288">
        <v>5200</v>
      </c>
      <c r="D288" s="288">
        <v>5200</v>
      </c>
      <c r="E288" s="50" t="str">
        <f>VLOOKUP(D288,'[2]Data - CFR 2024-25'!$B$4:$E$127,4,0)</f>
        <v>30ES5200</v>
      </c>
      <c r="I288" s="332"/>
      <c r="J288" s="332"/>
      <c r="K288" s="332"/>
      <c r="L288" s="358"/>
      <c r="M288" s="332"/>
    </row>
    <row r="289" spans="1:13" hidden="1">
      <c r="A289" s="288" t="s">
        <v>804</v>
      </c>
      <c r="B289" s="332" t="s">
        <v>708</v>
      </c>
      <c r="C289" s="288">
        <v>2317</v>
      </c>
      <c r="D289" s="288">
        <v>2317</v>
      </c>
      <c r="E289" s="50" t="str">
        <f>VLOOKUP(D289,'[2]Data - CFR 2024-25'!$B$4:$E$127,4,0)</f>
        <v>30EP2317</v>
      </c>
      <c r="I289" s="332"/>
      <c r="J289" s="332"/>
      <c r="K289" s="332"/>
      <c r="L289" s="358"/>
      <c r="M289" s="332"/>
    </row>
    <row r="290" spans="1:13" hidden="1">
      <c r="A290" s="288" t="s">
        <v>805</v>
      </c>
      <c r="B290" s="332" t="s">
        <v>708</v>
      </c>
      <c r="C290" s="288">
        <v>3356</v>
      </c>
      <c r="D290" s="288">
        <v>3356</v>
      </c>
      <c r="E290" s="50" t="str">
        <f>VLOOKUP(D290,'[2]Data - CFR 2024-25'!$B$4:$E$127,4,0)</f>
        <v>30EP3356</v>
      </c>
      <c r="I290" s="332"/>
      <c r="J290" s="332"/>
      <c r="K290" s="332"/>
      <c r="L290" s="358"/>
      <c r="M290" s="332"/>
    </row>
    <row r="291" spans="1:13" hidden="1">
      <c r="A291" s="288" t="s">
        <v>806</v>
      </c>
      <c r="B291" s="332" t="s">
        <v>708</v>
      </c>
      <c r="C291" s="288">
        <v>3358</v>
      </c>
      <c r="D291" s="288">
        <v>3358</v>
      </c>
      <c r="E291" s="50" t="str">
        <f>VLOOKUP(D291,'[2]Data - CFR 2024-25'!$B$4:$E$127,4,0)</f>
        <v>30EP3358</v>
      </c>
      <c r="I291" s="332"/>
      <c r="J291" s="332"/>
      <c r="K291" s="332"/>
      <c r="L291" s="358"/>
      <c r="M291" s="332"/>
    </row>
    <row r="292" spans="1:13" hidden="1">
      <c r="A292" s="288" t="s">
        <v>807</v>
      </c>
      <c r="B292" s="332" t="s">
        <v>708</v>
      </c>
      <c r="C292" s="288">
        <v>3029</v>
      </c>
      <c r="D292" s="288">
        <v>3029</v>
      </c>
      <c r="E292" s="50" t="str">
        <f>VLOOKUP(D292,'[2]Data - CFR 2024-25'!$B$4:$E$127,4,0)</f>
        <v>30EP3029</v>
      </c>
      <c r="I292" s="332"/>
      <c r="J292" s="332"/>
      <c r="K292" s="332"/>
      <c r="L292" s="358"/>
      <c r="M292" s="332"/>
    </row>
    <row r="293" spans="1:13" hidden="1">
      <c r="A293" s="288" t="s">
        <v>808</v>
      </c>
      <c r="B293" s="332" t="s">
        <v>708</v>
      </c>
      <c r="C293" s="288">
        <v>2084</v>
      </c>
      <c r="D293" s="288">
        <v>2084</v>
      </c>
      <c r="E293" s="50" t="str">
        <f>VLOOKUP(D293,'[2]Data - CFR 2024-25'!$B$4:$E$127,4,0)</f>
        <v>30EP2084</v>
      </c>
      <c r="I293" s="332"/>
      <c r="J293" s="332"/>
      <c r="K293" s="332"/>
      <c r="L293" s="358"/>
      <c r="M293" s="332"/>
    </row>
    <row r="294" spans="1:13" hidden="1">
      <c r="A294" s="288" t="s">
        <v>809</v>
      </c>
      <c r="B294" s="332" t="s">
        <v>708</v>
      </c>
      <c r="C294" s="288">
        <v>2443</v>
      </c>
      <c r="D294" s="288">
        <v>2443</v>
      </c>
      <c r="E294" s="50" t="str">
        <f>VLOOKUP(D294,'[2]Data - CFR 2024-25'!$B$4:$E$127,4,0)</f>
        <v>30EP2443</v>
      </c>
      <c r="I294" s="332"/>
      <c r="J294" s="332"/>
      <c r="K294" s="332"/>
      <c r="L294" s="358"/>
      <c r="M294" s="332"/>
    </row>
    <row r="295" spans="1:13" hidden="1">
      <c r="A295" s="288" t="s">
        <v>810</v>
      </c>
      <c r="B295" s="332" t="s">
        <v>708</v>
      </c>
      <c r="C295" s="288">
        <v>3052</v>
      </c>
      <c r="D295" s="288">
        <v>3052</v>
      </c>
      <c r="E295" s="50" t="str">
        <f>VLOOKUP(D295,'[2]Data - CFR 2024-25'!$B$4:$E$127,4,0)</f>
        <v>30EP3052</v>
      </c>
      <c r="I295" s="332"/>
      <c r="J295" s="332"/>
      <c r="K295" s="332"/>
      <c r="L295" s="358"/>
      <c r="M295" s="332"/>
    </row>
    <row r="296" spans="1:13" hidden="1">
      <c r="A296" s="288" t="s">
        <v>811</v>
      </c>
      <c r="B296" s="332" t="s">
        <v>708</v>
      </c>
      <c r="C296" s="288">
        <v>2046</v>
      </c>
      <c r="D296" s="288">
        <v>2046</v>
      </c>
      <c r="E296" s="50" t="str">
        <f>VLOOKUP(D296,'[2]Data - CFR 2024-25'!$B$4:$E$127,4,0)</f>
        <v>30EP2046</v>
      </c>
      <c r="I296" s="332"/>
      <c r="J296" s="332"/>
      <c r="K296" s="332"/>
      <c r="L296" s="358"/>
      <c r="M296" s="332"/>
    </row>
    <row r="297" spans="1:13" hidden="1">
      <c r="A297" s="288" t="s">
        <v>812</v>
      </c>
      <c r="B297" s="332" t="s">
        <v>708</v>
      </c>
      <c r="C297" s="288">
        <v>3325</v>
      </c>
      <c r="D297" s="288">
        <v>3325</v>
      </c>
      <c r="E297" s="50" t="str">
        <f>VLOOKUP(D297,'[2]Data - CFR 2024-25'!$B$4:$E$127,4,0)</f>
        <v>30EP3325</v>
      </c>
      <c r="I297" s="332"/>
      <c r="J297" s="332"/>
      <c r="K297" s="332"/>
      <c r="L297" s="358"/>
      <c r="M297" s="332"/>
    </row>
    <row r="298" spans="1:13" hidden="1">
      <c r="A298" s="288" t="s">
        <v>813</v>
      </c>
      <c r="B298" s="332" t="s">
        <v>724</v>
      </c>
      <c r="C298" s="288">
        <v>1001</v>
      </c>
      <c r="D298" s="288">
        <v>1001</v>
      </c>
      <c r="E298" s="50" t="str">
        <f>VLOOKUP(D298,'[2]Data - CFR 2024-25'!$B$4:$E$127,4,0)</f>
        <v>30EN1001</v>
      </c>
      <c r="I298" s="332"/>
      <c r="J298" s="332"/>
      <c r="K298" s="332"/>
      <c r="L298" s="358"/>
      <c r="M298" s="332"/>
    </row>
    <row r="299" spans="1:13" hidden="1">
      <c r="A299" s="288" t="s">
        <v>814</v>
      </c>
      <c r="B299" s="332" t="s">
        <v>708</v>
      </c>
      <c r="C299" s="288">
        <v>2123</v>
      </c>
      <c r="D299" s="288">
        <v>2123</v>
      </c>
      <c r="E299" s="50" t="str">
        <f>VLOOKUP(D299,'[2]Data - CFR 2024-25'!$B$4:$E$127,4,0)</f>
        <v>30EP2123</v>
      </c>
      <c r="I299" s="332"/>
      <c r="J299" s="332"/>
      <c r="K299" s="332"/>
      <c r="L299" s="358"/>
      <c r="M299" s="332"/>
    </row>
    <row r="300" spans="1:13" hidden="1">
      <c r="A300" s="288" t="s">
        <v>815</v>
      </c>
      <c r="B300" s="332" t="s">
        <v>708</v>
      </c>
      <c r="C300" s="288">
        <v>2260</v>
      </c>
      <c r="D300" s="288">
        <v>2260</v>
      </c>
      <c r="E300" s="50" t="str">
        <f>VLOOKUP(D300,'[2]Data - CFR 2024-25'!$B$4:$E$127,4,0)</f>
        <v>30EP2260</v>
      </c>
      <c r="I300" s="332"/>
      <c r="J300" s="332"/>
      <c r="K300" s="332"/>
      <c r="L300" s="358"/>
      <c r="M300" s="332"/>
    </row>
    <row r="301" spans="1:13" hidden="1">
      <c r="A301" s="288" t="s">
        <v>816</v>
      </c>
      <c r="B301" s="332" t="s">
        <v>708</v>
      </c>
      <c r="C301" s="288">
        <v>3058</v>
      </c>
      <c r="D301" s="288">
        <v>3058</v>
      </c>
      <c r="E301" s="50" t="str">
        <f>VLOOKUP(D301,'[2]Data - CFR 2024-25'!$B$4:$E$127,4,0)</f>
        <v>30EP3058</v>
      </c>
      <c r="I301" s="332"/>
      <c r="J301" s="332"/>
      <c r="K301" s="332"/>
      <c r="L301" s="358"/>
      <c r="M301" s="332"/>
    </row>
    <row r="302" spans="1:13" hidden="1">
      <c r="A302" s="288" t="s">
        <v>817</v>
      </c>
      <c r="B302" s="332" t="s">
        <v>708</v>
      </c>
      <c r="C302" s="288">
        <v>2335</v>
      </c>
      <c r="D302" s="288">
        <v>2335</v>
      </c>
      <c r="E302" s="50" t="str">
        <f>VLOOKUP(D302,'[2]Data - CFR 2024-25'!$B$4:$E$127,4,0)</f>
        <v>30EP2335</v>
      </c>
      <c r="I302" s="332"/>
      <c r="J302" s="332"/>
      <c r="K302" s="332"/>
      <c r="L302" s="358"/>
      <c r="M302" s="332"/>
    </row>
    <row r="303" spans="1:13" hidden="1">
      <c r="A303" s="288" t="s">
        <v>818</v>
      </c>
      <c r="B303" s="332" t="s">
        <v>708</v>
      </c>
      <c r="C303" s="288">
        <v>3389</v>
      </c>
      <c r="D303" s="288">
        <v>3389</v>
      </c>
      <c r="E303" s="50" t="str">
        <f>VLOOKUP(D303,'[2]Data - CFR 2024-25'!$B$4:$E$127,4,0)</f>
        <v>30EP3389</v>
      </c>
      <c r="I303" s="332"/>
      <c r="J303" s="332"/>
      <c r="K303" s="332"/>
      <c r="L303" s="358"/>
      <c r="M303" s="332"/>
    </row>
    <row r="304" spans="1:13" hidden="1">
      <c r="A304" s="290" t="s">
        <v>819</v>
      </c>
      <c r="B304" s="332" t="s">
        <v>708</v>
      </c>
      <c r="C304" s="290">
        <v>2001</v>
      </c>
      <c r="D304" s="290">
        <v>2001</v>
      </c>
      <c r="E304" s="50" t="str">
        <f>VLOOKUP(D304,'[2]Data - CFR 2024-25'!$B$4:$E$127,4,0)</f>
        <v>30EP2001</v>
      </c>
      <c r="I304" s="332"/>
      <c r="J304" s="332"/>
      <c r="K304" s="332"/>
      <c r="L304" s="358"/>
      <c r="M304" s="332"/>
    </row>
    <row r="305" spans="1:13" hidden="1">
      <c r="A305" s="288" t="s">
        <v>820</v>
      </c>
      <c r="B305" s="332" t="s">
        <v>708</v>
      </c>
      <c r="C305" s="288">
        <v>2064</v>
      </c>
      <c r="D305" s="288">
        <v>2064</v>
      </c>
      <c r="E305" s="50" t="str">
        <f>VLOOKUP(D305,'[2]Data - CFR 2024-25'!$B$4:$E$127,4,0)</f>
        <v>30EP2064</v>
      </c>
      <c r="I305" s="332"/>
      <c r="J305" s="332"/>
      <c r="K305" s="332"/>
      <c r="L305" s="358"/>
      <c r="M305" s="332"/>
    </row>
    <row r="306" spans="1:13" hidden="1">
      <c r="A306" s="290" t="s">
        <v>821</v>
      </c>
      <c r="B306" s="332" t="s">
        <v>708</v>
      </c>
      <c r="C306" s="290">
        <v>2000</v>
      </c>
      <c r="D306" s="290">
        <v>2000</v>
      </c>
      <c r="E306" s="50">
        <f>VLOOKUP(D306,'[2]Data - CFR 2024-25'!$B$4:$E$127,4,0)</f>
        <v>0</v>
      </c>
      <c r="I306" s="332"/>
      <c r="J306" s="332"/>
      <c r="K306" s="332"/>
      <c r="L306" s="358"/>
      <c r="M306" s="332"/>
    </row>
    <row r="307" spans="1:13" hidden="1">
      <c r="A307" s="288" t="s">
        <v>822</v>
      </c>
      <c r="B307" s="332" t="s">
        <v>708</v>
      </c>
      <c r="C307" s="288">
        <v>2048</v>
      </c>
      <c r="D307" s="288">
        <v>2048</v>
      </c>
      <c r="E307" s="50" t="str">
        <f>VLOOKUP(D307,'[2]Data - CFR 2024-25'!$B$4:$E$127,4,0)</f>
        <v>30EP2048</v>
      </c>
      <c r="I307" s="332"/>
      <c r="J307" s="332"/>
      <c r="K307" s="332"/>
      <c r="L307" s="358"/>
      <c r="M307" s="332"/>
    </row>
    <row r="308" spans="1:13" hidden="1">
      <c r="A308" s="288" t="s">
        <v>823</v>
      </c>
      <c r="B308" s="332" t="s">
        <v>708</v>
      </c>
      <c r="C308" s="288">
        <v>2232</v>
      </c>
      <c r="D308" s="288">
        <v>2232</v>
      </c>
      <c r="E308" s="50" t="str">
        <f>VLOOKUP(D308,'[2]Data - CFR 2024-25'!$B$4:$E$127,4,0)</f>
        <v>30EP2232</v>
      </c>
      <c r="I308" s="332"/>
      <c r="J308" s="332"/>
      <c r="K308" s="332"/>
      <c r="L308" s="358"/>
      <c r="M308" s="332"/>
    </row>
    <row r="309" spans="1:13" hidden="1">
      <c r="A309" s="290" t="s">
        <v>824</v>
      </c>
      <c r="B309" s="332" t="s">
        <v>708</v>
      </c>
      <c r="C309" s="290">
        <v>3392</v>
      </c>
      <c r="D309" s="290">
        <v>3392</v>
      </c>
      <c r="E309" s="50" t="str">
        <f>VLOOKUP(D309,'[2]Data - CFR 2024-25'!$B$4:$E$127,4,0)</f>
        <v>30EP3392</v>
      </c>
      <c r="I309" s="332"/>
      <c r="J309" s="332"/>
      <c r="K309" s="332"/>
      <c r="L309" s="358"/>
      <c r="M309" s="332"/>
    </row>
    <row r="310" spans="1:13" hidden="1">
      <c r="A310" s="288" t="s">
        <v>825</v>
      </c>
      <c r="B310" s="332" t="s">
        <v>708</v>
      </c>
      <c r="C310" s="288">
        <v>3054</v>
      </c>
      <c r="D310" s="288">
        <v>3054</v>
      </c>
      <c r="E310" s="50" t="str">
        <f>VLOOKUP(D310,'[2]Data - CFR 2024-25'!$B$4:$E$127,4,0)</f>
        <v>30EP3054</v>
      </c>
      <c r="I310" s="332"/>
      <c r="J310" s="332"/>
      <c r="K310" s="332"/>
      <c r="L310" s="358"/>
      <c r="M310" s="332"/>
    </row>
    <row r="311" spans="1:13" hidden="1">
      <c r="A311" s="288" t="s">
        <v>826</v>
      </c>
      <c r="B311" s="332" t="s">
        <v>708</v>
      </c>
      <c r="C311" s="288">
        <v>3032</v>
      </c>
      <c r="D311" s="288">
        <v>3032</v>
      </c>
      <c r="E311" s="50" t="str">
        <f>VLOOKUP(D311,'[2]Data - CFR 2024-25'!$B$4:$E$127,4,0)</f>
        <v>30EP3032</v>
      </c>
      <c r="I311" s="332"/>
      <c r="J311" s="332"/>
      <c r="K311" s="332"/>
      <c r="L311" s="358"/>
      <c r="M311" s="332"/>
    </row>
    <row r="312" spans="1:13" hidden="1">
      <c r="A312" s="288" t="s">
        <v>827</v>
      </c>
      <c r="B312" s="332" t="s">
        <v>708</v>
      </c>
      <c r="C312" s="288">
        <v>2054</v>
      </c>
      <c r="D312" s="288">
        <v>2054</v>
      </c>
      <c r="E312" s="50" t="str">
        <f>VLOOKUP(D312,'[2]Data - CFR 2024-25'!$B$4:$E$127,4,0)</f>
        <v>30EP2054</v>
      </c>
      <c r="I312" s="332"/>
      <c r="J312" s="332"/>
      <c r="K312" s="332"/>
      <c r="L312" s="358"/>
      <c r="M312" s="332"/>
    </row>
    <row r="313" spans="1:13" hidden="1">
      <c r="A313" s="288" t="s">
        <v>828</v>
      </c>
      <c r="B313" s="332" t="s">
        <v>708</v>
      </c>
      <c r="C313" s="288">
        <v>2240</v>
      </c>
      <c r="D313" s="288">
        <v>2240</v>
      </c>
      <c r="E313" s="50" t="str">
        <f>VLOOKUP(D313,'[2]Data - CFR 2024-25'!$B$4:$E$127,4,0)</f>
        <v>30EP2240</v>
      </c>
      <c r="I313" s="332"/>
      <c r="J313" s="332"/>
      <c r="K313" s="332"/>
      <c r="L313" s="358"/>
      <c r="M313" s="332"/>
    </row>
    <row r="314" spans="1:13" hidden="1">
      <c r="A314" s="288" t="s">
        <v>829</v>
      </c>
      <c r="B314" s="332" t="s">
        <v>708</v>
      </c>
      <c r="C314" s="288">
        <v>2254</v>
      </c>
      <c r="D314" s="288">
        <v>2254</v>
      </c>
      <c r="E314" s="50" t="str">
        <f>VLOOKUP(D314,'[2]Data - CFR 2024-25'!$B$4:$E$127,4,0)</f>
        <v>30EP2254</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mergeCells count="12">
    <mergeCell ref="C14:M14"/>
    <mergeCell ref="C38:M38"/>
    <mergeCell ref="A84:O84"/>
    <mergeCell ref="C86:M86"/>
    <mergeCell ref="A120:O120"/>
    <mergeCell ref="C122:M122"/>
    <mergeCell ref="A1:O1"/>
    <mergeCell ref="D3:H3"/>
    <mergeCell ref="K3:N3"/>
    <mergeCell ref="D4:H4"/>
    <mergeCell ref="D5:H5"/>
    <mergeCell ref="A12:O12"/>
  </mergeCells>
  <conditionalFormatting sqref="C8:C10">
    <cfRule type="cellIs" dxfId="4" priority="1" stopIfTrue="1" operator="equal">
      <formula>0</formula>
    </cfRule>
  </conditionalFormatting>
  <conditionalFormatting sqref="K80 K103 K109">
    <cfRule type="cellIs" dxfId="3" priority="2" stopIfTrue="1" operator="lessThan">
      <formula>0</formula>
    </cfRule>
  </conditionalFormatting>
  <dataValidations count="1">
    <dataValidation type="list" allowBlank="1" showInputMessage="1" showErrorMessage="1" sqref="O3" xr:uid="{AFC4AD4B-ABCC-40DB-9BAF-3353E570A8FB}">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BB0-6E23-4096-A76A-24AA8F814426}">
  <sheetPr codeName="Sheet16">
    <pageSetUpPr fitToPage="1"/>
  </sheetPr>
  <dimension ref="A1:A28"/>
  <sheetViews>
    <sheetView workbookViewId="0">
      <selection activeCell="A24" sqref="A24"/>
    </sheetView>
  </sheetViews>
  <sheetFormatPr defaultColWidth="8.77734375" defaultRowHeight="14.4"/>
  <cols>
    <col min="1" max="1" width="152.44140625" style="425" customWidth="1"/>
    <col min="2" max="9" width="8.77734375" style="425"/>
    <col min="10" max="10" width="26.44140625" style="425" customWidth="1"/>
    <col min="11" max="16384" width="8.77734375" style="425"/>
  </cols>
  <sheetData>
    <row r="1" spans="1:1">
      <c r="A1" s="424" t="s">
        <v>1453</v>
      </c>
    </row>
    <row r="2" spans="1:1" ht="28.8">
      <c r="A2" s="426" t="s">
        <v>1454</v>
      </c>
    </row>
    <row r="3" spans="1:1">
      <c r="A3" s="425" t="s">
        <v>1455</v>
      </c>
    </row>
    <row r="4" spans="1:1">
      <c r="A4" s="425" t="s">
        <v>1456</v>
      </c>
    </row>
    <row r="5" spans="1:1" ht="28.8">
      <c r="A5" s="427" t="s">
        <v>1457</v>
      </c>
    </row>
    <row r="6" spans="1:1" ht="43.2">
      <c r="A6" s="428" t="s">
        <v>1458</v>
      </c>
    </row>
    <row r="7" spans="1:1">
      <c r="A7" s="425" t="s">
        <v>1459</v>
      </c>
    </row>
    <row r="9" spans="1:1">
      <c r="A9" s="429" t="s">
        <v>1460</v>
      </c>
    </row>
    <row r="10" spans="1:1">
      <c r="A10" s="429" t="s">
        <v>1461</v>
      </c>
    </row>
    <row r="11" spans="1:1">
      <c r="A11" s="429" t="s">
        <v>1462</v>
      </c>
    </row>
    <row r="12" spans="1:1">
      <c r="A12" s="429" t="s">
        <v>1463</v>
      </c>
    </row>
    <row r="13" spans="1:1">
      <c r="A13" s="429" t="s">
        <v>1464</v>
      </c>
    </row>
    <row r="14" spans="1:1">
      <c r="A14" s="429" t="s">
        <v>1465</v>
      </c>
    </row>
    <row r="15" spans="1:1">
      <c r="A15" s="429" t="s">
        <v>1466</v>
      </c>
    </row>
    <row r="16" spans="1:1">
      <c r="A16" s="429" t="s">
        <v>1467</v>
      </c>
    </row>
    <row r="17" spans="1:1" ht="57.6">
      <c r="A17" s="432" t="s">
        <v>1478</v>
      </c>
    </row>
    <row r="18" spans="1:1">
      <c r="A18" s="429" t="s">
        <v>1468</v>
      </c>
    </row>
    <row r="19" spans="1:1">
      <c r="A19" s="429" t="s">
        <v>1469</v>
      </c>
    </row>
    <row r="21" spans="1:1">
      <c r="A21" s="425" t="s">
        <v>1470</v>
      </c>
    </row>
    <row r="22" spans="1:1">
      <c r="A22" s="425" t="s">
        <v>1471</v>
      </c>
    </row>
    <row r="23" spans="1:1">
      <c r="A23" s="430" t="s">
        <v>1472</v>
      </c>
    </row>
    <row r="24" spans="1:1">
      <c r="A24" s="430" t="s">
        <v>1473</v>
      </c>
    </row>
    <row r="25" spans="1:1" ht="28.8">
      <c r="A25" s="431" t="s">
        <v>1474</v>
      </c>
    </row>
    <row r="26" spans="1:1">
      <c r="A26" s="430" t="s">
        <v>1475</v>
      </c>
    </row>
    <row r="28" spans="1:1">
      <c r="A28" s="429" t="s">
        <v>1476</v>
      </c>
    </row>
  </sheetData>
  <pageMargins left="0.7" right="0.7" top="0.75" bottom="0.75" header="0.3" footer="0.3"/>
  <pageSetup paperSize="9" scale="9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9"/>
  </sheetPr>
  <dimension ref="A1:I137"/>
  <sheetViews>
    <sheetView showGridLines="0" topLeftCell="A5" zoomScale="115" zoomScaleNormal="115" workbookViewId="0">
      <selection activeCell="A66" sqref="A66:E67"/>
    </sheetView>
  </sheetViews>
  <sheetFormatPr defaultColWidth="9.21875" defaultRowHeight="13.2"/>
  <cols>
    <col min="1" max="1" width="13.77734375" style="14" customWidth="1"/>
    <col min="2" max="2" width="36.5546875" style="14" customWidth="1"/>
    <col min="3" max="3" width="13.77734375" style="14" customWidth="1"/>
    <col min="4" max="4" width="14.77734375" style="14" customWidth="1"/>
    <col min="5" max="5" width="25.77734375" style="14" customWidth="1"/>
    <col min="6" max="8" width="12.77734375" style="14" customWidth="1"/>
    <col min="9" max="9" width="3.5546875" style="14" customWidth="1"/>
    <col min="10" max="16384" width="9.21875" style="14"/>
  </cols>
  <sheetData>
    <row r="1" spans="1:9" ht="8.25" hidden="1" customHeight="1">
      <c r="A1" s="518"/>
      <c r="B1" s="518"/>
      <c r="C1" s="518"/>
      <c r="D1" s="518"/>
      <c r="E1" s="518"/>
      <c r="F1" s="518"/>
      <c r="G1" s="518"/>
      <c r="H1" s="518"/>
    </row>
    <row r="2" spans="1:9" ht="20.25" hidden="1" customHeight="1">
      <c r="A2" s="519" t="s">
        <v>404</v>
      </c>
      <c r="B2" s="519"/>
      <c r="C2" s="519"/>
      <c r="D2" s="519"/>
      <c r="E2" s="519"/>
      <c r="F2" s="519"/>
      <c r="G2" s="519"/>
      <c r="H2" s="519"/>
    </row>
    <row r="3" spans="1:9" ht="8.25" hidden="1" customHeight="1"/>
    <row r="4" spans="1:9" ht="56.25" hidden="1" customHeight="1">
      <c r="A4" s="524" t="s">
        <v>405</v>
      </c>
      <c r="B4" s="524"/>
      <c r="C4" s="524"/>
      <c r="D4" s="524"/>
      <c r="E4" s="524"/>
      <c r="F4" s="524"/>
      <c r="G4" s="524"/>
      <c r="H4" s="524"/>
      <c r="I4" s="15"/>
    </row>
    <row r="5" spans="1:9" ht="21">
      <c r="A5" s="95"/>
      <c r="B5" s="95"/>
      <c r="C5" s="95"/>
      <c r="D5" s="95"/>
      <c r="E5" s="95"/>
      <c r="F5" s="95"/>
      <c r="G5" s="95"/>
      <c r="H5" s="95"/>
      <c r="I5" s="15"/>
    </row>
    <row r="6" spans="1:9" s="369" customFormat="1" ht="17.399999999999999">
      <c r="A6" s="368" t="s">
        <v>406</v>
      </c>
      <c r="B6" s="434" t="str">
        <f>'b) Template'!B3</f>
        <v>Please Click on Arrow to Choose School</v>
      </c>
      <c r="G6" s="370" t="s">
        <v>407</v>
      </c>
      <c r="H6" s="371">
        <f>'b) Template'!I3</f>
        <v>0</v>
      </c>
    </row>
    <row r="8" spans="1:9" ht="28.5" customHeight="1">
      <c r="A8" s="243" t="s">
        <v>408</v>
      </c>
      <c r="B8" s="244"/>
      <c r="C8" s="244"/>
      <c r="D8" s="374" t="s">
        <v>409</v>
      </c>
      <c r="E8" s="435">
        <f>'b) Template'!O2</f>
        <v>45565</v>
      </c>
      <c r="F8" s="182"/>
      <c r="G8" s="182"/>
      <c r="H8" s="182"/>
      <c r="I8" s="15"/>
    </row>
    <row r="9" spans="1:9" hidden="1"/>
    <row r="10" spans="1:9" s="17" customFormat="1" hidden="1">
      <c r="A10" s="8"/>
      <c r="B10" s="8"/>
      <c r="C10" s="8"/>
      <c r="D10" s="8"/>
    </row>
    <row r="11" spans="1:9" s="17" customFormat="1" ht="13.8" hidden="1">
      <c r="A11" s="107" t="s">
        <v>410</v>
      </c>
      <c r="B11" s="2"/>
      <c r="C11" s="2"/>
      <c r="D11" s="8"/>
      <c r="E11" s="525" t="s">
        <v>411</v>
      </c>
    </row>
    <row r="12" spans="1:9" s="17" customFormat="1" ht="13.8" hidden="1">
      <c r="A12" s="78" t="s">
        <v>412</v>
      </c>
      <c r="B12" s="2"/>
      <c r="C12" s="2"/>
      <c r="D12" s="8"/>
      <c r="E12" s="526"/>
    </row>
    <row r="13" spans="1:9" s="17" customFormat="1" ht="13.8" hidden="1">
      <c r="A13" s="2"/>
      <c r="B13" s="2"/>
      <c r="C13" s="2"/>
      <c r="D13" s="8"/>
    </row>
    <row r="14" spans="1:9" s="17" customFormat="1" ht="15.6" hidden="1">
      <c r="A14" s="107" t="s">
        <v>413</v>
      </c>
      <c r="B14" s="2"/>
      <c r="C14" s="2"/>
      <c r="D14" s="8"/>
      <c r="E14" s="525" t="s">
        <v>411</v>
      </c>
      <c r="F14" s="522" t="str">
        <f>IF(E14="1 YEAR","3 year return required by 30th June 2013","")</f>
        <v/>
      </c>
      <c r="G14" s="523"/>
      <c r="H14" s="523"/>
    </row>
    <row r="15" spans="1:9" s="17" customFormat="1" ht="13.8" hidden="1">
      <c r="A15" s="78" t="s">
        <v>412</v>
      </c>
      <c r="B15" s="2"/>
      <c r="C15" s="2"/>
      <c r="D15" s="8"/>
      <c r="E15" s="526"/>
    </row>
    <row r="16" spans="1:9" s="17" customFormat="1" hidden="1">
      <c r="A16" s="8"/>
      <c r="B16" s="8"/>
      <c r="C16" s="8"/>
      <c r="D16" s="8"/>
    </row>
    <row r="17" spans="1:8" s="17" customFormat="1" hidden="1">
      <c r="A17" s="8"/>
      <c r="B17" s="8"/>
      <c r="C17" s="8"/>
      <c r="D17" s="8"/>
    </row>
    <row r="18" spans="1:8" s="17" customFormat="1" ht="13.8" hidden="1">
      <c r="A18" s="106" t="s">
        <v>414</v>
      </c>
      <c r="B18" s="8"/>
      <c r="C18" s="8"/>
      <c r="D18" s="8"/>
    </row>
    <row r="19" spans="1:8" s="17" customFormat="1" hidden="1">
      <c r="A19" s="8"/>
      <c r="B19" s="8"/>
      <c r="C19" s="8"/>
      <c r="D19" s="8"/>
    </row>
    <row r="20" spans="1:8" s="17" customFormat="1" ht="13.8" hidden="1">
      <c r="A20" s="107" t="s">
        <v>415</v>
      </c>
      <c r="B20" s="8"/>
      <c r="C20" s="8"/>
      <c r="D20" s="8"/>
      <c r="E20" s="525" t="s">
        <v>411</v>
      </c>
    </row>
    <row r="21" spans="1:8" s="17" customFormat="1" ht="12.75" hidden="1" customHeight="1">
      <c r="A21" s="10"/>
      <c r="B21" s="8"/>
      <c r="C21" s="8"/>
      <c r="D21" s="8"/>
      <c r="E21" s="526"/>
    </row>
    <row r="22" spans="1:8" s="17" customFormat="1" hidden="1">
      <c r="A22" s="8"/>
      <c r="B22" s="8"/>
      <c r="C22" s="8"/>
      <c r="D22" s="8"/>
    </row>
    <row r="23" spans="1:8" s="17" customFormat="1" hidden="1">
      <c r="A23" s="393" t="s">
        <v>416</v>
      </c>
      <c r="B23" s="8"/>
      <c r="C23" s="8"/>
      <c r="D23" s="8"/>
    </row>
    <row r="24" spans="1:8" s="17" customFormat="1" hidden="1">
      <c r="A24" s="393" t="s">
        <v>417</v>
      </c>
      <c r="B24" s="8"/>
      <c r="C24" s="8"/>
      <c r="D24" s="8"/>
    </row>
    <row r="25" spans="1:8" s="17" customFormat="1" hidden="1">
      <c r="A25" s="393" t="s">
        <v>418</v>
      </c>
      <c r="B25" s="8"/>
      <c r="C25" s="8"/>
      <c r="D25" s="8"/>
    </row>
    <row r="26" spans="1:8" s="17" customFormat="1" hidden="1">
      <c r="A26" s="9" t="s">
        <v>419</v>
      </c>
      <c r="B26" s="8"/>
      <c r="C26" s="8"/>
      <c r="D26" s="96"/>
      <c r="E26" s="18"/>
      <c r="F26" s="18"/>
      <c r="G26" s="18"/>
      <c r="H26" s="18"/>
    </row>
    <row r="27" spans="1:8" s="17" customFormat="1" hidden="1">
      <c r="A27" s="9"/>
      <c r="B27" s="8"/>
      <c r="C27" s="8"/>
      <c r="D27" s="8"/>
      <c r="E27" s="18"/>
      <c r="F27" s="18"/>
      <c r="G27" s="18"/>
      <c r="H27" s="18"/>
    </row>
    <row r="28" spans="1:8" s="17" customFormat="1" hidden="1">
      <c r="A28" s="9" t="s">
        <v>420</v>
      </c>
      <c r="B28" s="8"/>
      <c r="C28" s="527"/>
      <c r="D28" s="527"/>
      <c r="E28" s="527"/>
      <c r="F28" s="527"/>
      <c r="G28" s="18"/>
      <c r="H28" s="18"/>
    </row>
    <row r="29" spans="1:8" s="17" customFormat="1" hidden="1">
      <c r="A29" s="9"/>
      <c r="B29" s="8"/>
      <c r="C29" s="8"/>
      <c r="D29" s="8"/>
      <c r="E29" s="18"/>
      <c r="F29" s="18"/>
      <c r="G29" s="18"/>
      <c r="H29" s="18"/>
    </row>
    <row r="30" spans="1:8" hidden="1">
      <c r="A30" s="9" t="s">
        <v>421</v>
      </c>
      <c r="B30" s="8"/>
      <c r="C30" s="527"/>
      <c r="D30" s="527"/>
      <c r="E30" s="527"/>
      <c r="F30" s="527"/>
      <c r="G30" s="16"/>
      <c r="H30" s="16"/>
    </row>
    <row r="31" spans="1:8" hidden="1">
      <c r="A31" s="9"/>
      <c r="B31" s="8"/>
      <c r="C31" s="8"/>
      <c r="D31" s="8"/>
    </row>
    <row r="32" spans="1:8" hidden="1">
      <c r="A32" s="9" t="s">
        <v>422</v>
      </c>
      <c r="B32" s="8"/>
      <c r="C32" s="527"/>
      <c r="D32" s="527"/>
      <c r="E32" s="527"/>
      <c r="F32" s="527"/>
    </row>
    <row r="33" spans="1:6" hidden="1"/>
    <row r="34" spans="1:6" hidden="1"/>
    <row r="35" spans="1:6" ht="13.8" hidden="1">
      <c r="A35" s="106" t="s">
        <v>423</v>
      </c>
      <c r="B35" s="8"/>
      <c r="C35" s="8"/>
      <c r="D35" s="8"/>
      <c r="E35" s="17"/>
    </row>
    <row r="36" spans="1:6" hidden="1">
      <c r="A36" s="8"/>
      <c r="B36" s="8"/>
      <c r="C36" s="8"/>
      <c r="D36" s="8"/>
      <c r="E36" s="17"/>
    </row>
    <row r="37" spans="1:6" ht="13.8" hidden="1">
      <c r="A37" s="107" t="s">
        <v>424</v>
      </c>
      <c r="B37" s="8"/>
      <c r="C37" s="8"/>
      <c r="D37" s="8"/>
      <c r="E37" s="525" t="s">
        <v>411</v>
      </c>
    </row>
    <row r="38" spans="1:6" ht="15" hidden="1">
      <c r="A38" s="10"/>
      <c r="B38" s="8"/>
      <c r="C38" s="8"/>
      <c r="D38" s="8"/>
      <c r="E38" s="526"/>
    </row>
    <row r="39" spans="1:6" hidden="1">
      <c r="A39" s="8"/>
      <c r="B39" s="8"/>
      <c r="C39" s="8"/>
      <c r="D39" s="8"/>
      <c r="E39" s="17"/>
    </row>
    <row r="40" spans="1:6" hidden="1">
      <c r="A40" s="393" t="s">
        <v>425</v>
      </c>
      <c r="B40" s="8"/>
      <c r="C40" s="8"/>
      <c r="D40" s="8"/>
      <c r="E40" s="17"/>
    </row>
    <row r="41" spans="1:6" hidden="1">
      <c r="A41" s="9" t="s">
        <v>419</v>
      </c>
      <c r="B41" s="8"/>
      <c r="C41" s="8"/>
      <c r="D41" s="96"/>
      <c r="E41" s="18"/>
    </row>
    <row r="42" spans="1:6" hidden="1">
      <c r="A42" s="9"/>
      <c r="B42" s="8"/>
      <c r="C42" s="8"/>
      <c r="D42" s="8"/>
      <c r="E42" s="18"/>
    </row>
    <row r="43" spans="1:6" hidden="1">
      <c r="A43" s="9" t="s">
        <v>426</v>
      </c>
      <c r="B43" s="8"/>
      <c r="C43" s="527"/>
      <c r="D43" s="527"/>
      <c r="E43" s="527"/>
      <c r="F43" s="527"/>
    </row>
    <row r="44" spans="1:6" hidden="1">
      <c r="A44" s="9"/>
      <c r="B44" s="8"/>
      <c r="C44" s="8"/>
      <c r="D44" s="8"/>
      <c r="E44" s="18"/>
    </row>
    <row r="45" spans="1:6" hidden="1">
      <c r="A45" s="9" t="s">
        <v>427</v>
      </c>
      <c r="B45" s="8"/>
      <c r="C45" s="527"/>
      <c r="D45" s="527"/>
      <c r="E45" s="527"/>
      <c r="F45" s="527"/>
    </row>
    <row r="46" spans="1:6" hidden="1">
      <c r="A46" s="9"/>
      <c r="B46" s="8"/>
      <c r="C46" s="8"/>
      <c r="D46" s="8"/>
    </row>
    <row r="47" spans="1:6" hidden="1">
      <c r="A47" s="9" t="s">
        <v>422</v>
      </c>
      <c r="B47" s="8"/>
      <c r="C47" s="527"/>
      <c r="D47" s="527"/>
      <c r="E47" s="527"/>
      <c r="F47" s="527"/>
    </row>
    <row r="48" spans="1:6" hidden="1">
      <c r="A48" s="9"/>
      <c r="B48" s="8"/>
      <c r="C48" s="108"/>
      <c r="D48" s="108"/>
    </row>
    <row r="49" spans="1:8">
      <c r="A49" s="9"/>
      <c r="B49" s="8"/>
      <c r="C49" s="108"/>
      <c r="D49" s="108"/>
    </row>
    <row r="50" spans="1:8" s="367" customFormat="1" ht="13.8">
      <c r="A50" s="372" t="s">
        <v>1446</v>
      </c>
      <c r="B50" s="2"/>
      <c r="C50" s="436" t="str">
        <f>B6</f>
        <v>Please Click on Arrow to Choose School</v>
      </c>
      <c r="D50" s="373"/>
    </row>
    <row r="51" spans="1:8" s="65" customFormat="1">
      <c r="A51" s="9"/>
      <c r="B51" s="8"/>
      <c r="C51" s="108"/>
      <c r="D51" s="108"/>
    </row>
    <row r="52" spans="1:8">
      <c r="A52" s="300" t="s">
        <v>428</v>
      </c>
      <c r="B52" s="301"/>
      <c r="C52" s="301"/>
      <c r="D52" s="301"/>
      <c r="E52" s="302"/>
      <c r="F52" s="303" t="s">
        <v>1443</v>
      </c>
      <c r="G52" s="303" t="s">
        <v>429</v>
      </c>
      <c r="H52" s="303" t="s">
        <v>1444</v>
      </c>
    </row>
    <row r="53" spans="1:8">
      <c r="A53" s="19" t="s">
        <v>430</v>
      </c>
      <c r="B53" s="20"/>
      <c r="C53" s="20"/>
      <c r="D53" s="20"/>
      <c r="E53" s="21"/>
      <c r="F53" s="394" t="e">
        <f>'b) Template'!E35</f>
        <v>#N/A</v>
      </c>
      <c r="G53" s="394">
        <f>'b) Template'!$K$35</f>
        <v>0</v>
      </c>
      <c r="H53" s="394" t="e">
        <f>G53-F53</f>
        <v>#N/A</v>
      </c>
    </row>
    <row r="54" spans="1:8">
      <c r="A54" s="19" t="s">
        <v>431</v>
      </c>
      <c r="B54" s="20"/>
      <c r="C54" s="20"/>
      <c r="D54" s="20"/>
      <c r="E54" s="21"/>
      <c r="F54" s="394" t="e">
        <f>'b) Template'!E71</f>
        <v>#N/A</v>
      </c>
      <c r="G54" s="394">
        <f>'b) Template'!$K$71</f>
        <v>0</v>
      </c>
      <c r="H54" s="394" t="e">
        <f t="shared" ref="H54:H55" si="0">G54-F54</f>
        <v>#N/A</v>
      </c>
    </row>
    <row r="55" spans="1:8">
      <c r="A55" s="19" t="s">
        <v>432</v>
      </c>
      <c r="B55" s="20"/>
      <c r="C55" s="20"/>
      <c r="D55" s="20"/>
      <c r="E55" s="20"/>
      <c r="F55" s="394" t="e">
        <f>'b) Template'!E78</f>
        <v>#N/A</v>
      </c>
      <c r="G55" s="394">
        <f>'b) Template'!$K$78</f>
        <v>0</v>
      </c>
      <c r="H55" s="394" t="e">
        <f t="shared" si="0"/>
        <v>#N/A</v>
      </c>
    </row>
    <row r="56" spans="1:8">
      <c r="A56" s="19" t="s">
        <v>1447</v>
      </c>
      <c r="B56" s="20"/>
      <c r="C56" s="20"/>
      <c r="D56" s="20"/>
      <c r="E56" s="21"/>
      <c r="F56" s="394" t="e">
        <f>'b) Template'!E79</f>
        <v>#N/A</v>
      </c>
      <c r="G56" s="394" t="e">
        <f>'b) Template'!$K$79</f>
        <v>#N/A</v>
      </c>
      <c r="H56" s="417"/>
    </row>
    <row r="57" spans="1:8">
      <c r="A57" s="22" t="s">
        <v>1448</v>
      </c>
      <c r="B57" s="20"/>
      <c r="C57" s="20"/>
      <c r="D57" s="20"/>
      <c r="E57" s="21"/>
      <c r="F57" s="181" t="e">
        <f>'b) Template'!E80</f>
        <v>#N/A</v>
      </c>
      <c r="G57" s="181" t="e">
        <f>'b) Template'!$K$80</f>
        <v>#N/A</v>
      </c>
      <c r="H57" s="181" t="e">
        <f>G57-F57</f>
        <v>#N/A</v>
      </c>
    </row>
    <row r="58" spans="1:8">
      <c r="A58" s="16"/>
      <c r="F58" s="395"/>
      <c r="G58" s="23"/>
      <c r="H58" s="23"/>
    </row>
    <row r="59" spans="1:8">
      <c r="A59" s="300" t="s">
        <v>433</v>
      </c>
      <c r="B59" s="301"/>
      <c r="C59" s="301"/>
      <c r="D59" s="301"/>
      <c r="E59" s="302"/>
      <c r="F59" s="303" t="s">
        <v>1443</v>
      </c>
      <c r="G59" s="303" t="s">
        <v>429</v>
      </c>
      <c r="H59" s="303" t="s">
        <v>1444</v>
      </c>
    </row>
    <row r="60" spans="1:8">
      <c r="A60" s="25" t="s">
        <v>430</v>
      </c>
      <c r="B60" s="24"/>
      <c r="C60" s="24"/>
      <c r="D60" s="24"/>
      <c r="E60" s="26"/>
      <c r="F60" s="394" t="e">
        <f>'b) Template'!E99</f>
        <v>#N/A</v>
      </c>
      <c r="G60" s="394">
        <f>'b) Template'!$K$99</f>
        <v>0</v>
      </c>
      <c r="H60" s="394" t="e">
        <f>G60-F60</f>
        <v>#N/A</v>
      </c>
    </row>
    <row r="61" spans="1:8">
      <c r="A61" s="19" t="s">
        <v>431</v>
      </c>
      <c r="B61" s="20"/>
      <c r="C61" s="20"/>
      <c r="D61" s="20"/>
      <c r="E61" s="21"/>
      <c r="F61" s="394" t="e">
        <f>'b) Template'!E100</f>
        <v>#N/A</v>
      </c>
      <c r="G61" s="394">
        <f>'b) Template'!$K$100</f>
        <v>0</v>
      </c>
      <c r="H61" s="394" t="e">
        <f t="shared" ref="H61:H62" si="1">G61-F61</f>
        <v>#N/A</v>
      </c>
    </row>
    <row r="62" spans="1:8">
      <c r="A62" s="19" t="s">
        <v>434</v>
      </c>
      <c r="B62" s="20"/>
      <c r="C62" s="20"/>
      <c r="D62" s="20"/>
      <c r="E62" s="21"/>
      <c r="F62" s="394" t="e">
        <f>'b) Template'!E101</f>
        <v>#N/A</v>
      </c>
      <c r="G62" s="394">
        <f>'b) Template'!$K$101</f>
        <v>0</v>
      </c>
      <c r="H62" s="394" t="e">
        <f t="shared" si="1"/>
        <v>#N/A</v>
      </c>
    </row>
    <row r="63" spans="1:8">
      <c r="A63" s="19" t="s">
        <v>1447</v>
      </c>
      <c r="B63" s="20"/>
      <c r="C63" s="20"/>
      <c r="D63" s="20"/>
      <c r="E63" s="21"/>
      <c r="F63" s="394" t="e">
        <f>'b) Template'!E102</f>
        <v>#N/A</v>
      </c>
      <c r="G63" s="394" t="e">
        <f>'b) Template'!$K$102</f>
        <v>#N/A</v>
      </c>
      <c r="H63" s="417"/>
    </row>
    <row r="64" spans="1:8">
      <c r="A64" s="22" t="s">
        <v>1449</v>
      </c>
      <c r="B64" s="20"/>
      <c r="C64" s="20"/>
      <c r="D64" s="20"/>
      <c r="E64" s="21"/>
      <c r="F64" s="181" t="e">
        <f>'b) Template'!E103</f>
        <v>#N/A</v>
      </c>
      <c r="G64" s="181" t="e">
        <f>'b) Template'!$K$103</f>
        <v>#N/A</v>
      </c>
      <c r="H64" s="181" t="e">
        <f>G64-F64</f>
        <v>#N/A</v>
      </c>
    </row>
    <row r="65" spans="1:8">
      <c r="A65" s="16"/>
      <c r="F65" s="396"/>
      <c r="G65" s="396"/>
      <c r="H65" s="396"/>
    </row>
    <row r="66" spans="1:8">
      <c r="A66" s="528" t="s">
        <v>1450</v>
      </c>
      <c r="B66" s="529"/>
      <c r="C66" s="529"/>
      <c r="D66" s="529"/>
      <c r="E66" s="530"/>
      <c r="F66" s="520" t="e">
        <f>'b) Template'!E109</f>
        <v>#N/A</v>
      </c>
      <c r="G66" s="520" t="e">
        <f>'b) Template'!$K$109</f>
        <v>#N/A</v>
      </c>
      <c r="H66" s="520" t="e">
        <f>G66-F66</f>
        <v>#N/A</v>
      </c>
    </row>
    <row r="67" spans="1:8">
      <c r="A67" s="531"/>
      <c r="B67" s="532"/>
      <c r="C67" s="532"/>
      <c r="D67" s="532"/>
      <c r="E67" s="533"/>
      <c r="F67" s="521"/>
      <c r="G67" s="521"/>
      <c r="H67" s="521"/>
    </row>
    <row r="68" spans="1:8">
      <c r="F68" s="23"/>
      <c r="G68" s="23"/>
      <c r="H68" s="23"/>
    </row>
    <row r="69" spans="1:8">
      <c r="F69" s="23"/>
      <c r="G69" s="23"/>
      <c r="H69" s="23"/>
    </row>
    <row r="70" spans="1:8">
      <c r="A70" s="300" t="s">
        <v>435</v>
      </c>
      <c r="B70" s="301"/>
      <c r="C70" s="301"/>
      <c r="D70" s="301"/>
      <c r="E70" s="302"/>
      <c r="F70" s="303" t="s">
        <v>1443</v>
      </c>
      <c r="G70" s="303" t="s">
        <v>429</v>
      </c>
      <c r="H70" s="303" t="s">
        <v>1444</v>
      </c>
    </row>
    <row r="71" spans="1:8">
      <c r="A71" s="25" t="s">
        <v>436</v>
      </c>
      <c r="B71" s="24"/>
      <c r="C71" s="24"/>
      <c r="D71" s="24"/>
      <c r="E71" s="26"/>
      <c r="F71" s="394" t="e">
        <f>'b) Template'!E127</f>
        <v>#N/A</v>
      </c>
      <c r="G71" s="394">
        <f>'b) Template'!$K$127</f>
        <v>0</v>
      </c>
      <c r="H71" s="394" t="e">
        <f>G71-F71</f>
        <v>#N/A</v>
      </c>
    </row>
    <row r="72" spans="1:8">
      <c r="A72" s="19" t="s">
        <v>437</v>
      </c>
      <c r="B72" s="20"/>
      <c r="C72" s="20"/>
      <c r="D72" s="20"/>
      <c r="E72" s="21"/>
      <c r="F72" s="394" t="e">
        <f>'b) Template'!E134</f>
        <v>#N/A</v>
      </c>
      <c r="G72" s="394">
        <f>'b) Template'!$K$134</f>
        <v>0</v>
      </c>
      <c r="H72" s="394" t="e">
        <f t="shared" ref="H72:H73" si="2">G72-F72</f>
        <v>#N/A</v>
      </c>
    </row>
    <row r="73" spans="1:8">
      <c r="A73" s="19" t="s">
        <v>438</v>
      </c>
      <c r="B73" s="20"/>
      <c r="C73" s="20"/>
      <c r="D73" s="20"/>
      <c r="E73" s="21"/>
      <c r="F73" s="394" t="e">
        <f>'b) Template'!E136</f>
        <v>#N/A</v>
      </c>
      <c r="G73" s="394">
        <f>'b) Template'!$K$136</f>
        <v>0</v>
      </c>
      <c r="H73" s="394" t="e">
        <f t="shared" si="2"/>
        <v>#N/A</v>
      </c>
    </row>
    <row r="74" spans="1:8">
      <c r="A74" s="19" t="s">
        <v>1447</v>
      </c>
      <c r="B74" s="20"/>
      <c r="C74" s="20"/>
      <c r="D74" s="20"/>
      <c r="E74" s="21"/>
      <c r="F74" s="394" t="e">
        <f>'b) Template'!E137</f>
        <v>#N/A</v>
      </c>
      <c r="G74" s="394" t="e">
        <f>'b) Template'!$K$137</f>
        <v>#N/A</v>
      </c>
      <c r="H74" s="417"/>
    </row>
    <row r="75" spans="1:8">
      <c r="A75" s="22" t="s">
        <v>1451</v>
      </c>
      <c r="B75" s="20"/>
      <c r="C75" s="20"/>
      <c r="D75" s="20"/>
      <c r="E75" s="21"/>
      <c r="F75" s="181" t="e">
        <f>'b) Template'!E138</f>
        <v>#N/A</v>
      </c>
      <c r="G75" s="181" t="e">
        <f>'b) Template'!$K$138</f>
        <v>#N/A</v>
      </c>
      <c r="H75" s="181" t="e">
        <f>G75-F75</f>
        <v>#N/A</v>
      </c>
    </row>
    <row r="78" spans="1:8" hidden="1"/>
    <row r="79" spans="1:8" hidden="1">
      <c r="A79" s="14" t="s">
        <v>411</v>
      </c>
    </row>
    <row r="80" spans="1:8" hidden="1">
      <c r="A80" s="14" t="s">
        <v>439</v>
      </c>
    </row>
    <row r="81" spans="1:1" hidden="1">
      <c r="A81" s="14" t="s">
        <v>440</v>
      </c>
    </row>
    <row r="82" spans="1:1" hidden="1">
      <c r="A82" s="14" t="s">
        <v>441</v>
      </c>
    </row>
    <row r="83" spans="1:1" hidden="1">
      <c r="A83" s="14" t="s">
        <v>442</v>
      </c>
    </row>
    <row r="84" spans="1:1" hidden="1">
      <c r="A84" s="14" t="s">
        <v>443</v>
      </c>
    </row>
    <row r="85" spans="1:1" hidden="1"/>
    <row r="86" spans="1:1" hidden="1">
      <c r="A86" s="14" t="s">
        <v>411</v>
      </c>
    </row>
    <row r="87" spans="1:1" hidden="1">
      <c r="A87" s="14" t="s">
        <v>444</v>
      </c>
    </row>
    <row r="88" spans="1:1" hidden="1">
      <c r="A88" s="14" t="s">
        <v>445</v>
      </c>
    </row>
    <row r="89" spans="1:1" hidden="1"/>
    <row r="90" spans="1:1" hidden="1">
      <c r="A90" s="14" t="s">
        <v>411</v>
      </c>
    </row>
    <row r="91" spans="1:1" hidden="1">
      <c r="A91" s="14" t="s">
        <v>444</v>
      </c>
    </row>
    <row r="92" spans="1:1" hidden="1">
      <c r="A92" s="14" t="s">
        <v>445</v>
      </c>
    </row>
    <row r="93" spans="1:1" hidden="1">
      <c r="A93" s="14" t="s">
        <v>446</v>
      </c>
    </row>
    <row r="94" spans="1:1" hidden="1"/>
    <row r="95" spans="1:1" hidden="1">
      <c r="A95" s="375">
        <v>45443</v>
      </c>
    </row>
    <row r="96" spans="1:1" hidden="1">
      <c r="A96" s="376">
        <v>45473</v>
      </c>
    </row>
    <row r="97" spans="1:1" hidden="1">
      <c r="A97" s="375">
        <v>45504</v>
      </c>
    </row>
    <row r="98" spans="1:1" hidden="1">
      <c r="A98" s="376">
        <v>45535</v>
      </c>
    </row>
    <row r="99" spans="1:1" hidden="1">
      <c r="A99" s="375">
        <v>45565</v>
      </c>
    </row>
    <row r="100" spans="1:1" hidden="1">
      <c r="A100" s="376">
        <v>45596</v>
      </c>
    </row>
    <row r="101" spans="1:1" hidden="1">
      <c r="A101" s="375">
        <v>45626</v>
      </c>
    </row>
    <row r="102" spans="1:1" hidden="1">
      <c r="A102" s="376">
        <v>45657</v>
      </c>
    </row>
    <row r="103" spans="1:1" hidden="1">
      <c r="A103" s="375">
        <v>45688</v>
      </c>
    </row>
    <row r="104" spans="1:1" hidden="1">
      <c r="A104" s="376">
        <v>45716</v>
      </c>
    </row>
    <row r="105" spans="1:1" hidden="1">
      <c r="A105" s="375">
        <v>45747</v>
      </c>
    </row>
    <row r="106" spans="1:1" hidden="1"/>
    <row r="119" spans="1:1" hidden="1">
      <c r="A119" s="14" t="s">
        <v>447</v>
      </c>
    </row>
    <row r="120" spans="1:1" hidden="1">
      <c r="A120" s="14" t="s">
        <v>448</v>
      </c>
    </row>
    <row r="121" spans="1:1" hidden="1"/>
    <row r="122" spans="1:1" hidden="1"/>
    <row r="123" spans="1:1" hidden="1"/>
    <row r="124" spans="1:1" hidden="1"/>
    <row r="125" spans="1:1" hidden="1"/>
    <row r="126" spans="1:1" hidden="1"/>
    <row r="127" spans="1:1" hidden="1"/>
    <row r="128" spans="1:1" hidden="1">
      <c r="A128" s="14" t="s">
        <v>449</v>
      </c>
    </row>
    <row r="129" spans="1:1" hidden="1">
      <c r="A129" s="14" t="s">
        <v>444</v>
      </c>
    </row>
    <row r="130" spans="1:1" hidden="1">
      <c r="A130" s="14" t="s">
        <v>445</v>
      </c>
    </row>
    <row r="131" spans="1:1" hidden="1"/>
    <row r="132" spans="1:1" hidden="1"/>
    <row r="133" spans="1:1" hidden="1"/>
    <row r="134" spans="1:1" hidden="1">
      <c r="A134" s="14" t="s">
        <v>449</v>
      </c>
    </row>
    <row r="135" spans="1:1" hidden="1">
      <c r="A135" s="14" t="s">
        <v>450</v>
      </c>
    </row>
    <row r="136" spans="1:1" hidden="1">
      <c r="A136" s="14" t="s">
        <v>451</v>
      </c>
    </row>
    <row r="137" spans="1:1" hidden="1"/>
  </sheetData>
  <sheetProtection algorithmName="SHA-512" hashValue="ujnmEd80Ta7g2pVSFnQseEWkpTVJriFaJuKQNDW7G0lezWKRro32DySMuiHRNdk5upDqoVoGKsltqF8zw9iztQ==" saltValue="ezl88Gq+pfAXdatYByoWhA==" spinCount="100000" sheet="1" objects="1" scenarios="1"/>
  <mergeCells count="18">
    <mergeCell ref="E37:E38"/>
    <mergeCell ref="A66:E67"/>
    <mergeCell ref="A1:H1"/>
    <mergeCell ref="A2:H2"/>
    <mergeCell ref="F66:F67"/>
    <mergeCell ref="G66:G67"/>
    <mergeCell ref="H66:H67"/>
    <mergeCell ref="F14:H14"/>
    <mergeCell ref="A4:H4"/>
    <mergeCell ref="E11:E12"/>
    <mergeCell ref="E14:E15"/>
    <mergeCell ref="E20:E21"/>
    <mergeCell ref="C28:F28"/>
    <mergeCell ref="C30:F30"/>
    <mergeCell ref="C32:F32"/>
    <mergeCell ref="C43:F43"/>
    <mergeCell ref="C45:F45"/>
    <mergeCell ref="C47:F47"/>
  </mergeCells>
  <phoneticPr fontId="15" type="noConversion"/>
  <conditionalFormatting sqref="C28:F28 C30:F30 C32:F32 C43:F43 C45:F45 C47:F47 C48:D51">
    <cfRule type="cellIs" dxfId="19" priority="1" stopIfTrue="1" operator="equal">
      <formula>"please fill in before submitting"</formula>
    </cfRule>
  </conditionalFormatting>
  <conditionalFormatting sqref="E8">
    <cfRule type="cellIs" dxfId="18" priority="5" stopIfTrue="1" operator="equal">
      <formula>"please choose  a quarter in the authorisation page"</formula>
    </cfRule>
  </conditionalFormatting>
  <conditionalFormatting sqref="E11:E12 E14:E15 E20:E21 E37:E38">
    <cfRule type="cellIs" dxfId="17" priority="3" stopIfTrue="1" operator="equal">
      <formula>"PLEASE CHOOSE"</formula>
    </cfRule>
    <cfRule type="cellIs" dxfId="16" priority="4" stopIfTrue="1" operator="notEqual">
      <formula>"PLEASE CHOOSE"</formula>
    </cfRule>
  </conditionalFormatting>
  <conditionalFormatting sqref="F14:H14">
    <cfRule type="cellIs" dxfId="15" priority="2" stopIfTrue="1" operator="equal">
      <formula>"3 year return required by 30th June 2013"</formula>
    </cfRule>
  </conditionalFormatting>
  <dataValidations disablePrompts="1" count="3">
    <dataValidation type="list" allowBlank="1" showInputMessage="1" showErrorMessage="1" sqref="E11:E12" xr:uid="{00000000-0002-0000-0200-000000000000}">
      <formula1>$A$79:$A$84</formula1>
    </dataValidation>
    <dataValidation type="list" allowBlank="1" showInputMessage="1" showErrorMessage="1" sqref="E14 E20:E21" xr:uid="{00000000-0002-0000-0200-000001000000}">
      <formula1>$A$86:$A$88</formula1>
    </dataValidation>
    <dataValidation type="list" allowBlank="1" showInputMessage="1" showErrorMessage="1" sqref="E37:E38" xr:uid="{00000000-0002-0000-0200-000002000000}">
      <formula1>$A$90:$A$93</formula1>
    </dataValidation>
  </dataValidations>
  <pageMargins left="0.25" right="0.25" top="0.75" bottom="0.75" header="0.3" footer="0.3"/>
  <pageSetup paperSize="9" scale="83" fitToHeight="2" orientation="landscape" r:id="rId1"/>
  <headerFooter alignWithMargins="0"/>
  <rowBreaks count="1" manualBreakCount="1">
    <brk id="47" max="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57"/>
  </sheetPr>
  <dimension ref="A1:IV803"/>
  <sheetViews>
    <sheetView showGridLines="0" tabSelected="1" zoomScale="70" zoomScaleNormal="70" workbookViewId="0">
      <selection activeCell="B3" sqref="B3"/>
    </sheetView>
  </sheetViews>
  <sheetFormatPr defaultColWidth="9.21875" defaultRowHeight="15"/>
  <cols>
    <col min="1" max="1" width="15.5546875" style="356" customWidth="1"/>
    <col min="2" max="2" width="69" style="62" customWidth="1"/>
    <col min="3" max="3" width="17.21875" style="61" customWidth="1"/>
    <col min="4" max="4" width="7.5546875" style="62" customWidth="1"/>
    <col min="5" max="5" width="18.77734375" style="61" customWidth="1"/>
    <col min="6" max="6" width="1.5546875" style="332" customWidth="1"/>
    <col min="7" max="7" width="16.21875" style="61" customWidth="1"/>
    <col min="8" max="8" width="1.5546875" style="332" customWidth="1"/>
    <col min="9" max="9" width="19.21875" style="61" customWidth="1"/>
    <col min="10" max="10" width="7.77734375" style="331" customWidth="1"/>
    <col min="11" max="11" width="16.21875" style="61" customWidth="1"/>
    <col min="12" max="12" width="1.5546875" style="67" customWidth="1"/>
    <col min="13" max="13" width="16.21875" style="61" customWidth="1"/>
    <col min="14" max="14" width="1.77734375" style="332" customWidth="1"/>
    <col min="15" max="15" width="62.5546875" style="356" customWidth="1"/>
    <col min="16" max="16" width="64" style="332" hidden="1" customWidth="1"/>
    <col min="17" max="16384" width="9.21875" style="332"/>
  </cols>
  <sheetData>
    <row r="1" spans="1:16" s="337" customFormat="1" ht="25.5" customHeight="1">
      <c r="A1" s="535" t="s">
        <v>1445</v>
      </c>
      <c r="B1" s="535"/>
      <c r="C1" s="535"/>
      <c r="D1" s="535"/>
      <c r="E1" s="535"/>
      <c r="F1" s="535"/>
      <c r="G1" s="535"/>
      <c r="H1" s="535"/>
      <c r="I1" s="535"/>
      <c r="J1" s="535"/>
      <c r="K1" s="535"/>
      <c r="L1" s="535"/>
      <c r="M1" s="535"/>
      <c r="N1" s="535"/>
      <c r="O1" s="535"/>
    </row>
    <row r="2" spans="1:16" s="337" customFormat="1" ht="23.4" thickBot="1">
      <c r="A2" s="28"/>
      <c r="B2" s="27"/>
      <c r="C2" s="27"/>
      <c r="D2" s="27"/>
      <c r="E2" s="27"/>
      <c r="F2" s="27"/>
      <c r="G2" s="27"/>
      <c r="H2" s="27"/>
      <c r="I2" s="27"/>
      <c r="J2" s="315"/>
      <c r="K2" s="27"/>
      <c r="L2" s="124"/>
      <c r="M2" s="27"/>
      <c r="N2" s="27"/>
      <c r="O2" s="377">
        <f>I5</f>
        <v>45565</v>
      </c>
    </row>
    <row r="3" spans="1:16" s="337" customFormat="1" ht="25.5" customHeight="1" thickBot="1">
      <c r="A3" s="116" t="s">
        <v>406</v>
      </c>
      <c r="B3" s="627" t="s">
        <v>706</v>
      </c>
      <c r="C3" s="110"/>
      <c r="D3" s="539" t="s">
        <v>475</v>
      </c>
      <c r="E3" s="540"/>
      <c r="F3" s="540"/>
      <c r="G3" s="540"/>
      <c r="H3" s="541"/>
      <c r="I3" s="123">
        <f>VLOOKUP($B$3,$A$192:$D$319,4,FALSE)</f>
        <v>0</v>
      </c>
      <c r="J3" s="316"/>
      <c r="K3" s="539" t="s">
        <v>1440</v>
      </c>
      <c r="L3" s="540"/>
      <c r="M3" s="540"/>
      <c r="N3" s="540"/>
      <c r="O3" s="378" t="s">
        <v>1367</v>
      </c>
    </row>
    <row r="4" spans="1:16" s="337" customFormat="1" ht="22.5" customHeight="1" thickBot="1">
      <c r="A4" s="340" t="s">
        <v>476</v>
      </c>
      <c r="B4" s="117">
        <f>VLOOKUP($B$3,$A$192:$D$319,2,FALSE)</f>
        <v>0</v>
      </c>
      <c r="C4" s="110"/>
      <c r="D4" s="539" t="s">
        <v>477</v>
      </c>
      <c r="E4" s="537"/>
      <c r="F4" s="537"/>
      <c r="G4" s="537"/>
      <c r="H4" s="538"/>
      <c r="I4" s="123">
        <f>VLOOKUP($B$3,$A$192:$F$319,5,FALSE)</f>
        <v>0</v>
      </c>
      <c r="J4" s="316"/>
      <c r="K4" s="121"/>
      <c r="L4" s="125"/>
      <c r="M4" s="121"/>
      <c r="N4" s="338"/>
      <c r="O4" s="339"/>
      <c r="P4" s="29"/>
    </row>
    <row r="5" spans="1:16" s="337" customFormat="1" ht="28.5" customHeight="1" thickBot="1">
      <c r="A5" s="115"/>
      <c r="B5" s="253"/>
      <c r="C5" s="114"/>
      <c r="D5" s="536" t="s">
        <v>478</v>
      </c>
      <c r="E5" s="537"/>
      <c r="F5" s="537"/>
      <c r="G5" s="537"/>
      <c r="H5" s="538"/>
      <c r="I5" s="378">
        <v>45565</v>
      </c>
      <c r="J5" s="317"/>
      <c r="K5" s="122"/>
      <c r="L5" s="126"/>
      <c r="M5" s="122"/>
      <c r="N5" s="338"/>
      <c r="O5" s="339"/>
      <c r="P5" s="29"/>
    </row>
    <row r="6" spans="1:16" s="337" customFormat="1" ht="15.6"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2"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2"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2"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42" t="s">
        <v>428</v>
      </c>
      <c r="B12" s="543"/>
      <c r="C12" s="543"/>
      <c r="D12" s="543"/>
      <c r="E12" s="543"/>
      <c r="F12" s="543"/>
      <c r="G12" s="543"/>
      <c r="H12" s="543"/>
      <c r="I12" s="543"/>
      <c r="J12" s="543"/>
      <c r="K12" s="543"/>
      <c r="L12" s="543"/>
      <c r="M12" s="543"/>
      <c r="N12" s="543"/>
      <c r="O12" s="543"/>
      <c r="P12" s="544"/>
    </row>
    <row r="13" spans="1:16" s="120" customFormat="1" ht="96.6">
      <c r="A13" s="119"/>
      <c r="B13" s="133"/>
      <c r="C13" s="134" t="s">
        <v>484</v>
      </c>
      <c r="D13" s="135"/>
      <c r="E13" s="134" t="s">
        <v>485</v>
      </c>
      <c r="F13" s="136"/>
      <c r="G13" s="134" t="s">
        <v>486</v>
      </c>
      <c r="H13" s="136"/>
      <c r="I13" s="134" t="s">
        <v>487</v>
      </c>
      <c r="J13" s="320" t="s">
        <v>488</v>
      </c>
      <c r="K13" s="134" t="s">
        <v>489</v>
      </c>
      <c r="L13" s="134"/>
      <c r="M13" s="134" t="s">
        <v>1441</v>
      </c>
      <c r="N13" s="131"/>
      <c r="O13" s="134" t="s">
        <v>550</v>
      </c>
      <c r="P13" s="505" t="s">
        <v>1481</v>
      </c>
    </row>
    <row r="14" spans="1:16" s="62" customFormat="1" ht="23.25" customHeight="1">
      <c r="A14" s="33"/>
      <c r="B14" s="137"/>
      <c r="C14" s="534" t="s">
        <v>490</v>
      </c>
      <c r="D14" s="534"/>
      <c r="E14" s="534"/>
      <c r="F14" s="534"/>
      <c r="G14" s="534"/>
      <c r="H14" s="534"/>
      <c r="I14" s="534"/>
      <c r="J14" s="534"/>
      <c r="K14" s="534"/>
      <c r="L14" s="534"/>
      <c r="M14" s="534"/>
      <c r="N14" s="344"/>
      <c r="O14" s="343"/>
      <c r="P14" s="503"/>
    </row>
    <row r="15" spans="1:16" s="337" customFormat="1" ht="26.25" customHeight="1">
      <c r="A15" s="34" t="s">
        <v>491</v>
      </c>
      <c r="B15" s="35" t="s">
        <v>492</v>
      </c>
      <c r="C15" s="36" t="s">
        <v>493</v>
      </c>
      <c r="D15" s="333" t="s">
        <v>494</v>
      </c>
      <c r="E15" s="36" t="s">
        <v>493</v>
      </c>
      <c r="G15" s="36" t="s">
        <v>493</v>
      </c>
      <c r="I15" s="36" t="s">
        <v>493</v>
      </c>
      <c r="J15" s="321"/>
      <c r="K15" s="36" t="s">
        <v>493</v>
      </c>
      <c r="L15" s="128"/>
      <c r="M15" s="36" t="s">
        <v>493</v>
      </c>
      <c r="O15" s="339"/>
      <c r="P15" s="504"/>
    </row>
    <row r="16" spans="1:16" s="337" customFormat="1" ht="19.5" customHeight="1">
      <c r="A16" s="38" t="s">
        <v>495</v>
      </c>
      <c r="B16" s="39" t="s">
        <v>496</v>
      </c>
      <c r="C16" s="491" t="e">
        <f>VLOOKUP($I$3,'Data - CFR 2024-25'!$B$4:$CJ$143,5,FALSE)</f>
        <v>#N/A</v>
      </c>
      <c r="D16" s="334" t="s">
        <v>497</v>
      </c>
      <c r="E16" s="491" t="e">
        <f>VLOOKUP($I$3,'Data - 2025-26 Approved Budget'!$B$3:$CJ$140,5,FALSE)</f>
        <v>#N/A</v>
      </c>
      <c r="F16" s="345"/>
      <c r="G16" s="492">
        <f>_xlfn.IFNA(VLOOKUP(CONCATENATE($A16,D16),'SBS BvA Report (Table)'!$A:$N,5,0),0)</f>
        <v>0</v>
      </c>
      <c r="H16" s="345"/>
      <c r="I16" s="492">
        <f>IF($O$3="Y",_xlfn.IFNA(VLOOKUP(CONCATENATE($A16,$D16),'SBS BvA Report (Table)'!$A:$N,6,0),0),_xlfn.IFNA(-VLOOKUP(CONCATENATE($A16,$D16),'SBS BvA Report (Table)'!$A:$N,6,0),0))</f>
        <v>0</v>
      </c>
      <c r="J16" s="511">
        <f>IFERROR(IF(I16="",0%,I16/K16),0)</f>
        <v>0</v>
      </c>
      <c r="K16" s="492">
        <f>_xlfn.IFNA(VLOOKUP(CONCATENATE($A16,$D16),'SBS BvA Report (Table)'!$A:$N,11,0),0)</f>
        <v>0</v>
      </c>
      <c r="L16" s="346"/>
      <c r="M16" s="143" t="e">
        <f>IF(G16="",(K16-E16),(K16-E16))</f>
        <v>#N/A</v>
      </c>
      <c r="N16" s="345"/>
      <c r="O16" s="517"/>
      <c r="P16" s="506"/>
    </row>
    <row r="17" spans="1:16" s="337" customFormat="1" ht="19.5" customHeight="1">
      <c r="A17" s="38" t="s">
        <v>498</v>
      </c>
      <c r="B17" s="39" t="s">
        <v>499</v>
      </c>
      <c r="C17" s="491" t="e">
        <f>VLOOKUP($I$3,'Data - CFR 2024-25'!$B$4:$CJ$143,6,FALSE)</f>
        <v>#N/A</v>
      </c>
      <c r="D17" s="335" t="s">
        <v>500</v>
      </c>
      <c r="E17" s="491" t="e">
        <f>VLOOKUP($I$3,'Data - 2025-26 Approved Budget'!$B$3:$CJ$140,6,FALSE)</f>
        <v>#N/A</v>
      </c>
      <c r="F17" s="345"/>
      <c r="G17" s="492">
        <f>_xlfn.IFNA(VLOOKUP(CONCATENATE($A17,D17),'SBS BvA Report (Table)'!$A:$N,5,0),0)</f>
        <v>0</v>
      </c>
      <c r="H17" s="345"/>
      <c r="I17" s="492">
        <f>IF($O$3="Y",_xlfn.IFNA(VLOOKUP(CONCATENATE($A17,$D17),'SBS BvA Report (Table)'!$A:$N,6,0),0),_xlfn.IFNA(-VLOOKUP(CONCATENATE($A17,$D17),'SBS BvA Report (Table)'!$A:$N,6,0),0))</f>
        <v>0</v>
      </c>
      <c r="J17" s="511">
        <f>IFERROR(IF(I17="",0%,I17/K17),0)</f>
        <v>0</v>
      </c>
      <c r="K17" s="492">
        <f>_xlfn.IFNA(VLOOKUP(CONCATENATE($A17,$D17),'SBS BvA Report (Table)'!$A:$N,11,0),0)</f>
        <v>0</v>
      </c>
      <c r="L17" s="346"/>
      <c r="M17" s="143" t="e">
        <f t="shared" ref="M17:M34" si="0">IF(G17="",(K17-E17),(K17-E17))</f>
        <v>#N/A</v>
      </c>
      <c r="N17" s="345"/>
      <c r="O17" s="517"/>
      <c r="P17" s="506"/>
    </row>
    <row r="18" spans="1:16" s="337" customFormat="1" ht="19.5" customHeight="1">
      <c r="A18" s="38" t="s">
        <v>501</v>
      </c>
      <c r="B18" s="39" t="s">
        <v>502</v>
      </c>
      <c r="C18" s="491" t="e">
        <f>VLOOKUP($I$3,'Data - CFR 2024-25'!$B$4:$CJ$143,7,FALSE)</f>
        <v>#N/A</v>
      </c>
      <c r="D18" s="335" t="s">
        <v>503</v>
      </c>
      <c r="E18" s="491" t="e">
        <f>VLOOKUP($I$3,'Data - 2025-26 Approved Budget'!$B$3:$CJ$140,7,FALSE)</f>
        <v>#N/A</v>
      </c>
      <c r="F18" s="345"/>
      <c r="G18" s="492">
        <f>_xlfn.IFNA(VLOOKUP(CONCATENATE($A18,D18),'SBS BvA Report (Table)'!$A:$N,5,0),0)</f>
        <v>0</v>
      </c>
      <c r="H18" s="345"/>
      <c r="I18" s="492">
        <f>IF($O$3="Y",_xlfn.IFNA(VLOOKUP(CONCATENATE($A18,$D18),'SBS BvA Report (Table)'!$A:$N,6,0),0),_xlfn.IFNA(-VLOOKUP(CONCATENATE($A18,$D18),'SBS BvA Report (Table)'!$A:$N,6,0),0))</f>
        <v>0</v>
      </c>
      <c r="J18" s="511">
        <f t="shared" ref="J18:J34" si="1">IFERROR(IF(I18="",0%,I18/K18),0)</f>
        <v>0</v>
      </c>
      <c r="K18" s="492">
        <f>_xlfn.IFNA(VLOOKUP(CONCATENATE($A18,$D18),'SBS BvA Report (Table)'!$A:$N,11,0),0)</f>
        <v>0</v>
      </c>
      <c r="L18" s="346"/>
      <c r="M18" s="143" t="e">
        <f t="shared" si="0"/>
        <v>#N/A</v>
      </c>
      <c r="N18" s="345"/>
      <c r="O18" s="517"/>
      <c r="P18" s="506"/>
    </row>
    <row r="19" spans="1:16" s="337" customFormat="1" ht="19.5" customHeight="1">
      <c r="A19" s="38" t="s">
        <v>504</v>
      </c>
      <c r="B19" s="39" t="s">
        <v>505</v>
      </c>
      <c r="C19" s="491" t="e">
        <f>VLOOKUP($I$3,'Data - CFR 2024-25'!$B$4:$CJ$143,8,FALSE)</f>
        <v>#N/A</v>
      </c>
      <c r="D19" s="335" t="s">
        <v>506</v>
      </c>
      <c r="E19" s="491" t="e">
        <f>VLOOKUP($I$3,'Data - 2025-26 Approved Budget'!$B$3:$CJ$140,8,FALSE)</f>
        <v>#N/A</v>
      </c>
      <c r="F19" s="345"/>
      <c r="G19" s="492">
        <f>_xlfn.IFNA(VLOOKUP(CONCATENATE($A19,D19),'SBS BvA Report (Table)'!$A:$N,5,0),0)</f>
        <v>0</v>
      </c>
      <c r="H19" s="345"/>
      <c r="I19" s="492">
        <f>IF($O$3="Y",_xlfn.IFNA(VLOOKUP(CONCATENATE($A19,$D19),'SBS BvA Report (Table)'!$A:$N,6,0),0),_xlfn.IFNA(-VLOOKUP(CONCATENATE($A19,$D19),'SBS BvA Report (Table)'!$A:$N,6,0),0))</f>
        <v>0</v>
      </c>
      <c r="J19" s="511">
        <f>IFERROR(IF(I19="",0%,I19/K19),0)</f>
        <v>0</v>
      </c>
      <c r="K19" s="492">
        <f>_xlfn.IFNA(VLOOKUP(CONCATENATE($A19,$D19),'SBS BvA Report (Table)'!$A:$N,11,0),0)</f>
        <v>0</v>
      </c>
      <c r="L19" s="346"/>
      <c r="M19" s="143" t="e">
        <f t="shared" si="0"/>
        <v>#N/A</v>
      </c>
      <c r="N19" s="345"/>
      <c r="O19" s="517"/>
      <c r="P19" s="506"/>
    </row>
    <row r="20" spans="1:16" s="337" customFormat="1" ht="19.5" customHeight="1">
      <c r="A20" s="38" t="s">
        <v>507</v>
      </c>
      <c r="B20" s="39" t="s">
        <v>508</v>
      </c>
      <c r="C20" s="491" t="e">
        <f>VLOOKUP($I$3,'Data - CFR 2024-25'!$B$4:$CJ$143,9,FALSE)</f>
        <v>#N/A</v>
      </c>
      <c r="D20" s="335" t="s">
        <v>509</v>
      </c>
      <c r="E20" s="491" t="e">
        <f>VLOOKUP($I$3,'Data - 2025-26 Approved Budget'!$B$3:$CJ$140,9,FALSE)</f>
        <v>#N/A</v>
      </c>
      <c r="F20" s="345"/>
      <c r="G20" s="492">
        <f>_xlfn.IFNA(VLOOKUP(CONCATENATE($A20,D20),'SBS BvA Report (Table)'!$A:$N,5,0),0)</f>
        <v>0</v>
      </c>
      <c r="H20" s="345"/>
      <c r="I20" s="492">
        <f>IF($O$3="Y",_xlfn.IFNA(VLOOKUP(CONCATENATE($A20,$D20),'SBS BvA Report (Table)'!$A:$N,6,0),0),_xlfn.IFNA(-VLOOKUP(CONCATENATE($A20,$D20),'SBS BvA Report (Table)'!$A:$N,6,0),0))</f>
        <v>0</v>
      </c>
      <c r="J20" s="511">
        <f t="shared" si="1"/>
        <v>0</v>
      </c>
      <c r="K20" s="492">
        <f>_xlfn.IFNA(VLOOKUP(CONCATENATE($A20,$D20),'SBS BvA Report (Table)'!$A:$N,11,0),0)</f>
        <v>0</v>
      </c>
      <c r="L20" s="346"/>
      <c r="M20" s="143" t="e">
        <f t="shared" si="0"/>
        <v>#N/A</v>
      </c>
      <c r="N20" s="345"/>
      <c r="O20" s="517"/>
      <c r="P20" s="506"/>
    </row>
    <row r="21" spans="1:16" s="337" customFormat="1" ht="19.5" customHeight="1">
      <c r="A21" s="38" t="s">
        <v>510</v>
      </c>
      <c r="B21" s="39" t="s">
        <v>511</v>
      </c>
      <c r="C21" s="491" t="e">
        <f>VLOOKUP($I$3,'Data - CFR 2024-25'!$B$4:$CJ$143,10,FALSE)</f>
        <v>#N/A</v>
      </c>
      <c r="D21" s="335" t="s">
        <v>512</v>
      </c>
      <c r="E21" s="491" t="e">
        <f>VLOOKUP($I$3,'Data - 2025-26 Approved Budget'!$B$3:$CJ$140,10,FALSE)</f>
        <v>#N/A</v>
      </c>
      <c r="F21" s="345"/>
      <c r="G21" s="492">
        <f>_xlfn.IFNA(VLOOKUP(CONCATENATE($A21,D21),'SBS BvA Report (Table)'!$A:$N,5,0),0)</f>
        <v>0</v>
      </c>
      <c r="H21" s="345"/>
      <c r="I21" s="492">
        <f>IF($O$3="Y",_xlfn.IFNA(VLOOKUP(CONCATENATE($A21,$D21),'SBS BvA Report (Table)'!$A:$N,6,0),0),_xlfn.IFNA(-VLOOKUP(CONCATENATE($A21,$D21),'SBS BvA Report (Table)'!$A:$N,6,0),0))</f>
        <v>0</v>
      </c>
      <c r="J21" s="511">
        <f t="shared" si="1"/>
        <v>0</v>
      </c>
      <c r="K21" s="492">
        <f>_xlfn.IFNA(VLOOKUP(CONCATENATE($A21,$D21),'SBS BvA Report (Table)'!$A:$N,11,0),0)</f>
        <v>0</v>
      </c>
      <c r="L21" s="346"/>
      <c r="M21" s="143" t="e">
        <f t="shared" si="0"/>
        <v>#N/A</v>
      </c>
      <c r="N21" s="345"/>
      <c r="O21" s="517"/>
      <c r="P21" s="506"/>
    </row>
    <row r="22" spans="1:16" s="337" customFormat="1" ht="19.5" customHeight="1">
      <c r="A22" s="38" t="s">
        <v>513</v>
      </c>
      <c r="B22" s="39" t="s">
        <v>514</v>
      </c>
      <c r="C22" s="491" t="e">
        <f>VLOOKUP($I$3,'Data - CFR 2024-25'!$B$4:$CJ$143,11,FALSE)</f>
        <v>#N/A</v>
      </c>
      <c r="D22" s="335" t="s">
        <v>515</v>
      </c>
      <c r="E22" s="491" t="e">
        <f>VLOOKUP($I$3,'Data - 2025-26 Approved Budget'!$B$3:$CJ$140,11,FALSE)</f>
        <v>#N/A</v>
      </c>
      <c r="F22" s="345"/>
      <c r="G22" s="492">
        <f>_xlfn.IFNA(VLOOKUP(CONCATENATE($A22,D22),'SBS BvA Report (Table)'!$A:$N,5,0),0)</f>
        <v>0</v>
      </c>
      <c r="H22" s="345"/>
      <c r="I22" s="492">
        <f>IF($O$3="Y",_xlfn.IFNA(VLOOKUP(CONCATENATE($A22,$D22),'SBS BvA Report (Table)'!$A:$N,6,0),0),_xlfn.IFNA(-VLOOKUP(CONCATENATE($A22,$D22),'SBS BvA Report (Table)'!$A:$N,6,0),0))</f>
        <v>0</v>
      </c>
      <c r="J22" s="511">
        <f t="shared" si="1"/>
        <v>0</v>
      </c>
      <c r="K22" s="492">
        <f>_xlfn.IFNA(VLOOKUP(CONCATENATE($A22,$D22),'SBS BvA Report (Table)'!$A:$N,11,0),0)</f>
        <v>0</v>
      </c>
      <c r="L22" s="346"/>
      <c r="M22" s="143" t="e">
        <f t="shared" si="0"/>
        <v>#N/A</v>
      </c>
      <c r="N22" s="345"/>
      <c r="O22" s="517"/>
      <c r="P22" s="506"/>
    </row>
    <row r="23" spans="1:16" s="337" customFormat="1" ht="19.5" customHeight="1">
      <c r="A23" s="38" t="s">
        <v>516</v>
      </c>
      <c r="B23" s="39" t="s">
        <v>517</v>
      </c>
      <c r="C23" s="491" t="e">
        <f>VLOOKUP($I$3,'Data - CFR 2024-25'!$B$4:$CJ$143,12,FALSE)</f>
        <v>#N/A</v>
      </c>
      <c r="D23" s="335" t="s">
        <v>518</v>
      </c>
      <c r="E23" s="491" t="e">
        <f>VLOOKUP($I$3,'Data - 2025-26 Approved Budget'!$B$3:$CJ$140,12,FALSE)</f>
        <v>#N/A</v>
      </c>
      <c r="F23" s="345"/>
      <c r="G23" s="492">
        <f>_xlfn.IFNA(VLOOKUP(CONCATENATE($A23,D23),'SBS BvA Report (Table)'!$A:$N,5,0),0)</f>
        <v>0</v>
      </c>
      <c r="H23" s="345"/>
      <c r="I23" s="492">
        <f>IF($O$3="Y",_xlfn.IFNA(VLOOKUP(CONCATENATE($A23,$D23),'SBS BvA Report (Table)'!$A:$N,6,0),0),_xlfn.IFNA(-VLOOKUP(CONCATENATE($A23,$D23),'SBS BvA Report (Table)'!$A:$N,6,0),0))</f>
        <v>0</v>
      </c>
      <c r="J23" s="511">
        <f t="shared" si="1"/>
        <v>0</v>
      </c>
      <c r="K23" s="492">
        <f>_xlfn.IFNA(VLOOKUP(CONCATENATE($A23,$D23),'SBS BvA Report (Table)'!$A:$N,11,0),0)</f>
        <v>0</v>
      </c>
      <c r="L23" s="346"/>
      <c r="M23" s="143" t="e">
        <f t="shared" si="0"/>
        <v>#N/A</v>
      </c>
      <c r="N23" s="345"/>
      <c r="O23" s="517"/>
      <c r="P23" s="506"/>
    </row>
    <row r="24" spans="1:16" s="337" customFormat="1" ht="19.5" customHeight="1">
      <c r="A24" s="38" t="s">
        <v>519</v>
      </c>
      <c r="B24" s="39" t="s">
        <v>520</v>
      </c>
      <c r="C24" s="491" t="e">
        <f>VLOOKUP($I$3,'Data - CFR 2024-25'!$B$4:$CJ$143,13,FALSE)</f>
        <v>#N/A</v>
      </c>
      <c r="D24" s="335" t="s">
        <v>521</v>
      </c>
      <c r="E24" s="491" t="e">
        <f>VLOOKUP($I$3,'Data - 2025-26 Approved Budget'!$B$3:$CJ$140,13,FALSE)</f>
        <v>#N/A</v>
      </c>
      <c r="F24" s="345"/>
      <c r="G24" s="492">
        <f>_xlfn.IFNA(VLOOKUP(CONCATENATE($A24,D24),'SBS BvA Report (Table)'!$A:$N,5,0),0)</f>
        <v>0</v>
      </c>
      <c r="H24" s="345"/>
      <c r="I24" s="492">
        <f>IF($O$3="Y",_xlfn.IFNA(VLOOKUP(CONCATENATE($A24,$D24),'SBS BvA Report (Table)'!$A:$N,6,0),0),_xlfn.IFNA(-VLOOKUP(CONCATENATE($A24,$D24),'SBS BvA Report (Table)'!$A:$N,6,0),0))</f>
        <v>0</v>
      </c>
      <c r="J24" s="511">
        <f t="shared" si="1"/>
        <v>0</v>
      </c>
      <c r="K24" s="492">
        <f>_xlfn.IFNA(VLOOKUP(CONCATENATE($A24,$D24),'SBS BvA Report (Table)'!$A:$N,11,0),0)</f>
        <v>0</v>
      </c>
      <c r="L24" s="346"/>
      <c r="M24" s="143" t="e">
        <f t="shared" si="0"/>
        <v>#N/A</v>
      </c>
      <c r="N24" s="345"/>
      <c r="O24" s="517"/>
      <c r="P24" s="506"/>
    </row>
    <row r="25" spans="1:16" s="337" customFormat="1" ht="19.5" customHeight="1">
      <c r="A25" s="38" t="s">
        <v>522</v>
      </c>
      <c r="B25" s="39" t="s">
        <v>523</v>
      </c>
      <c r="C25" s="491" t="e">
        <f>VLOOKUP($I$3,'Data - CFR 2024-25'!$B$4:$CJ$143,14,FALSE)</f>
        <v>#N/A</v>
      </c>
      <c r="D25" s="335" t="s">
        <v>524</v>
      </c>
      <c r="E25" s="491" t="e">
        <f>VLOOKUP($I$3,'Data - 2025-26 Approved Budget'!$B$3:$CJ$140,14,FALSE)</f>
        <v>#N/A</v>
      </c>
      <c r="F25" s="345"/>
      <c r="G25" s="492">
        <f>_xlfn.IFNA(VLOOKUP(CONCATENATE($A25,D25),'SBS BvA Report (Table)'!$A:$N,5,0),0)</f>
        <v>0</v>
      </c>
      <c r="H25" s="345"/>
      <c r="I25" s="492">
        <f>IF($O$3="Y",_xlfn.IFNA(VLOOKUP(CONCATENATE($A25,$D25),'SBS BvA Report (Table)'!$A:$N,6,0),0),_xlfn.IFNA(-VLOOKUP(CONCATENATE($A25,$D25),'SBS BvA Report (Table)'!$A:$N,6,0),0))</f>
        <v>0</v>
      </c>
      <c r="J25" s="511">
        <f t="shared" si="1"/>
        <v>0</v>
      </c>
      <c r="K25" s="492">
        <f>_xlfn.IFNA(VLOOKUP(CONCATENATE($A25,$D25),'SBS BvA Report (Table)'!$A:$N,11,0),0)</f>
        <v>0</v>
      </c>
      <c r="L25" s="346"/>
      <c r="M25" s="143" t="e">
        <f t="shared" si="0"/>
        <v>#N/A</v>
      </c>
      <c r="N25" s="345"/>
      <c r="O25" s="517"/>
      <c r="P25" s="506"/>
    </row>
    <row r="26" spans="1:16" s="337" customFormat="1" ht="19.5" customHeight="1">
      <c r="A26" s="38" t="s">
        <v>525</v>
      </c>
      <c r="B26" s="39" t="s">
        <v>526</v>
      </c>
      <c r="C26" s="491" t="e">
        <f>VLOOKUP($I$3,'Data - CFR 2024-25'!$B$4:$CJ$143,15,FALSE)</f>
        <v>#N/A</v>
      </c>
      <c r="D26" s="335" t="s">
        <v>527</v>
      </c>
      <c r="E26" s="491" t="e">
        <f>VLOOKUP($I$3,'Data - 2025-26 Approved Budget'!$B$3:$CJ$140,15,FALSE)</f>
        <v>#N/A</v>
      </c>
      <c r="F26" s="345"/>
      <c r="G26" s="492">
        <f>_xlfn.IFNA(VLOOKUP(CONCATENATE($A26,D26),'SBS BvA Report (Table)'!$A:$N,5,0),0)</f>
        <v>0</v>
      </c>
      <c r="H26" s="345"/>
      <c r="I26" s="492">
        <f>IF($O$3="Y",_xlfn.IFNA(VLOOKUP(CONCATENATE($A26,$D26),'SBS BvA Report (Table)'!$A:$N,6,0),0),_xlfn.IFNA(-VLOOKUP(CONCATENATE($A26,$D26),'SBS BvA Report (Table)'!$A:$N,6,0),0))</f>
        <v>0</v>
      </c>
      <c r="J26" s="511">
        <f t="shared" si="1"/>
        <v>0</v>
      </c>
      <c r="K26" s="492">
        <f>_xlfn.IFNA(VLOOKUP(CONCATENATE($A26,$D26),'SBS BvA Report (Table)'!$A:$N,11,0),0)</f>
        <v>0</v>
      </c>
      <c r="L26" s="346"/>
      <c r="M26" s="143" t="e">
        <f t="shared" si="0"/>
        <v>#N/A</v>
      </c>
      <c r="N26" s="345"/>
      <c r="O26" s="517"/>
      <c r="P26" s="506"/>
    </row>
    <row r="27" spans="1:16" s="337" customFormat="1" ht="19.5" customHeight="1">
      <c r="A27" s="38" t="s">
        <v>528</v>
      </c>
      <c r="B27" s="39" t="s">
        <v>529</v>
      </c>
      <c r="C27" s="491" t="e">
        <f>VLOOKUP($I$3,'Data - CFR 2024-25'!$B$4:$CJ$143,16,FALSE)</f>
        <v>#N/A</v>
      </c>
      <c r="D27" s="335" t="s">
        <v>530</v>
      </c>
      <c r="E27" s="491" t="e">
        <f>VLOOKUP($I$3,'Data - 2025-26 Approved Budget'!$B$3:$CJ$140,16,FALSE)</f>
        <v>#N/A</v>
      </c>
      <c r="F27" s="345"/>
      <c r="G27" s="492">
        <f>_xlfn.IFNA(VLOOKUP(CONCATENATE($A27,D27),'SBS BvA Report (Table)'!$A:$N,5,0),0)</f>
        <v>0</v>
      </c>
      <c r="H27" s="345"/>
      <c r="I27" s="492">
        <f>IF($O$3="Y",_xlfn.IFNA(VLOOKUP(CONCATENATE($A27,$D27),'SBS BvA Report (Table)'!$A:$N,6,0),0),_xlfn.IFNA(-VLOOKUP(CONCATENATE($A27,$D27),'SBS BvA Report (Table)'!$A:$N,6,0),0))</f>
        <v>0</v>
      </c>
      <c r="J27" s="511">
        <f t="shared" si="1"/>
        <v>0</v>
      </c>
      <c r="K27" s="492">
        <f>_xlfn.IFNA(VLOOKUP(CONCATENATE($A27,$D27),'SBS BvA Report (Table)'!$A:$N,11,0),0)</f>
        <v>0</v>
      </c>
      <c r="L27" s="346"/>
      <c r="M27" s="143" t="e">
        <f t="shared" si="0"/>
        <v>#N/A</v>
      </c>
      <c r="N27" s="345"/>
      <c r="O27" s="517"/>
      <c r="P27" s="506"/>
    </row>
    <row r="28" spans="1:16" s="337" customFormat="1" ht="19.5" customHeight="1">
      <c r="A28" s="38" t="s">
        <v>531</v>
      </c>
      <c r="B28" s="39" t="s">
        <v>532</v>
      </c>
      <c r="C28" s="491" t="e">
        <f>VLOOKUP($I$3,'Data - CFR 2024-25'!$B$4:$CJ$143,17,FALSE)</f>
        <v>#N/A</v>
      </c>
      <c r="D28" s="335" t="s">
        <v>533</v>
      </c>
      <c r="E28" s="491" t="e">
        <f>VLOOKUP($I$3,'Data - 2025-26 Approved Budget'!$B$3:$CJ$140,17,FALSE)</f>
        <v>#N/A</v>
      </c>
      <c r="F28" s="345"/>
      <c r="G28" s="492">
        <f>_xlfn.IFNA(VLOOKUP(CONCATENATE($A28,D28),'SBS BvA Report (Table)'!$A:$N,5,0),0)</f>
        <v>0</v>
      </c>
      <c r="H28" s="345"/>
      <c r="I28" s="492">
        <f>IF($O$3="Y",_xlfn.IFNA(VLOOKUP(CONCATENATE($A28,$D28),'SBS BvA Report (Table)'!$A:$N,6,0),0),_xlfn.IFNA(-VLOOKUP(CONCATENATE($A28,$D28),'SBS BvA Report (Table)'!$A:$N,6,0),0))</f>
        <v>0</v>
      </c>
      <c r="J28" s="511">
        <f t="shared" si="1"/>
        <v>0</v>
      </c>
      <c r="K28" s="492">
        <f>_xlfn.IFNA(VLOOKUP(CONCATENATE($A28,$D28),'SBS BvA Report (Table)'!$A:$N,11,0),0)</f>
        <v>0</v>
      </c>
      <c r="L28" s="346"/>
      <c r="M28" s="143" t="e">
        <f t="shared" si="0"/>
        <v>#N/A</v>
      </c>
      <c r="N28" s="345"/>
      <c r="O28" s="517"/>
      <c r="P28" s="506"/>
    </row>
    <row r="29" spans="1:16" s="337" customFormat="1" ht="19.5" customHeight="1">
      <c r="A29" s="38" t="s">
        <v>534</v>
      </c>
      <c r="B29" s="39" t="s">
        <v>535</v>
      </c>
      <c r="C29" s="491" t="e">
        <f>VLOOKUP($I$3,'Data - CFR 2024-25'!$B$4:$CJ$143,18,FALSE)</f>
        <v>#N/A</v>
      </c>
      <c r="D29" s="335" t="s">
        <v>536</v>
      </c>
      <c r="E29" s="491" t="e">
        <f>VLOOKUP($I$3,'Data - 2025-26 Approved Budget'!$B$3:$CJ$140,18,FALSE)</f>
        <v>#N/A</v>
      </c>
      <c r="F29" s="345"/>
      <c r="G29" s="492">
        <f>_xlfn.IFNA(VLOOKUP(CONCATENATE($A29,D29),'SBS BvA Report (Table)'!$A:$N,5,0),0)</f>
        <v>0</v>
      </c>
      <c r="H29" s="345"/>
      <c r="I29" s="492">
        <f>IF($O$3="Y",_xlfn.IFNA(VLOOKUP(CONCATENATE($A29,$D29),'SBS BvA Report (Table)'!$A:$N,6,0),0),_xlfn.IFNA(-VLOOKUP(CONCATENATE($A29,$D29),'SBS BvA Report (Table)'!$A:$N,6,0),0))</f>
        <v>0</v>
      </c>
      <c r="J29" s="511">
        <f t="shared" si="1"/>
        <v>0</v>
      </c>
      <c r="K29" s="492">
        <f>_xlfn.IFNA(VLOOKUP(CONCATENATE($A29,$D29),'SBS BvA Report (Table)'!$A:$N,11,0),0)</f>
        <v>0</v>
      </c>
      <c r="L29" s="346"/>
      <c r="M29" s="143" t="e">
        <f t="shared" si="0"/>
        <v>#N/A</v>
      </c>
      <c r="N29" s="345"/>
      <c r="O29" s="517"/>
      <c r="P29" s="506"/>
    </row>
    <row r="30" spans="1:16" s="337" customFormat="1" ht="19.5" customHeight="1">
      <c r="A30" s="38" t="s">
        <v>537</v>
      </c>
      <c r="B30" s="39" t="s">
        <v>538</v>
      </c>
      <c r="C30" s="491" t="e">
        <f>VLOOKUP($I$3,'Data - CFR 2024-25'!$B$4:$CJ$143,19,FALSE)</f>
        <v>#N/A</v>
      </c>
      <c r="D30" s="335"/>
      <c r="E30" s="491" t="e">
        <f>VLOOKUP($I$3,'Data - 2025-26 Approved Budget'!$B$3:$CJ$140,19,FALSE)</f>
        <v>#N/A</v>
      </c>
      <c r="F30" s="345"/>
      <c r="G30" s="492">
        <f>_xlfn.IFNA(VLOOKUP(CONCATENATE($A30,D30),'SBS BvA Report (Table)'!$A:$N,5,0),0)</f>
        <v>0</v>
      </c>
      <c r="H30" s="345"/>
      <c r="I30" s="492">
        <f>IF($O$3="Y",_xlfn.IFNA(VLOOKUP(CONCATENATE($A30,$D30),'SBS BvA Report (Table)'!$A:$N,6,0),0),_xlfn.IFNA(-VLOOKUP(CONCATENATE($A30,$D30),'SBS BvA Report (Table)'!$A:$N,6,0),0))</f>
        <v>0</v>
      </c>
      <c r="J30" s="511">
        <f t="shared" si="1"/>
        <v>0</v>
      </c>
      <c r="K30" s="492">
        <f>_xlfn.IFNA(VLOOKUP(CONCATENATE($A30,$D30),'SBS BvA Report (Table)'!$A:$N,11,0),0)</f>
        <v>0</v>
      </c>
      <c r="L30" s="346"/>
      <c r="M30" s="143" t="e">
        <f t="shared" si="0"/>
        <v>#N/A</v>
      </c>
      <c r="N30" s="345"/>
      <c r="O30" s="517"/>
      <c r="P30" s="506"/>
    </row>
    <row r="31" spans="1:16" s="337" customFormat="1" ht="19.5" customHeight="1">
      <c r="A31" s="38" t="s">
        <v>539</v>
      </c>
      <c r="B31" s="39" t="s">
        <v>540</v>
      </c>
      <c r="C31" s="491" t="e">
        <f>VLOOKUP($I$3,'Data - CFR 2024-25'!$B$4:$CJ$143,20,FALSE)</f>
        <v>#N/A</v>
      </c>
      <c r="D31" s="335" t="s">
        <v>541</v>
      </c>
      <c r="E31" s="491" t="e">
        <f>VLOOKUP($I$3,'Data - 2025-26 Approved Budget'!$B$3:$CJ$140,20,FALSE)</f>
        <v>#N/A</v>
      </c>
      <c r="F31" s="345"/>
      <c r="G31" s="492">
        <f>_xlfn.IFNA(VLOOKUP(CONCATENATE($A31,D31),'SBS BvA Report (Table)'!$A:$N,5,0),0)</f>
        <v>0</v>
      </c>
      <c r="H31" s="345"/>
      <c r="I31" s="492">
        <f>IF($O$3="Y",_xlfn.IFNA(VLOOKUP(CONCATENATE($A31,$D31),'SBS BvA Report (Table)'!$A:$N,6,0),0),_xlfn.IFNA(-VLOOKUP(CONCATENATE($A31,$D31),'SBS BvA Report (Table)'!$A:$N,6,0),0))</f>
        <v>0</v>
      </c>
      <c r="J31" s="511">
        <f t="shared" si="1"/>
        <v>0</v>
      </c>
      <c r="K31" s="492">
        <f>_xlfn.IFNA(VLOOKUP(CONCATENATE($A31,$D31),'SBS BvA Report (Table)'!$A:$N,11,0),0)</f>
        <v>0</v>
      </c>
      <c r="L31" s="346"/>
      <c r="M31" s="143" t="e">
        <f t="shared" si="0"/>
        <v>#N/A</v>
      </c>
      <c r="N31" s="345"/>
      <c r="O31" s="517"/>
      <c r="P31" s="506"/>
    </row>
    <row r="32" spans="1:16" s="337" customFormat="1" ht="19.5" customHeight="1">
      <c r="A32" s="38" t="s">
        <v>542</v>
      </c>
      <c r="B32" s="39" t="s">
        <v>540</v>
      </c>
      <c r="C32" s="491" t="e">
        <f>VLOOKUP($I$3,'Data - CFR 2024-25'!$B$4:$CJ$143,21,FALSE)</f>
        <v>#N/A</v>
      </c>
      <c r="D32" s="335" t="s">
        <v>543</v>
      </c>
      <c r="E32" s="491" t="e">
        <f>VLOOKUP($I$3,'Data - 2025-26 Approved Budget'!$B$3:$CJ$140,21,FALSE)</f>
        <v>#N/A</v>
      </c>
      <c r="F32" s="345"/>
      <c r="G32" s="492">
        <f>_xlfn.IFNA(VLOOKUP(CONCATENATE($A32,D32),'SBS BvA Report (Table)'!$A:$N,5,0),0)</f>
        <v>0</v>
      </c>
      <c r="H32" s="345"/>
      <c r="I32" s="492">
        <f>IF($O$3="Y",_xlfn.IFNA(VLOOKUP(CONCATENATE($A32,$D32),'SBS BvA Report (Table)'!$A:$N,6,0),0),_xlfn.IFNA(-VLOOKUP(CONCATENATE($A32,$D32),'SBS BvA Report (Table)'!$A:$N,6,0),0))</f>
        <v>0</v>
      </c>
      <c r="J32" s="511">
        <f t="shared" si="1"/>
        <v>0</v>
      </c>
      <c r="K32" s="492">
        <f>_xlfn.IFNA(VLOOKUP(CONCATENATE($A32,$D32),'SBS BvA Report (Table)'!$A:$N,11,0),0)</f>
        <v>0</v>
      </c>
      <c r="L32" s="346"/>
      <c r="M32" s="143" t="e">
        <f t="shared" si="0"/>
        <v>#N/A</v>
      </c>
      <c r="N32" s="345"/>
      <c r="O32" s="517"/>
      <c r="P32" s="506"/>
    </row>
    <row r="33" spans="1:16" s="337" customFormat="1" ht="19.5" customHeight="1">
      <c r="A33" s="38" t="s">
        <v>544</v>
      </c>
      <c r="B33" s="39" t="s">
        <v>540</v>
      </c>
      <c r="C33" s="491" t="e">
        <f>VLOOKUP($I$3,'Data - CFR 2024-25'!$B$4:$CJ$143,22,FALSE)</f>
        <v>#N/A</v>
      </c>
      <c r="D33" s="335" t="s">
        <v>545</v>
      </c>
      <c r="E33" s="491" t="e">
        <f>VLOOKUP($I$3,'Data - 2025-26 Approved Budget'!$B$3:$CJ$140,22,FALSE)</f>
        <v>#N/A</v>
      </c>
      <c r="F33" s="345"/>
      <c r="G33" s="492">
        <f>_xlfn.IFNA(VLOOKUP(CONCATENATE($A33,D33),'SBS BvA Report (Table)'!$A:$N,5,0),0)</f>
        <v>0</v>
      </c>
      <c r="H33" s="345"/>
      <c r="I33" s="492">
        <f>IF($O$3="Y",_xlfn.IFNA(VLOOKUP(CONCATENATE($A33,$D33),'SBS BvA Report (Table)'!$A:$N,6,0),0),_xlfn.IFNA(-VLOOKUP(CONCATENATE($A33,$D33),'SBS BvA Report (Table)'!$A:$N,6,0),0))</f>
        <v>0</v>
      </c>
      <c r="J33" s="511">
        <f t="shared" si="1"/>
        <v>0</v>
      </c>
      <c r="K33" s="492">
        <f>_xlfn.IFNA(VLOOKUP(CONCATENATE($A33,$D33),'SBS BvA Report (Table)'!$A:$N,11,0),0)</f>
        <v>0</v>
      </c>
      <c r="L33" s="346"/>
      <c r="M33" s="143" t="e">
        <f t="shared" si="0"/>
        <v>#N/A</v>
      </c>
      <c r="N33" s="345"/>
      <c r="O33" s="517"/>
      <c r="P33" s="506"/>
    </row>
    <row r="34" spans="1:16" s="337" customFormat="1" ht="19.5" customHeight="1" thickBot="1">
      <c r="A34" s="40" t="s">
        <v>546</v>
      </c>
      <c r="B34" s="39" t="s">
        <v>547</v>
      </c>
      <c r="C34" s="491" t="e">
        <f>VLOOKUP($I$3,'Data - CFR 2024-25'!$B$4:$CJ$143,23,FALSE)</f>
        <v>#N/A</v>
      </c>
      <c r="D34" s="335" t="s">
        <v>548</v>
      </c>
      <c r="E34" s="491" t="e">
        <f>VLOOKUP($I$3,'Data - 2025-26 Approved Budget'!$B$3:$CJ$140,23,FALSE)</f>
        <v>#N/A</v>
      </c>
      <c r="F34" s="345"/>
      <c r="G34" s="492">
        <f>_xlfn.IFNA(VLOOKUP(CONCATENATE($A34,D34),'SBS BvA Report (Table)'!$A:$N,5,0),0)</f>
        <v>0</v>
      </c>
      <c r="H34" s="345"/>
      <c r="I34" s="492">
        <f>IF($O$3="Y",_xlfn.IFNA(VLOOKUP(CONCATENATE($A34,$D34),'SBS BvA Report (Table)'!$A:$N,6,0),0),_xlfn.IFNA(-VLOOKUP(CONCATENATE($A34,$D34),'SBS BvA Report (Table)'!$A:$N,6,0),0))</f>
        <v>0</v>
      </c>
      <c r="J34" s="511">
        <f t="shared" si="1"/>
        <v>0</v>
      </c>
      <c r="K34" s="492">
        <f>_xlfn.IFNA(VLOOKUP(CONCATENATE($A34,$D34),'SBS BvA Report (Table)'!$A:$N,11,0),0)</f>
        <v>0</v>
      </c>
      <c r="L34" s="346"/>
      <c r="M34" s="143" t="e">
        <f t="shared" si="0"/>
        <v>#N/A</v>
      </c>
      <c r="N34" s="345"/>
      <c r="O34" s="517"/>
      <c r="P34" s="506"/>
    </row>
    <row r="35" spans="1:16" s="337" customFormat="1" ht="19.5" customHeight="1" thickBot="1">
      <c r="A35" s="38"/>
      <c r="B35" s="41" t="s">
        <v>549</v>
      </c>
      <c r="C35" s="1" t="e">
        <f>SUM(C16:C34)</f>
        <v>#N/A</v>
      </c>
      <c r="D35" s="336"/>
      <c r="E35" s="1" t="e">
        <f>SUM(E16:E34)</f>
        <v>#N/A</v>
      </c>
      <c r="F35" s="345"/>
      <c r="G35" s="1">
        <f>SUM(G16:G34)</f>
        <v>0</v>
      </c>
      <c r="H35" s="345"/>
      <c r="I35" s="1">
        <f>SUM(I16:I34)</f>
        <v>0</v>
      </c>
      <c r="J35" s="512">
        <f>IF(OR(I35="",I35=0),0%,I35/K35)</f>
        <v>0</v>
      </c>
      <c r="K35" s="1">
        <f>SUM(K16:K34)</f>
        <v>0</v>
      </c>
      <c r="L35" s="64"/>
      <c r="M35" s="144" t="e">
        <f>SUM(M16:M34)</f>
        <v>#N/A</v>
      </c>
      <c r="O35" s="498"/>
      <c r="P35" s="345"/>
    </row>
    <row r="36" spans="1:16" s="337" customFormat="1" ht="12" customHeight="1">
      <c r="A36" s="38"/>
      <c r="B36" s="41"/>
      <c r="C36" s="6"/>
      <c r="D36" s="336"/>
      <c r="E36" s="6"/>
      <c r="G36" s="6"/>
      <c r="I36" s="6"/>
      <c r="J36" s="322"/>
      <c r="K36" s="6"/>
      <c r="L36" s="51"/>
      <c r="M36" s="6"/>
      <c r="O36" s="339"/>
      <c r="P36" s="345"/>
    </row>
    <row r="37" spans="1:16" s="337" customFormat="1" ht="96.6">
      <c r="A37" s="47" t="str">
        <f>B3</f>
        <v>Please Click on Arrow to Choose School</v>
      </c>
      <c r="B37" s="41"/>
      <c r="C37" s="134" t="s">
        <v>484</v>
      </c>
      <c r="D37" s="135"/>
      <c r="E37" s="134" t="s">
        <v>485</v>
      </c>
      <c r="F37" s="136"/>
      <c r="G37" s="134" t="s">
        <v>486</v>
      </c>
      <c r="H37" s="136"/>
      <c r="I37" s="134" t="s">
        <v>487</v>
      </c>
      <c r="J37" s="320" t="s">
        <v>488</v>
      </c>
      <c r="K37" s="134" t="s">
        <v>489</v>
      </c>
      <c r="L37" s="134"/>
      <c r="M37" s="134" t="s">
        <v>1441</v>
      </c>
      <c r="N37" s="131"/>
      <c r="O37" s="134" t="s">
        <v>550</v>
      </c>
      <c r="P37" s="505" t="s">
        <v>1481</v>
      </c>
    </row>
    <row r="38" spans="1:16" s="62" customFormat="1" ht="23.25" customHeight="1">
      <c r="A38" s="33"/>
      <c r="B38" s="137"/>
      <c r="C38" s="534" t="s">
        <v>490</v>
      </c>
      <c r="D38" s="534"/>
      <c r="E38" s="534"/>
      <c r="F38" s="534"/>
      <c r="G38" s="534"/>
      <c r="H38" s="534"/>
      <c r="I38" s="534"/>
      <c r="J38" s="534"/>
      <c r="K38" s="534"/>
      <c r="L38" s="534"/>
      <c r="M38" s="534"/>
      <c r="N38" s="344"/>
      <c r="O38" s="343"/>
      <c r="P38" s="503"/>
    </row>
    <row r="39" spans="1:16" s="337" customFormat="1" ht="19.5" customHeight="1">
      <c r="A39" s="44" t="s">
        <v>491</v>
      </c>
      <c r="B39" s="35" t="s">
        <v>551</v>
      </c>
      <c r="C39" s="42" t="s">
        <v>493</v>
      </c>
      <c r="D39" s="37"/>
      <c r="E39" s="42" t="s">
        <v>493</v>
      </c>
      <c r="G39" s="42" t="s">
        <v>493</v>
      </c>
      <c r="I39" s="42" t="s">
        <v>493</v>
      </c>
      <c r="J39" s="321"/>
      <c r="K39" s="42" t="s">
        <v>493</v>
      </c>
      <c r="L39" s="128"/>
      <c r="M39" s="42" t="s">
        <v>493</v>
      </c>
      <c r="O39" s="339"/>
      <c r="P39" s="504"/>
    </row>
    <row r="40" spans="1:16" s="337" customFormat="1" ht="19.5" customHeight="1">
      <c r="A40" s="38" t="s">
        <v>552</v>
      </c>
      <c r="B40" s="39" t="s">
        <v>553</v>
      </c>
      <c r="C40" s="493" t="e">
        <f>VLOOKUP($I$3,'Data - CFR 2024-25'!$B$4:$CJ$143,25,FALSE)</f>
        <v>#N/A</v>
      </c>
      <c r="D40" s="335" t="s">
        <v>554</v>
      </c>
      <c r="E40" s="493" t="e">
        <f>VLOOKUP($I$3,'Data - 2025-26 Approved Budget'!$B$3:$CJ$140,25,FALSE)</f>
        <v>#N/A</v>
      </c>
      <c r="F40" s="345"/>
      <c r="G40" s="494">
        <f>_xlfn.IFNA(VLOOKUP(CONCATENATE($A40,$D40),'SBS BvA Report (Table)'!$A:$N,5,0),0)</f>
        <v>0</v>
      </c>
      <c r="H40" s="345"/>
      <c r="I40" s="494">
        <f>_xlfn.IFNA(VLOOKUP(CONCATENATE($A40,$D40),'SBS BvA Report (Table)'!$A:$N,6,0),0)</f>
        <v>0</v>
      </c>
      <c r="J40" s="511">
        <f t="shared" ref="J40:J70" si="2">IFERROR(IF(I40="",0%,I40/K40),0)</f>
        <v>0</v>
      </c>
      <c r="K40" s="494">
        <f>_xlfn.IFNA(VLOOKUP(CONCATENATE($A40,$D40),'SBS BvA Report (Table)'!$A:$N,11,0),0)</f>
        <v>0</v>
      </c>
      <c r="L40" s="346"/>
      <c r="M40" s="143" t="e">
        <f>IF(G40="",(K40-E40),(K40-E40))</f>
        <v>#N/A</v>
      </c>
      <c r="N40" s="345"/>
      <c r="O40" s="517"/>
      <c r="P40" s="506"/>
    </row>
    <row r="41" spans="1:16" s="337" customFormat="1" ht="19.5" customHeight="1">
      <c r="A41" s="38" t="s">
        <v>555</v>
      </c>
      <c r="B41" s="39" t="s">
        <v>556</v>
      </c>
      <c r="C41" s="493" t="e">
        <f>VLOOKUP($I$3,'Data - CFR 2024-25'!$B$4:$CJ$143,26,FALSE)</f>
        <v>#N/A</v>
      </c>
      <c r="D41" s="335" t="s">
        <v>557</v>
      </c>
      <c r="E41" s="493" t="e">
        <f>VLOOKUP($I$3,'Data - 2025-26 Approved Budget'!$B$3:$CJ$140,26,FALSE)</f>
        <v>#N/A</v>
      </c>
      <c r="F41" s="345"/>
      <c r="G41" s="492">
        <f>_xlfn.IFNA(VLOOKUP(CONCATENATE($A41,$D41),'SBS BvA Report (Table)'!$A:$N,5,0),0)</f>
        <v>0</v>
      </c>
      <c r="H41" s="345"/>
      <c r="I41" s="492">
        <f>_xlfn.IFNA(VLOOKUP(CONCATENATE($A41,$D41),'SBS BvA Report (Table)'!$A:$N,6,0),0)</f>
        <v>0</v>
      </c>
      <c r="J41" s="511">
        <f t="shared" si="2"/>
        <v>0</v>
      </c>
      <c r="K41" s="492">
        <f>_xlfn.IFNA(VLOOKUP(CONCATENATE($A41,$D41),'SBS BvA Report (Table)'!$A:$N,11,0),0)</f>
        <v>0</v>
      </c>
      <c r="L41" s="346"/>
      <c r="M41" s="143" t="e">
        <f t="shared" ref="M41:M70" si="3">IF(G41="",(K41-E41),(K41-E41))</f>
        <v>#N/A</v>
      </c>
      <c r="N41" s="345"/>
      <c r="O41" s="517"/>
      <c r="P41" s="506"/>
    </row>
    <row r="42" spans="1:16" s="337" customFormat="1" ht="19.5" customHeight="1">
      <c r="A42" s="38" t="s">
        <v>558</v>
      </c>
      <c r="B42" s="39" t="s">
        <v>559</v>
      </c>
      <c r="C42" s="493" t="e">
        <f>VLOOKUP($I$3,'Data - CFR 2024-25'!$B$4:$CJ$143,27,FALSE)</f>
        <v>#N/A</v>
      </c>
      <c r="D42" s="335" t="s">
        <v>560</v>
      </c>
      <c r="E42" s="493" t="e">
        <f>VLOOKUP($I$3,'Data - 2025-26 Approved Budget'!$B$3:$CJ$140,27,FALSE)</f>
        <v>#N/A</v>
      </c>
      <c r="F42" s="345"/>
      <c r="G42" s="492">
        <f>_xlfn.IFNA(VLOOKUP(CONCATENATE($A42,$D42),'SBS BvA Report (Table)'!$A:$N,5,0),0)</f>
        <v>0</v>
      </c>
      <c r="H42" s="345"/>
      <c r="I42" s="492">
        <f>_xlfn.IFNA(VLOOKUP(CONCATENATE($A42,$D42),'SBS BvA Report (Table)'!$A:$N,6,0),0)</f>
        <v>0</v>
      </c>
      <c r="J42" s="511">
        <f t="shared" si="2"/>
        <v>0</v>
      </c>
      <c r="K42" s="492">
        <f>_xlfn.IFNA(VLOOKUP(CONCATENATE($A42,$D42),'SBS BvA Report (Table)'!$A:$N,11,0),0)</f>
        <v>0</v>
      </c>
      <c r="L42" s="346"/>
      <c r="M42" s="143" t="e">
        <f t="shared" si="3"/>
        <v>#N/A</v>
      </c>
      <c r="N42" s="345"/>
      <c r="O42" s="517"/>
      <c r="P42" s="506"/>
    </row>
    <row r="43" spans="1:16" s="337" customFormat="1" ht="19.5" customHeight="1">
      <c r="A43" s="38" t="s">
        <v>561</v>
      </c>
      <c r="B43" s="39" t="s">
        <v>562</v>
      </c>
      <c r="C43" s="493" t="e">
        <f>VLOOKUP($I$3,'Data - CFR 2024-25'!$B$4:$CJ$143,28,FALSE)</f>
        <v>#N/A</v>
      </c>
      <c r="D43" s="335" t="s">
        <v>563</v>
      </c>
      <c r="E43" s="493" t="e">
        <f>VLOOKUP($I$3,'Data - 2025-26 Approved Budget'!$B$3:$CJ$140,28,FALSE)</f>
        <v>#N/A</v>
      </c>
      <c r="F43" s="345"/>
      <c r="G43" s="492">
        <f>_xlfn.IFNA(VLOOKUP(CONCATENATE($A43,$D43),'SBS BvA Report (Table)'!$A:$N,5,0),0)</f>
        <v>0</v>
      </c>
      <c r="H43" s="345"/>
      <c r="I43" s="492">
        <f>_xlfn.IFNA(VLOOKUP(CONCATENATE($A43,$D43),'SBS BvA Report (Table)'!$A:$N,6,0),0)</f>
        <v>0</v>
      </c>
      <c r="J43" s="511">
        <f t="shared" si="2"/>
        <v>0</v>
      </c>
      <c r="K43" s="492">
        <f>_xlfn.IFNA(VLOOKUP(CONCATENATE($A43,$D43),'SBS BvA Report (Table)'!$A:$N,11,0),0)</f>
        <v>0</v>
      </c>
      <c r="L43" s="346"/>
      <c r="M43" s="143" t="e">
        <f t="shared" si="3"/>
        <v>#N/A</v>
      </c>
      <c r="N43" s="345"/>
      <c r="O43" s="517"/>
      <c r="P43" s="506"/>
    </row>
    <row r="44" spans="1:16" s="337" customFormat="1" ht="19.5" customHeight="1">
      <c r="A44" s="38" t="s">
        <v>564</v>
      </c>
      <c r="B44" s="39" t="s">
        <v>565</v>
      </c>
      <c r="C44" s="493" t="e">
        <f>VLOOKUP($I$3,'Data - CFR 2024-25'!$B$4:$CJ$143,29,FALSE)</f>
        <v>#N/A</v>
      </c>
      <c r="D44" s="335" t="s">
        <v>566</v>
      </c>
      <c r="E44" s="493" t="e">
        <f>VLOOKUP($I$3,'Data - 2025-26 Approved Budget'!$B$3:$CJ$140,29,FALSE)</f>
        <v>#N/A</v>
      </c>
      <c r="F44" s="345"/>
      <c r="G44" s="492">
        <f>_xlfn.IFNA(VLOOKUP(CONCATENATE($A44,$D44),'SBS BvA Report (Table)'!$A:$N,5,0),0)</f>
        <v>0</v>
      </c>
      <c r="H44" s="345"/>
      <c r="I44" s="492">
        <f>_xlfn.IFNA(VLOOKUP(CONCATENATE($A44,$D44),'SBS BvA Report (Table)'!$A:$N,6,0),0)</f>
        <v>0</v>
      </c>
      <c r="J44" s="511">
        <f t="shared" si="2"/>
        <v>0</v>
      </c>
      <c r="K44" s="492">
        <f>_xlfn.IFNA(VLOOKUP(CONCATENATE($A44,$D44),'SBS BvA Report (Table)'!$A:$N,11,0),0)</f>
        <v>0</v>
      </c>
      <c r="L44" s="346"/>
      <c r="M44" s="143" t="e">
        <f t="shared" si="3"/>
        <v>#N/A</v>
      </c>
      <c r="N44" s="345"/>
      <c r="O44" s="517"/>
      <c r="P44" s="506"/>
    </row>
    <row r="45" spans="1:16" s="337" customFormat="1" ht="19.5" customHeight="1">
      <c r="A45" s="38" t="s">
        <v>567</v>
      </c>
      <c r="B45" s="39" t="s">
        <v>568</v>
      </c>
      <c r="C45" s="493" t="e">
        <f>VLOOKUP($I$3,'Data - CFR 2024-25'!$B$4:$CJ$143,30,FALSE)</f>
        <v>#N/A</v>
      </c>
      <c r="D45" s="335" t="s">
        <v>569</v>
      </c>
      <c r="E45" s="493" t="e">
        <f>VLOOKUP($I$3,'Data - 2025-26 Approved Budget'!$B$3:$CJ$140,30,FALSE)</f>
        <v>#N/A</v>
      </c>
      <c r="F45" s="345"/>
      <c r="G45" s="492">
        <f>_xlfn.IFNA(VLOOKUP(CONCATENATE($A45,$D45),'SBS BvA Report (Table)'!$A:$N,5,0),0)</f>
        <v>0</v>
      </c>
      <c r="H45" s="345"/>
      <c r="I45" s="492">
        <f>_xlfn.IFNA(VLOOKUP(CONCATENATE($A45,$D45),'SBS BvA Report (Table)'!$A:$N,6,0),0)</f>
        <v>0</v>
      </c>
      <c r="J45" s="511">
        <f t="shared" si="2"/>
        <v>0</v>
      </c>
      <c r="K45" s="492">
        <f>_xlfn.IFNA(VLOOKUP(CONCATENATE($A45,$D45),'SBS BvA Report (Table)'!$A:$N,11,0),0)</f>
        <v>0</v>
      </c>
      <c r="L45" s="346"/>
      <c r="M45" s="143" t="e">
        <f t="shared" si="3"/>
        <v>#N/A</v>
      </c>
      <c r="N45" s="345"/>
      <c r="O45" s="517"/>
      <c r="P45" s="506"/>
    </row>
    <row r="46" spans="1:16" s="337" customFormat="1" ht="19.5" customHeight="1">
      <c r="A46" s="38" t="s">
        <v>570</v>
      </c>
      <c r="B46" s="39" t="s">
        <v>571</v>
      </c>
      <c r="C46" s="493" t="e">
        <f>VLOOKUP($I$3,'Data - CFR 2024-25'!$B$4:$CJ$143,31,FALSE)</f>
        <v>#N/A</v>
      </c>
      <c r="D46" s="335" t="s">
        <v>572</v>
      </c>
      <c r="E46" s="493" t="e">
        <f>VLOOKUP($I$3,'Data - 2025-26 Approved Budget'!$B$3:$CJ$140,31,FALSE)</f>
        <v>#N/A</v>
      </c>
      <c r="F46" s="345"/>
      <c r="G46" s="492">
        <f>_xlfn.IFNA(VLOOKUP(CONCATENATE($A46,$D46),'SBS BvA Report (Table)'!$A:$N,5,0),0)</f>
        <v>0</v>
      </c>
      <c r="H46" s="345"/>
      <c r="I46" s="492">
        <f>_xlfn.IFNA(VLOOKUP(CONCATENATE($A46,$D46),'SBS BvA Report (Table)'!$A:$N,6,0),0)</f>
        <v>0</v>
      </c>
      <c r="J46" s="511">
        <f t="shared" si="2"/>
        <v>0</v>
      </c>
      <c r="K46" s="492">
        <f>_xlfn.IFNA(VLOOKUP(CONCATENATE($A46,$D46),'SBS BvA Report (Table)'!$A:$N,11,0),0)</f>
        <v>0</v>
      </c>
      <c r="L46" s="346"/>
      <c r="M46" s="143" t="e">
        <f t="shared" si="3"/>
        <v>#N/A</v>
      </c>
      <c r="N46" s="345"/>
      <c r="O46" s="517"/>
      <c r="P46" s="506"/>
    </row>
    <row r="47" spans="1:16" s="337" customFormat="1" ht="19.5" customHeight="1">
      <c r="A47" s="38" t="s">
        <v>573</v>
      </c>
      <c r="B47" s="39" t="s">
        <v>574</v>
      </c>
      <c r="C47" s="493" t="e">
        <f>VLOOKUP($I$3,'Data - CFR 2024-25'!$B$4:$CJ$143,32,FALSE)</f>
        <v>#N/A</v>
      </c>
      <c r="D47" s="335" t="s">
        <v>575</v>
      </c>
      <c r="E47" s="493" t="e">
        <f>VLOOKUP($I$3,'Data - 2025-26 Approved Budget'!$B$3:$CJ$140,32,FALSE)</f>
        <v>#N/A</v>
      </c>
      <c r="F47" s="345"/>
      <c r="G47" s="492">
        <f>_xlfn.IFNA(VLOOKUP(CONCATENATE($A47,$D47),'SBS BvA Report (Table)'!$A:$N,5,0),0)</f>
        <v>0</v>
      </c>
      <c r="H47" s="345"/>
      <c r="I47" s="492">
        <f>_xlfn.IFNA(VLOOKUP(CONCATENATE($A47,$D47),'SBS BvA Report (Table)'!$A:$N,6,0),0)</f>
        <v>0</v>
      </c>
      <c r="J47" s="511">
        <f t="shared" si="2"/>
        <v>0</v>
      </c>
      <c r="K47" s="492">
        <f>_xlfn.IFNA(VLOOKUP(CONCATENATE($A47,$D47),'SBS BvA Report (Table)'!$A:$N,11,0),0)</f>
        <v>0</v>
      </c>
      <c r="L47" s="346"/>
      <c r="M47" s="143" t="e">
        <f t="shared" si="3"/>
        <v>#N/A</v>
      </c>
      <c r="N47" s="345"/>
      <c r="O47" s="517"/>
      <c r="P47" s="506"/>
    </row>
    <row r="48" spans="1:16" s="337" customFormat="1" ht="19.5" customHeight="1">
      <c r="A48" s="38" t="s">
        <v>576</v>
      </c>
      <c r="B48" s="39" t="s">
        <v>577</v>
      </c>
      <c r="C48" s="493" t="e">
        <f>VLOOKUP($I$3,'Data - CFR 2024-25'!$B$4:$CJ$143,33,FALSE)</f>
        <v>#N/A</v>
      </c>
      <c r="D48" s="335" t="s">
        <v>578</v>
      </c>
      <c r="E48" s="493" t="e">
        <f>VLOOKUP($I$3,'Data - 2025-26 Approved Budget'!$B$3:$CJ$140,33,FALSE)</f>
        <v>#N/A</v>
      </c>
      <c r="F48" s="345"/>
      <c r="G48" s="492">
        <f>_xlfn.IFNA(VLOOKUP(CONCATENATE($A48,$D48),'SBS BvA Report (Table)'!$A:$N,5,0),0)</f>
        <v>0</v>
      </c>
      <c r="H48" s="345"/>
      <c r="I48" s="492">
        <f>_xlfn.IFNA(VLOOKUP(CONCATENATE($A48,$D48),'SBS BvA Report (Table)'!$A:$N,6,0),0)</f>
        <v>0</v>
      </c>
      <c r="J48" s="511">
        <f t="shared" si="2"/>
        <v>0</v>
      </c>
      <c r="K48" s="492">
        <f>_xlfn.IFNA(VLOOKUP(CONCATENATE($A48,$D48),'SBS BvA Report (Table)'!$A:$N,11,0),0)</f>
        <v>0</v>
      </c>
      <c r="L48" s="346"/>
      <c r="M48" s="143" t="e">
        <f t="shared" si="3"/>
        <v>#N/A</v>
      </c>
      <c r="N48" s="345"/>
      <c r="O48" s="517"/>
      <c r="P48" s="506"/>
    </row>
    <row r="49" spans="1:16" s="337" customFormat="1" ht="19.5" customHeight="1">
      <c r="A49" s="38" t="s">
        <v>579</v>
      </c>
      <c r="B49" s="39" t="s">
        <v>580</v>
      </c>
      <c r="C49" s="493" t="e">
        <f>VLOOKUP($I$3,'Data - CFR 2024-25'!$B$4:$CJ$143,34,FALSE)</f>
        <v>#N/A</v>
      </c>
      <c r="D49" s="335" t="s">
        <v>581</v>
      </c>
      <c r="E49" s="493" t="e">
        <f>VLOOKUP($I$3,'Data - 2025-26 Approved Budget'!$B$3:$CJ$140,34,FALSE)</f>
        <v>#N/A</v>
      </c>
      <c r="F49" s="345"/>
      <c r="G49" s="492">
        <f>_xlfn.IFNA(VLOOKUP(CONCATENATE($A49,$D49),'SBS BvA Report (Table)'!$A:$N,5,0),0)</f>
        <v>0</v>
      </c>
      <c r="H49" s="345"/>
      <c r="I49" s="492">
        <f>_xlfn.IFNA(VLOOKUP(CONCATENATE($A49,$D49),'SBS BvA Report (Table)'!$A:$N,6,0),0)</f>
        <v>0</v>
      </c>
      <c r="J49" s="511">
        <f t="shared" si="2"/>
        <v>0</v>
      </c>
      <c r="K49" s="492">
        <f>_xlfn.IFNA(VLOOKUP(CONCATENATE($A49,$D49),'SBS BvA Report (Table)'!$A:$N,11,0),0)</f>
        <v>0</v>
      </c>
      <c r="L49" s="346"/>
      <c r="M49" s="143" t="e">
        <f t="shared" si="3"/>
        <v>#N/A</v>
      </c>
      <c r="N49" s="345"/>
      <c r="O49" s="517"/>
      <c r="P49" s="506"/>
    </row>
    <row r="50" spans="1:16" s="337" customFormat="1" ht="19.5" customHeight="1">
      <c r="A50" s="38" t="s">
        <v>582</v>
      </c>
      <c r="B50" s="39" t="s">
        <v>583</v>
      </c>
      <c r="C50" s="493" t="e">
        <f>VLOOKUP($I$3,'Data - CFR 2024-25'!$B$4:$CJ$143,35,FALSE)</f>
        <v>#N/A</v>
      </c>
      <c r="D50" s="335" t="s">
        <v>584</v>
      </c>
      <c r="E50" s="493" t="e">
        <f>VLOOKUP($I$3,'Data - 2025-26 Approved Budget'!$B$3:$CJ$140,35,FALSE)</f>
        <v>#N/A</v>
      </c>
      <c r="F50" s="345"/>
      <c r="G50" s="492">
        <f>_xlfn.IFNA(VLOOKUP(CONCATENATE($A50,$D50),'SBS BvA Report (Table)'!$A:$N,5,0),0)</f>
        <v>0</v>
      </c>
      <c r="H50" s="345"/>
      <c r="I50" s="492">
        <f>_xlfn.IFNA(VLOOKUP(CONCATENATE($A50,$D50),'SBS BvA Report (Table)'!$A:$N,6,0),0)</f>
        <v>0</v>
      </c>
      <c r="J50" s="511">
        <f t="shared" si="2"/>
        <v>0</v>
      </c>
      <c r="K50" s="492">
        <f>_xlfn.IFNA(VLOOKUP(CONCATENATE($A50,$D50),'SBS BvA Report (Table)'!$A:$N,11,0),0)</f>
        <v>0</v>
      </c>
      <c r="L50" s="346"/>
      <c r="M50" s="143" t="e">
        <f t="shared" si="3"/>
        <v>#N/A</v>
      </c>
      <c r="N50" s="345"/>
      <c r="O50" s="517"/>
      <c r="P50" s="506"/>
    </row>
    <row r="51" spans="1:16" s="337" customFormat="1" ht="19.5" customHeight="1">
      <c r="A51" s="38" t="s">
        <v>585</v>
      </c>
      <c r="B51" s="39" t="s">
        <v>586</v>
      </c>
      <c r="C51" s="493" t="e">
        <f>VLOOKUP($I$3,'Data - CFR 2024-25'!$B$4:$CJ$143,36,FALSE)</f>
        <v>#N/A</v>
      </c>
      <c r="D51" s="335" t="s">
        <v>587</v>
      </c>
      <c r="E51" s="493" t="e">
        <f>VLOOKUP($I$3,'Data - 2025-26 Approved Budget'!$B$3:$CJ$140,36,FALSE)</f>
        <v>#N/A</v>
      </c>
      <c r="F51" s="345"/>
      <c r="G51" s="492">
        <f>_xlfn.IFNA(VLOOKUP(CONCATENATE($A51,$D51),'SBS BvA Report (Table)'!$A:$N,5,0),0)</f>
        <v>0</v>
      </c>
      <c r="H51" s="345"/>
      <c r="I51" s="492">
        <f>_xlfn.IFNA(VLOOKUP(CONCATENATE($A51,$D51),'SBS BvA Report (Table)'!$A:$N,6,0),0)</f>
        <v>0</v>
      </c>
      <c r="J51" s="511">
        <f t="shared" si="2"/>
        <v>0</v>
      </c>
      <c r="K51" s="492">
        <f>_xlfn.IFNA(VLOOKUP(CONCATENATE($A51,$D51),'SBS BvA Report (Table)'!$A:$N,11,0),0)</f>
        <v>0</v>
      </c>
      <c r="L51" s="346"/>
      <c r="M51" s="143" t="e">
        <f t="shared" si="3"/>
        <v>#N/A</v>
      </c>
      <c r="N51" s="345"/>
      <c r="O51" s="517"/>
      <c r="P51" s="506"/>
    </row>
    <row r="52" spans="1:16" s="337" customFormat="1" ht="19.5" customHeight="1">
      <c r="A52" s="38" t="s">
        <v>588</v>
      </c>
      <c r="B52" s="39" t="s">
        <v>589</v>
      </c>
      <c r="C52" s="493" t="e">
        <f>VLOOKUP($I$3,'Data - CFR 2024-25'!$B$4:$CJ$143,37,FALSE)</f>
        <v>#N/A</v>
      </c>
      <c r="D52" s="335" t="s">
        <v>590</v>
      </c>
      <c r="E52" s="493" t="e">
        <f>VLOOKUP($I$3,'Data - 2025-26 Approved Budget'!$B$3:$CJ$140,37,FALSE)</f>
        <v>#N/A</v>
      </c>
      <c r="F52" s="345"/>
      <c r="G52" s="492">
        <f>_xlfn.IFNA(VLOOKUP(CONCATENATE($A52,$D52),'SBS BvA Report (Table)'!$A:$N,5,0),0)</f>
        <v>0</v>
      </c>
      <c r="H52" s="345"/>
      <c r="I52" s="492">
        <f>_xlfn.IFNA(VLOOKUP(CONCATENATE($A52,$D52),'SBS BvA Report (Table)'!$A:$N,6,0),0)</f>
        <v>0</v>
      </c>
      <c r="J52" s="511">
        <f t="shared" si="2"/>
        <v>0</v>
      </c>
      <c r="K52" s="492">
        <f>_xlfn.IFNA(VLOOKUP(CONCATENATE($A52,$D52),'SBS BvA Report (Table)'!$A:$N,11,0),0)</f>
        <v>0</v>
      </c>
      <c r="L52" s="346"/>
      <c r="M52" s="143" t="e">
        <f t="shared" si="3"/>
        <v>#N/A</v>
      </c>
      <c r="N52" s="345"/>
      <c r="O52" s="517"/>
      <c r="P52" s="506"/>
    </row>
    <row r="53" spans="1:16" s="337" customFormat="1" ht="19.5" customHeight="1">
      <c r="A53" s="38" t="s">
        <v>591</v>
      </c>
      <c r="B53" s="39" t="s">
        <v>592</v>
      </c>
      <c r="C53" s="493" t="e">
        <f>VLOOKUP($I$3,'Data - CFR 2024-25'!$B$4:$CJ$143,38,FALSE)</f>
        <v>#N/A</v>
      </c>
      <c r="D53" s="335" t="s">
        <v>593</v>
      </c>
      <c r="E53" s="493" t="e">
        <f>VLOOKUP($I$3,'Data - 2025-26 Approved Budget'!$B$3:$CJ$140,38,FALSE)</f>
        <v>#N/A</v>
      </c>
      <c r="F53" s="345"/>
      <c r="G53" s="492">
        <f>_xlfn.IFNA(VLOOKUP(CONCATENATE($A53,$D53),'SBS BvA Report (Table)'!$A:$N,5,0),0)</f>
        <v>0</v>
      </c>
      <c r="H53" s="345"/>
      <c r="I53" s="492">
        <f>_xlfn.IFNA(VLOOKUP(CONCATENATE($A53,$D53),'SBS BvA Report (Table)'!$A:$N,6,0),0)</f>
        <v>0</v>
      </c>
      <c r="J53" s="511">
        <f t="shared" si="2"/>
        <v>0</v>
      </c>
      <c r="K53" s="492">
        <f>_xlfn.IFNA(VLOOKUP(CONCATENATE($A53,$D53),'SBS BvA Report (Table)'!$A:$N,11,0),0)</f>
        <v>0</v>
      </c>
      <c r="L53" s="346"/>
      <c r="M53" s="143" t="e">
        <f t="shared" si="3"/>
        <v>#N/A</v>
      </c>
      <c r="N53" s="345"/>
      <c r="O53" s="517"/>
      <c r="P53" s="506"/>
    </row>
    <row r="54" spans="1:16" s="337" customFormat="1" ht="19.5" customHeight="1">
      <c r="A54" s="38" t="s">
        <v>594</v>
      </c>
      <c r="B54" s="39" t="s">
        <v>595</v>
      </c>
      <c r="C54" s="493" t="e">
        <f>VLOOKUP($I$3,'Data - CFR 2024-25'!$B$4:$CJ$143,39,FALSE)</f>
        <v>#N/A</v>
      </c>
      <c r="D54" s="335" t="s">
        <v>596</v>
      </c>
      <c r="E54" s="493" t="e">
        <f>VLOOKUP($I$3,'Data - 2025-26 Approved Budget'!$B$3:$CJ$140,39,FALSE)</f>
        <v>#N/A</v>
      </c>
      <c r="F54" s="345"/>
      <c r="G54" s="492">
        <f>_xlfn.IFNA(VLOOKUP(CONCATENATE($A54,$D54),'SBS BvA Report (Table)'!$A:$N,5,0),0)</f>
        <v>0</v>
      </c>
      <c r="H54" s="345"/>
      <c r="I54" s="492">
        <f>_xlfn.IFNA(VLOOKUP(CONCATENATE($A54,$D54),'SBS BvA Report (Table)'!$A:$N,6,0),0)</f>
        <v>0</v>
      </c>
      <c r="J54" s="511">
        <f t="shared" si="2"/>
        <v>0</v>
      </c>
      <c r="K54" s="492">
        <f>_xlfn.IFNA(VLOOKUP(CONCATENATE($A54,$D54),'SBS BvA Report (Table)'!$A:$N,11,0),0)</f>
        <v>0</v>
      </c>
      <c r="L54" s="346"/>
      <c r="M54" s="143" t="e">
        <f t="shared" si="3"/>
        <v>#N/A</v>
      </c>
      <c r="N54" s="345"/>
      <c r="O54" s="517"/>
      <c r="P54" s="506"/>
    </row>
    <row r="55" spans="1:16" s="337" customFormat="1" ht="19.5" customHeight="1">
      <c r="A55" s="38" t="s">
        <v>597</v>
      </c>
      <c r="B55" s="39" t="s">
        <v>598</v>
      </c>
      <c r="C55" s="493" t="e">
        <f>VLOOKUP($I$3,'Data - CFR 2024-25'!$B$4:$CJ$143,40,FALSE)</f>
        <v>#N/A</v>
      </c>
      <c r="D55" s="335" t="s">
        <v>599</v>
      </c>
      <c r="E55" s="493" t="e">
        <f>VLOOKUP($I$3,'Data - 2025-26 Approved Budget'!$B$3:$CJ$140,40,FALSE)</f>
        <v>#N/A</v>
      </c>
      <c r="F55" s="345"/>
      <c r="G55" s="492">
        <f>_xlfn.IFNA(VLOOKUP(CONCATENATE($A55,$D55),'SBS BvA Report (Table)'!$A:$N,5,0),0)</f>
        <v>0</v>
      </c>
      <c r="H55" s="345"/>
      <c r="I55" s="492">
        <f>_xlfn.IFNA(VLOOKUP(CONCATENATE($A55,$D55),'SBS BvA Report (Table)'!$A:$N,6,0),0)</f>
        <v>0</v>
      </c>
      <c r="J55" s="511">
        <f t="shared" si="2"/>
        <v>0</v>
      </c>
      <c r="K55" s="492">
        <f>_xlfn.IFNA(VLOOKUP(CONCATENATE($A55,$D55),'SBS BvA Report (Table)'!$A:$N,11,0),0)</f>
        <v>0</v>
      </c>
      <c r="L55" s="346"/>
      <c r="M55" s="143" t="e">
        <f t="shared" si="3"/>
        <v>#N/A</v>
      </c>
      <c r="N55" s="345"/>
      <c r="O55" s="517"/>
      <c r="P55" s="506"/>
    </row>
    <row r="56" spans="1:16" s="337" customFormat="1" ht="19.5" customHeight="1">
      <c r="A56" s="38" t="s">
        <v>600</v>
      </c>
      <c r="B56" s="39" t="s">
        <v>601</v>
      </c>
      <c r="C56" s="493" t="e">
        <f>VLOOKUP($I$3,'Data - CFR 2024-25'!$B$4:$CJ$143,41,FALSE)</f>
        <v>#N/A</v>
      </c>
      <c r="D56" s="335" t="s">
        <v>602</v>
      </c>
      <c r="E56" s="493" t="e">
        <f>VLOOKUP($I$3,'Data - 2025-26 Approved Budget'!$B$3:$CJ$140,41,FALSE)</f>
        <v>#N/A</v>
      </c>
      <c r="F56" s="345"/>
      <c r="G56" s="492">
        <f>_xlfn.IFNA(VLOOKUP(CONCATENATE($A56,$D56),'SBS BvA Report (Table)'!$A:$N,5,0),0)</f>
        <v>0</v>
      </c>
      <c r="H56" s="345"/>
      <c r="I56" s="492">
        <f>_xlfn.IFNA(VLOOKUP(CONCATENATE($A56,$D56),'SBS BvA Report (Table)'!$A:$N,6,0),0)</f>
        <v>0</v>
      </c>
      <c r="J56" s="511">
        <f t="shared" si="2"/>
        <v>0</v>
      </c>
      <c r="K56" s="492">
        <f>_xlfn.IFNA(VLOOKUP(CONCATENATE($A56,$D56),'SBS BvA Report (Table)'!$A:$N,11,0),0)</f>
        <v>0</v>
      </c>
      <c r="L56" s="346"/>
      <c r="M56" s="143" t="e">
        <f t="shared" si="3"/>
        <v>#N/A</v>
      </c>
      <c r="N56" s="345"/>
      <c r="O56" s="517"/>
      <c r="P56" s="506"/>
    </row>
    <row r="57" spans="1:16" s="337" customFormat="1" ht="19.5" customHeight="1">
      <c r="A57" s="38" t="s">
        <v>603</v>
      </c>
      <c r="B57" s="39" t="s">
        <v>604</v>
      </c>
      <c r="C57" s="493" t="e">
        <f>VLOOKUP($I$3,'Data - CFR 2024-25'!$B$4:$CJ$143,42,FALSE)</f>
        <v>#N/A</v>
      </c>
      <c r="D57" s="335" t="s">
        <v>605</v>
      </c>
      <c r="E57" s="493" t="e">
        <f>VLOOKUP($I$3,'Data - 2025-26 Approved Budget'!$B$3:$CJ$140,42,FALSE)</f>
        <v>#N/A</v>
      </c>
      <c r="F57" s="345"/>
      <c r="G57" s="492">
        <f>_xlfn.IFNA(VLOOKUP(CONCATENATE($A57,$D57),'SBS BvA Report (Table)'!$A:$N,5,0),0)</f>
        <v>0</v>
      </c>
      <c r="H57" s="345"/>
      <c r="I57" s="492">
        <f>_xlfn.IFNA(VLOOKUP(CONCATENATE($A57,$D57),'SBS BvA Report (Table)'!$A:$N,6,0),0)</f>
        <v>0</v>
      </c>
      <c r="J57" s="511">
        <f t="shared" si="2"/>
        <v>0</v>
      </c>
      <c r="K57" s="492">
        <f>_xlfn.IFNA(VLOOKUP(CONCATENATE($A57,$D57),'SBS BvA Report (Table)'!$A:$N,11,0),0)</f>
        <v>0</v>
      </c>
      <c r="L57" s="346"/>
      <c r="M57" s="143" t="e">
        <f t="shared" si="3"/>
        <v>#N/A</v>
      </c>
      <c r="N57" s="345"/>
      <c r="O57" s="517"/>
      <c r="P57" s="506"/>
    </row>
    <row r="58" spans="1:16" s="337" customFormat="1" ht="19.5" customHeight="1">
      <c r="A58" s="38" t="s">
        <v>606</v>
      </c>
      <c r="B58" s="39" t="s">
        <v>607</v>
      </c>
      <c r="C58" s="493" t="e">
        <f>VLOOKUP($I$3,'Data - CFR 2024-25'!$B$4:$CJ$143,43,FALSE)</f>
        <v>#N/A</v>
      </c>
      <c r="D58" s="335" t="s">
        <v>608</v>
      </c>
      <c r="E58" s="493" t="e">
        <f>VLOOKUP($I$3,'Data - 2025-26 Approved Budget'!$B$3:$CJ$140,43,FALSE)</f>
        <v>#N/A</v>
      </c>
      <c r="F58" s="345"/>
      <c r="G58" s="492">
        <f>_xlfn.IFNA(VLOOKUP(CONCATENATE($A58,$D58),'SBS BvA Report (Table)'!$A:$N,5,0),0)</f>
        <v>0</v>
      </c>
      <c r="H58" s="345"/>
      <c r="I58" s="492">
        <f>_xlfn.IFNA(VLOOKUP(CONCATENATE($A58,$D58),'SBS BvA Report (Table)'!$A:$N,6,0),0)</f>
        <v>0</v>
      </c>
      <c r="J58" s="511">
        <f t="shared" si="2"/>
        <v>0</v>
      </c>
      <c r="K58" s="492">
        <f>_xlfn.IFNA(VLOOKUP(CONCATENATE($A58,$D58),'SBS BvA Report (Table)'!$A:$N,11,0),0)</f>
        <v>0</v>
      </c>
      <c r="L58" s="346"/>
      <c r="M58" s="143" t="e">
        <f t="shared" si="3"/>
        <v>#N/A</v>
      </c>
      <c r="N58" s="345"/>
      <c r="O58" s="517"/>
      <c r="P58" s="506"/>
    </row>
    <row r="59" spans="1:16" s="337" customFormat="1" ht="19.5" customHeight="1">
      <c r="A59" s="38" t="s">
        <v>609</v>
      </c>
      <c r="B59" s="39" t="s">
        <v>610</v>
      </c>
      <c r="C59" s="493" t="e">
        <f>VLOOKUP($I$3,'Data - CFR 2024-25'!$B$4:$CJ$143,44,FALSE)</f>
        <v>#N/A</v>
      </c>
      <c r="D59" s="335"/>
      <c r="E59" s="493" t="e">
        <f>VLOOKUP($I$3,'Data - 2025-26 Approved Budget'!$B$3:$CJ$140,44,FALSE)</f>
        <v>#N/A</v>
      </c>
      <c r="F59" s="345"/>
      <c r="G59" s="492">
        <f>SUM(_xlfn.IFNA(VLOOKUP("E20C: IT Learning Resources",'SBS BvA Report (Table)'!$A:$N,5,0),0),_xlfn.IFNA(VLOOKUP("E20b: Onsite Servers",'SBS BvA Report (Table)'!$A:$N,5,0),0),_xlfn.IFNA(VLOOKUP("E20A: Connectivity",'SBS BvA Report (Table)'!$A:$N,5,0),0),_xlfn.IFNA(VLOOKUP("E20D: Administration Software &amp; Systems",'SBS BvA Report (Table)'!$A:$N,5,0),0),_xlfn.IFNA(VLOOKUP("E20E: Laptops, Desktops &amp; Tablets",'SBS BvA Report (Table)'!$A:$N,5,0),0),_xlfn.IFNA(VLOOKUP("E20f: Other Hardware",'SBS BvA Report (Table)'!$A:$N,5,0),0),_xlfn.IFNA(VLOOKUP("E20g: IT Support",'SBS BvA Report (Table)'!$A:$N,5,0),0))</f>
        <v>0</v>
      </c>
      <c r="H59" s="345"/>
      <c r="I59" s="492">
        <f>SUM(_xlfn.IFNA(VLOOKUP("E20C: IT Learning Resources",'SBS BvA Report (Table)'!$A:$N,6,0),0),_xlfn.IFNA(VLOOKUP("E20b: Onsite Servers",'SBS BvA Report (Table)'!$A:$N,6,0),0),_xlfn.IFNA(VLOOKUP("E20A: Connectivity",'SBS BvA Report (Table)'!$A:$N,6,0),0),_xlfn.IFNA(VLOOKUP("E20D: Administration Software &amp; Systems",'SBS BvA Report (Table)'!$A:$N,6,0),0),_xlfn.IFNA(VLOOKUP("E20E: Laptops, Desktops &amp; Tablets",'SBS BvA Report (Table)'!$A:$N,6,0),0),_xlfn.IFNA(VLOOKUP("E20f: Other Hardware",'SBS BvA Report (Table)'!$A:$N,6,0),0),_xlfn.IFNA(VLOOKUP("E20g: IT Support",'SBS BvA Report (Table)'!$A:$N,6,0),0))</f>
        <v>0</v>
      </c>
      <c r="J59" s="511">
        <f t="shared" si="2"/>
        <v>0</v>
      </c>
      <c r="K59" s="492">
        <f>SUM(_xlfn.IFNA(VLOOKUP("E20C: IT Learning Resources",'SBS BvA Report (Table)'!$A:$N,11,0),0),_xlfn.IFNA(VLOOKUP("E20b: Onsite Servers",'SBS BvA Report (Table)'!$A:$N,11,0),0),_xlfn.IFNA(VLOOKUP("E20A: Connectivity",'SBS BvA Report (Table)'!$A:$N,11,0),0),_xlfn.IFNA(VLOOKUP("E20D: Administration Software &amp; Systems",'SBS BvA Report (Table)'!$A:$N,11,0),0),_xlfn.IFNA(VLOOKUP("E20E: Laptops, Desktops &amp; Tablets",'SBS BvA Report (Table)'!$A:$N,11,0),0),_xlfn.IFNA(VLOOKUP("E20f: Other Hardware",'SBS BvA Report (Table)'!$A:$N,11,0),0),_xlfn.IFNA(VLOOKUP("E20g: IT Support",'SBS BvA Report (Table)'!$A:$N,11,0),0))</f>
        <v>0</v>
      </c>
      <c r="L59" s="346"/>
      <c r="M59" s="143" t="e">
        <f t="shared" si="3"/>
        <v>#N/A</v>
      </c>
      <c r="N59" s="345"/>
      <c r="O59" s="517"/>
      <c r="P59" s="506"/>
    </row>
    <row r="60" spans="1:16" s="337" customFormat="1" ht="19.5" customHeight="1">
      <c r="A60" s="38" t="s">
        <v>611</v>
      </c>
      <c r="B60" s="39" t="s">
        <v>612</v>
      </c>
      <c r="C60" s="493" t="e">
        <f>VLOOKUP($I$3,'Data - CFR 2024-25'!$B$4:$CJ$143,45,FALSE)</f>
        <v>#N/A</v>
      </c>
      <c r="D60" s="335" t="s">
        <v>613</v>
      </c>
      <c r="E60" s="493" t="e">
        <f>VLOOKUP($I$3,'Data - 2025-26 Approved Budget'!$B$3:$CJ$140,45,FALSE)</f>
        <v>#N/A</v>
      </c>
      <c r="F60" s="345"/>
      <c r="G60" s="492">
        <f>_xlfn.IFNA(VLOOKUP(CONCATENATE($A60,$D60),'SBS BvA Report (Table)'!$A:$N,5,0),0)</f>
        <v>0</v>
      </c>
      <c r="H60" s="345"/>
      <c r="I60" s="492">
        <f>_xlfn.IFNA(VLOOKUP(CONCATENATE($A60,$D60),'SBS BvA Report (Table)'!$A:$N,6,0),0)</f>
        <v>0</v>
      </c>
      <c r="J60" s="511">
        <f t="shared" si="2"/>
        <v>0</v>
      </c>
      <c r="K60" s="492">
        <f>_xlfn.IFNA(VLOOKUP(CONCATENATE($A60,$D60),'SBS BvA Report (Table)'!$A:$N,11,0),0)</f>
        <v>0</v>
      </c>
      <c r="L60" s="346"/>
      <c r="M60" s="143" t="e">
        <f t="shared" si="3"/>
        <v>#N/A</v>
      </c>
      <c r="N60" s="345"/>
      <c r="O60" s="517"/>
      <c r="P60" s="506"/>
    </row>
    <row r="61" spans="1:16" s="337" customFormat="1" ht="19.5" customHeight="1">
      <c r="A61" s="38" t="s">
        <v>614</v>
      </c>
      <c r="B61" s="39" t="s">
        <v>615</v>
      </c>
      <c r="C61" s="493" t="e">
        <f>VLOOKUP($I$3,'Data - CFR 2024-25'!$B$4:$CJ$143,46,FALSE)</f>
        <v>#N/A</v>
      </c>
      <c r="D61" s="335" t="s">
        <v>616</v>
      </c>
      <c r="E61" s="493" t="e">
        <f>VLOOKUP($I$3,'Data - 2025-26 Approved Budget'!$B$3:$CJ$140,46,FALSE)</f>
        <v>#N/A</v>
      </c>
      <c r="F61" s="345"/>
      <c r="G61" s="492">
        <f>_xlfn.IFNA(VLOOKUP(CONCATENATE($A61,$D61),'SBS BvA Report (Table)'!$A:$N,5,0),0)</f>
        <v>0</v>
      </c>
      <c r="H61" s="345"/>
      <c r="I61" s="492">
        <f>_xlfn.IFNA(VLOOKUP(CONCATENATE($A61,$D61),'SBS BvA Report (Table)'!$A:$N,6,0),0)</f>
        <v>0</v>
      </c>
      <c r="J61" s="511">
        <f t="shared" si="2"/>
        <v>0</v>
      </c>
      <c r="K61" s="492">
        <f>_xlfn.IFNA(VLOOKUP(CONCATENATE($A61,$D61),'SBS BvA Report (Table)'!$A:$N,11,0),0)</f>
        <v>0</v>
      </c>
      <c r="L61" s="346"/>
      <c r="M61" s="143" t="e">
        <f t="shared" si="3"/>
        <v>#N/A</v>
      </c>
      <c r="N61" s="345"/>
      <c r="O61" s="517"/>
      <c r="P61" s="506"/>
    </row>
    <row r="62" spans="1:16" s="337" customFormat="1" ht="19.5" customHeight="1">
      <c r="A62" s="38" t="s">
        <v>617</v>
      </c>
      <c r="B62" s="39" t="s">
        <v>618</v>
      </c>
      <c r="C62" s="493" t="e">
        <f>VLOOKUP($I$3,'Data - CFR 2024-25'!$B$4:$CJ$143,47,FALSE)</f>
        <v>#N/A</v>
      </c>
      <c r="D62" s="335" t="s">
        <v>619</v>
      </c>
      <c r="E62" s="493" t="e">
        <f>VLOOKUP($I$3,'Data - 2025-26 Approved Budget'!$B$3:$CJ$140,47,FALSE)</f>
        <v>#N/A</v>
      </c>
      <c r="F62" s="345"/>
      <c r="G62" s="492">
        <f>_xlfn.IFNA(VLOOKUP(CONCATENATE($A62,$D62),'SBS BvA Report (Table)'!$A:$N,5,0),0)</f>
        <v>0</v>
      </c>
      <c r="H62" s="345"/>
      <c r="I62" s="492">
        <f>_xlfn.IFNA(VLOOKUP(CONCATENATE($A62,$D62),'SBS BvA Report (Table)'!$A:$N,6,0),0)</f>
        <v>0</v>
      </c>
      <c r="J62" s="511">
        <f t="shared" si="2"/>
        <v>0</v>
      </c>
      <c r="K62" s="492">
        <f>_xlfn.IFNA(VLOOKUP(CONCATENATE($A62,$D62),'SBS BvA Report (Table)'!$A:$N,11,0),0)</f>
        <v>0</v>
      </c>
      <c r="L62" s="346"/>
      <c r="M62" s="143" t="e">
        <f t="shared" si="3"/>
        <v>#N/A</v>
      </c>
      <c r="N62" s="345"/>
      <c r="O62" s="517"/>
      <c r="P62" s="506"/>
    </row>
    <row r="63" spans="1:16" s="337" customFormat="1" ht="19.5" customHeight="1">
      <c r="A63" s="38" t="s">
        <v>620</v>
      </c>
      <c r="B63" s="39" t="s">
        <v>621</v>
      </c>
      <c r="C63" s="493" t="e">
        <f>VLOOKUP($I$3,'Data - CFR 2024-25'!$B$4:$CJ$143,48,FALSE)</f>
        <v>#N/A</v>
      </c>
      <c r="D63" s="335" t="s">
        <v>622</v>
      </c>
      <c r="E63" s="493" t="e">
        <f>VLOOKUP($I$3,'Data - 2025-26 Approved Budget'!$B$3:$CJ$140,48,FALSE)</f>
        <v>#N/A</v>
      </c>
      <c r="F63" s="345"/>
      <c r="G63" s="492">
        <f>_xlfn.IFNA(VLOOKUP(CONCATENATE($A63,$D63),'SBS BvA Report (Table)'!$A:$N,5,0),0)</f>
        <v>0</v>
      </c>
      <c r="H63" s="345"/>
      <c r="I63" s="492">
        <f>_xlfn.IFNA(VLOOKUP(CONCATENATE($A63,$D63),'SBS BvA Report (Table)'!$A:$N,6,0),0)</f>
        <v>0</v>
      </c>
      <c r="J63" s="511">
        <f t="shared" si="2"/>
        <v>0</v>
      </c>
      <c r="K63" s="492">
        <f>_xlfn.IFNA(VLOOKUP(CONCATENATE($A63,$D63),'SBS BvA Report (Table)'!$A:$N,11,0),0)</f>
        <v>0</v>
      </c>
      <c r="L63" s="346"/>
      <c r="M63" s="143" t="e">
        <f t="shared" si="3"/>
        <v>#N/A</v>
      </c>
      <c r="N63" s="345"/>
      <c r="O63" s="517"/>
      <c r="P63" s="506"/>
    </row>
    <row r="64" spans="1:16" s="337" customFormat="1" ht="19.5" customHeight="1">
      <c r="A64" s="38" t="s">
        <v>623</v>
      </c>
      <c r="B64" s="39" t="s">
        <v>624</v>
      </c>
      <c r="C64" s="493" t="e">
        <f>VLOOKUP($I$3,'Data - CFR 2024-25'!$B$4:$CJ$143,49,FALSE)</f>
        <v>#N/A</v>
      </c>
      <c r="D64" s="335" t="s">
        <v>625</v>
      </c>
      <c r="E64" s="493" t="e">
        <f>VLOOKUP($I$3,'Data - 2025-26 Approved Budget'!$B$3:$CJ$140,49,FALSE)</f>
        <v>#N/A</v>
      </c>
      <c r="F64" s="345"/>
      <c r="G64" s="492">
        <f>_xlfn.IFNA(VLOOKUP(CONCATENATE($A64,$D64),'SBS BvA Report (Table)'!$A:$N,5,0),0)</f>
        <v>0</v>
      </c>
      <c r="H64" s="345"/>
      <c r="I64" s="492">
        <f>_xlfn.IFNA(VLOOKUP(CONCATENATE($A64,$D64),'SBS BvA Report (Table)'!$A:$N,6,0),0)</f>
        <v>0</v>
      </c>
      <c r="J64" s="511">
        <f t="shared" si="2"/>
        <v>0</v>
      </c>
      <c r="K64" s="492">
        <f>_xlfn.IFNA(VLOOKUP(CONCATENATE($A64,$D64),'SBS BvA Report (Table)'!$A:$N,11,0),0)</f>
        <v>0</v>
      </c>
      <c r="L64" s="346"/>
      <c r="M64" s="143" t="e">
        <f t="shared" si="3"/>
        <v>#N/A</v>
      </c>
      <c r="N64" s="345"/>
      <c r="O64" s="517"/>
      <c r="P64" s="506"/>
    </row>
    <row r="65" spans="1:16" s="337" customFormat="1" ht="19.5" customHeight="1">
      <c r="A65" s="38" t="s">
        <v>626</v>
      </c>
      <c r="B65" s="39" t="s">
        <v>627</v>
      </c>
      <c r="C65" s="493" t="e">
        <f>VLOOKUP($I$3,'Data - CFR 2024-25'!$B$4:$CJ$143,50,FALSE)</f>
        <v>#N/A</v>
      </c>
      <c r="D65" s="335" t="s">
        <v>628</v>
      </c>
      <c r="E65" s="493" t="e">
        <f>VLOOKUP($I$3,'Data - 2025-26 Approved Budget'!$B$3:$CJ$140,50,FALSE)</f>
        <v>#N/A</v>
      </c>
      <c r="F65" s="345"/>
      <c r="G65" s="492">
        <f>_xlfn.IFNA(VLOOKUP(CONCATENATE($A65,$D65),'SBS BvA Report (Table)'!$A:$N,5,0),0)</f>
        <v>0</v>
      </c>
      <c r="H65" s="345"/>
      <c r="I65" s="492">
        <f>_xlfn.IFNA(VLOOKUP(CONCATENATE($A65,$D65),'SBS BvA Report (Table)'!$A:$N,6,0),0)</f>
        <v>0</v>
      </c>
      <c r="J65" s="511">
        <f t="shared" si="2"/>
        <v>0</v>
      </c>
      <c r="K65" s="492">
        <f>_xlfn.IFNA(VLOOKUP(CONCATENATE($A65,$D65),'SBS BvA Report (Table)'!$A:$N,11,0),0)</f>
        <v>0</v>
      </c>
      <c r="L65" s="346"/>
      <c r="M65" s="143" t="e">
        <f t="shared" si="3"/>
        <v>#N/A</v>
      </c>
      <c r="N65" s="345"/>
      <c r="O65" s="517"/>
      <c r="P65" s="506"/>
    </row>
    <row r="66" spans="1:16" s="337" customFormat="1" ht="19.5" customHeight="1">
      <c r="A66" s="38" t="s">
        <v>629</v>
      </c>
      <c r="B66" s="39" t="s">
        <v>630</v>
      </c>
      <c r="C66" s="493" t="e">
        <f>VLOOKUP($I$3,'Data - CFR 2024-25'!$B$4:$CJ$143,51,FALSE)</f>
        <v>#N/A</v>
      </c>
      <c r="D66" s="335" t="s">
        <v>631</v>
      </c>
      <c r="E66" s="493" t="e">
        <f>VLOOKUP($I$3,'Data - 2025-26 Approved Budget'!$B$3:$CJ$140,51,FALSE)</f>
        <v>#N/A</v>
      </c>
      <c r="F66" s="345"/>
      <c r="G66" s="492">
        <f>_xlfn.IFNA(VLOOKUP(CONCATENATE($A66,$D66),'SBS BvA Report (Table)'!$A:$N,5,0),0)</f>
        <v>0</v>
      </c>
      <c r="H66" s="345"/>
      <c r="I66" s="492">
        <f>_xlfn.IFNA(VLOOKUP(CONCATENATE($A66,$D66),'SBS BvA Report (Table)'!$A:$N,6,0),0)</f>
        <v>0</v>
      </c>
      <c r="J66" s="511">
        <f t="shared" si="2"/>
        <v>0</v>
      </c>
      <c r="K66" s="492">
        <f>_xlfn.IFNA(VLOOKUP(CONCATENATE($A66,$D66),'SBS BvA Report (Table)'!$A:$N,11,0),0)</f>
        <v>0</v>
      </c>
      <c r="L66" s="346"/>
      <c r="M66" s="143" t="e">
        <f t="shared" si="3"/>
        <v>#N/A</v>
      </c>
      <c r="N66" s="345"/>
      <c r="O66" s="517"/>
      <c r="P66" s="506"/>
    </row>
    <row r="67" spans="1:16" s="337" customFormat="1" ht="19.5" customHeight="1">
      <c r="A67" s="38" t="s">
        <v>632</v>
      </c>
      <c r="B67" s="39" t="s">
        <v>633</v>
      </c>
      <c r="C67" s="493" t="e">
        <f>VLOOKUP($I$3,'Data - CFR 2024-25'!$B$4:$CJ$143,52,FALSE)</f>
        <v>#N/A</v>
      </c>
      <c r="D67" s="335" t="s">
        <v>634</v>
      </c>
      <c r="E67" s="493" t="e">
        <f>VLOOKUP($I$3,'Data - 2025-26 Approved Budget'!$B$3:$CJ$140,52,FALSE)</f>
        <v>#N/A</v>
      </c>
      <c r="F67" s="345"/>
      <c r="G67" s="492">
        <f>_xlfn.IFNA(VLOOKUP(CONCATENATE($A67,$D67),'SBS BvA Report (Table)'!$A:$N,5,0),0)</f>
        <v>0</v>
      </c>
      <c r="H67" s="345"/>
      <c r="I67" s="492">
        <f>_xlfn.IFNA(VLOOKUP(CONCATENATE($A67,$D67),'SBS BvA Report (Table)'!$A:$N,6,0),0)</f>
        <v>0</v>
      </c>
      <c r="J67" s="511">
        <f t="shared" si="2"/>
        <v>0</v>
      </c>
      <c r="K67" s="492">
        <f>_xlfn.IFNA(VLOOKUP(CONCATENATE($A67,$D67),'SBS BvA Report (Table)'!$A:$N,11,0),0)</f>
        <v>0</v>
      </c>
      <c r="L67" s="346"/>
      <c r="M67" s="143" t="e">
        <f t="shared" si="3"/>
        <v>#N/A</v>
      </c>
      <c r="N67" s="345"/>
      <c r="O67" s="517"/>
      <c r="P67" s="506"/>
    </row>
    <row r="68" spans="1:16" s="337" customFormat="1" ht="19.5" customHeight="1">
      <c r="A68" s="38" t="s">
        <v>635</v>
      </c>
      <c r="B68" s="39" t="s">
        <v>636</v>
      </c>
      <c r="C68" s="493" t="e">
        <f>VLOOKUP($I$3,'Data - CFR 2024-25'!$B$4:$CJ$143,53,FALSE)</f>
        <v>#N/A</v>
      </c>
      <c r="D68" s="335" t="s">
        <v>637</v>
      </c>
      <c r="E68" s="493" t="e">
        <f>VLOOKUP($I$3,'Data - 2025-26 Approved Budget'!$B$3:$CJ$140,53,FALSE)</f>
        <v>#N/A</v>
      </c>
      <c r="F68" s="345"/>
      <c r="G68" s="492">
        <f>_xlfn.IFNA(VLOOKUP(CONCATENATE($A68,$D68),'SBS BvA Report (Table)'!$A:$N,5,0),0)</f>
        <v>0</v>
      </c>
      <c r="H68" s="345"/>
      <c r="I68" s="492">
        <f>_xlfn.IFNA(VLOOKUP(CONCATENATE($A68,$D68),'SBS BvA Report (Table)'!$A:$N,6,0),0)</f>
        <v>0</v>
      </c>
      <c r="J68" s="511">
        <f t="shared" si="2"/>
        <v>0</v>
      </c>
      <c r="K68" s="492">
        <f>_xlfn.IFNA(VLOOKUP(CONCATENATE($A68,$D68),'SBS BvA Report (Table)'!$A:$N,11,0),0)</f>
        <v>0</v>
      </c>
      <c r="L68" s="346"/>
      <c r="M68" s="143" t="e">
        <f t="shared" si="3"/>
        <v>#N/A</v>
      </c>
      <c r="N68" s="345"/>
      <c r="O68" s="517"/>
      <c r="P68" s="506"/>
    </row>
    <row r="69" spans="1:16" s="337" customFormat="1" ht="19.5" customHeight="1">
      <c r="A69" s="38" t="s">
        <v>638</v>
      </c>
      <c r="B69" s="39" t="s">
        <v>639</v>
      </c>
      <c r="C69" s="493" t="e">
        <f>VLOOKUP($I$3,'Data - CFR 2024-25'!$B$4:$CJ$143,54,FALSE)</f>
        <v>#N/A</v>
      </c>
      <c r="D69" s="335" t="s">
        <v>640</v>
      </c>
      <c r="E69" s="493" t="e">
        <f>VLOOKUP($I$3,'Data - 2025-26 Approved Budget'!$B$3:$CJ$140,54,FALSE)</f>
        <v>#N/A</v>
      </c>
      <c r="F69" s="345"/>
      <c r="G69" s="492">
        <f>_xlfn.IFNA(VLOOKUP(CONCATENATE($A69,$D69),'SBS BvA Report (Table)'!$A:$N,5,0),0)</f>
        <v>0</v>
      </c>
      <c r="H69" s="345"/>
      <c r="I69" s="492">
        <f>_xlfn.IFNA(VLOOKUP(CONCATENATE($A69,$D69),'SBS BvA Report (Table)'!$A:$N,6,0),0)</f>
        <v>0</v>
      </c>
      <c r="J69" s="511">
        <f t="shared" si="2"/>
        <v>0</v>
      </c>
      <c r="K69" s="492">
        <f>_xlfn.IFNA(VLOOKUP(CONCATENATE($A69,$D69),'SBS BvA Report (Table)'!$A:$N,11,0),0)</f>
        <v>0</v>
      </c>
      <c r="L69" s="346"/>
      <c r="M69" s="143" t="e">
        <f t="shared" si="3"/>
        <v>#N/A</v>
      </c>
      <c r="N69" s="345"/>
      <c r="O69" s="517"/>
      <c r="P69" s="506"/>
    </row>
    <row r="70" spans="1:16" s="337" customFormat="1" ht="19.5" customHeight="1" thickBot="1">
      <c r="A70" s="38" t="s">
        <v>641</v>
      </c>
      <c r="B70" s="39" t="s">
        <v>642</v>
      </c>
      <c r="C70" s="493" t="e">
        <f>VLOOKUP($I$3,'Data - CFR 2024-25'!$B$4:$CJ$143,55,FALSE)</f>
        <v>#N/A</v>
      </c>
      <c r="D70" s="335" t="s">
        <v>643</v>
      </c>
      <c r="E70" s="493" t="e">
        <f>VLOOKUP($I$3,'Data - 2025-26 Approved Budget'!$B$3:$CJ$140,55,FALSE)</f>
        <v>#N/A</v>
      </c>
      <c r="F70" s="345"/>
      <c r="G70" s="492">
        <f>_xlfn.IFNA(VLOOKUP(CONCATENATE($A70,$D70),'SBS BvA Report (Table)'!$A:$N,5,0),0)</f>
        <v>0</v>
      </c>
      <c r="H70" s="345"/>
      <c r="I70" s="492">
        <f>_xlfn.IFNA(VLOOKUP(CONCATENATE($A70,$D70),'SBS BvA Report (Table)'!$A:$N,6,0),0)</f>
        <v>0</v>
      </c>
      <c r="J70" s="511">
        <f t="shared" si="2"/>
        <v>0</v>
      </c>
      <c r="K70" s="492">
        <f>_xlfn.IFNA(VLOOKUP(CONCATENATE($A70,$D70),'SBS BvA Report (Table)'!$A:$N,11,0),0)</f>
        <v>0</v>
      </c>
      <c r="L70" s="346"/>
      <c r="M70" s="143" t="e">
        <f t="shared" si="3"/>
        <v>#N/A</v>
      </c>
      <c r="N70" s="345"/>
      <c r="O70" s="517"/>
      <c r="P70" s="506"/>
    </row>
    <row r="71" spans="1:16" s="337" customFormat="1" ht="19.5" customHeight="1" thickBot="1">
      <c r="A71" s="45"/>
      <c r="B71" s="41" t="s">
        <v>644</v>
      </c>
      <c r="C71" s="1" t="e">
        <f>SUM(C40:C70)</f>
        <v>#N/A</v>
      </c>
      <c r="D71" s="335" t="str">
        <f t="shared" ref="D71" si="4">IFERROR((E71/C71)-1,"")</f>
        <v/>
      </c>
      <c r="E71" s="1" t="e">
        <f>SUM(E40:E70)</f>
        <v>#N/A</v>
      </c>
      <c r="F71" s="46"/>
      <c r="G71" s="1">
        <f>SUM(G40:G70)</f>
        <v>0</v>
      </c>
      <c r="H71" s="46"/>
      <c r="I71" s="1">
        <f>SUM(I40:I70)</f>
        <v>0</v>
      </c>
      <c r="J71" s="512">
        <f>IF(OR(I71="",I71=0),0%,I71/K71)</f>
        <v>0</v>
      </c>
      <c r="K71" s="1">
        <f>SUM(K40:K70)</f>
        <v>0</v>
      </c>
      <c r="L71" s="129"/>
      <c r="M71" s="144" t="e">
        <f>SUM(M40:M70)</f>
        <v>#N/A</v>
      </c>
      <c r="N71" s="132"/>
      <c r="O71" s="498"/>
      <c r="P71" s="508"/>
    </row>
    <row r="72" spans="1:16" s="337" customFormat="1" ht="19.5" customHeight="1">
      <c r="A72" s="47"/>
      <c r="B72" s="41"/>
      <c r="C72" s="48"/>
      <c r="D72" s="37"/>
      <c r="E72" s="48"/>
      <c r="G72" s="48"/>
      <c r="I72" s="48"/>
      <c r="J72" s="323"/>
      <c r="K72" s="48"/>
      <c r="L72" s="130"/>
      <c r="M72" s="48"/>
      <c r="O72" s="339"/>
      <c r="P72" s="508"/>
    </row>
    <row r="73" spans="1:16" ht="88.2">
      <c r="A73" s="49"/>
      <c r="B73" s="39"/>
      <c r="C73" s="134" t="s">
        <v>484</v>
      </c>
      <c r="D73" s="135"/>
      <c r="E73" s="134" t="s">
        <v>485</v>
      </c>
      <c r="F73" s="136"/>
      <c r="G73" s="134" t="s">
        <v>486</v>
      </c>
      <c r="H73" s="136"/>
      <c r="I73" s="134" t="s">
        <v>487</v>
      </c>
      <c r="J73" s="320" t="s">
        <v>488</v>
      </c>
      <c r="K73" s="134" t="s">
        <v>489</v>
      </c>
      <c r="L73" s="134"/>
      <c r="M73" s="134"/>
      <c r="N73" s="131"/>
      <c r="O73" s="134"/>
      <c r="P73" s="508"/>
    </row>
    <row r="74" spans="1:16" s="337" customFormat="1" ht="19.5" customHeight="1">
      <c r="A74" s="49" t="s">
        <v>645</v>
      </c>
      <c r="B74" s="39"/>
      <c r="C74" s="42" t="s">
        <v>493</v>
      </c>
      <c r="D74" s="37"/>
      <c r="E74" s="42" t="s">
        <v>493</v>
      </c>
      <c r="G74" s="42" t="s">
        <v>493</v>
      </c>
      <c r="I74" s="42"/>
      <c r="J74" s="321"/>
      <c r="K74" s="42"/>
      <c r="L74" s="128"/>
      <c r="M74" s="42"/>
      <c r="O74" s="339"/>
      <c r="P74" s="510"/>
    </row>
    <row r="75" spans="1:16" s="337" customFormat="1" ht="19.5" customHeight="1">
      <c r="A75" s="47"/>
      <c r="B75" s="39"/>
      <c r="C75" s="42"/>
      <c r="D75" s="37"/>
      <c r="E75" s="42"/>
      <c r="G75" s="42"/>
      <c r="I75" s="42"/>
      <c r="J75" s="321"/>
      <c r="K75" s="42"/>
      <c r="L75" s="128"/>
      <c r="M75" s="42"/>
      <c r="O75" s="339"/>
      <c r="P75" s="510"/>
    </row>
    <row r="76" spans="1:16" s="337" customFormat="1" ht="19.5" customHeight="1">
      <c r="A76" s="47"/>
      <c r="B76" s="39" t="s">
        <v>646</v>
      </c>
      <c r="C76" s="142" t="e">
        <f>C35</f>
        <v>#N/A</v>
      </c>
      <c r="D76" s="37"/>
      <c r="E76" s="142" t="e">
        <f>E35</f>
        <v>#N/A</v>
      </c>
      <c r="G76" s="142">
        <f>G35</f>
        <v>0</v>
      </c>
      <c r="I76" s="42"/>
      <c r="J76" s="321"/>
      <c r="K76" s="142">
        <f>K35</f>
        <v>0</v>
      </c>
      <c r="L76" s="128"/>
      <c r="M76" s="42"/>
      <c r="O76" s="339"/>
      <c r="P76" s="510"/>
    </row>
    <row r="77" spans="1:16" s="337" customFormat="1" ht="19.5" customHeight="1" thickBot="1">
      <c r="A77" s="47"/>
      <c r="B77" s="39" t="s">
        <v>644</v>
      </c>
      <c r="C77" s="148" t="e">
        <f>C71</f>
        <v>#N/A</v>
      </c>
      <c r="D77" s="37"/>
      <c r="E77" s="148" t="e">
        <f>E71</f>
        <v>#N/A</v>
      </c>
      <c r="G77" s="148">
        <f>G71</f>
        <v>0</v>
      </c>
      <c r="I77" s="42"/>
      <c r="J77" s="321"/>
      <c r="K77" s="148">
        <f>K71</f>
        <v>0</v>
      </c>
      <c r="L77" s="128"/>
      <c r="M77" s="42"/>
      <c r="O77" s="339"/>
      <c r="P77" s="510"/>
    </row>
    <row r="78" spans="1:16" ht="19.5" customHeight="1" thickBot="1">
      <c r="A78" s="47"/>
      <c r="B78" s="41" t="s">
        <v>647</v>
      </c>
      <c r="C78" s="144" t="e">
        <f>C76-C77</f>
        <v>#N/A</v>
      </c>
      <c r="D78" s="37"/>
      <c r="E78" s="144" t="e">
        <f>E76-E77</f>
        <v>#N/A</v>
      </c>
      <c r="F78" s="345"/>
      <c r="G78" s="144">
        <f>G76-G77</f>
        <v>0</v>
      </c>
      <c r="H78" s="347"/>
      <c r="I78" s="42"/>
      <c r="J78" s="42"/>
      <c r="K78" s="144">
        <f>K76-K77</f>
        <v>0</v>
      </c>
      <c r="L78" s="64"/>
      <c r="M78" s="42"/>
      <c r="N78" s="337"/>
      <c r="O78" s="339" t="s">
        <v>648</v>
      </c>
      <c r="P78" s="508"/>
    </row>
    <row r="79" spans="1:16" ht="19.5" customHeight="1" thickBot="1">
      <c r="A79" s="47"/>
      <c r="B79" s="41" t="s">
        <v>649</v>
      </c>
      <c r="C79" s="245" t="e">
        <f>VLOOKUP($I$3,'Data - CFR 2024-25'!$B$4:$CJ$143,58,FALSE)</f>
        <v>#N/A</v>
      </c>
      <c r="D79" s="37"/>
      <c r="E79" s="245" t="e">
        <f>VLOOKUP($I$3,'Data - 2025-26 Approved Budget'!$B$3:$CJ$140,58,FALSE)</f>
        <v>#N/A</v>
      </c>
      <c r="F79" s="345"/>
      <c r="G79" s="168" t="e">
        <f>VLOOKUP($I$3,'Data - Revenue Balances Mar 25'!$A$5:$G$140,5,FALSE)</f>
        <v>#N/A</v>
      </c>
      <c r="H79" s="347"/>
      <c r="I79" s="42"/>
      <c r="J79" s="42"/>
      <c r="K79" s="168" t="e">
        <f>G79</f>
        <v>#N/A</v>
      </c>
      <c r="L79" s="64"/>
      <c r="M79" s="42"/>
      <c r="N79" s="337"/>
      <c r="O79" s="339"/>
      <c r="P79" s="508"/>
    </row>
    <row r="80" spans="1:16" s="337" customFormat="1" ht="19.5" customHeight="1" thickBot="1">
      <c r="A80" s="47"/>
      <c r="B80" s="41" t="s">
        <v>650</v>
      </c>
      <c r="C80" s="495" t="e">
        <f>C78+C79</f>
        <v>#N/A</v>
      </c>
      <c r="D80" s="37"/>
      <c r="E80" s="144" t="e">
        <f>E78+E79</f>
        <v>#N/A</v>
      </c>
      <c r="F80" s="345"/>
      <c r="G80" s="144" t="e">
        <f>G78+G79</f>
        <v>#N/A</v>
      </c>
      <c r="H80" s="347"/>
      <c r="I80" s="42"/>
      <c r="J80" s="42"/>
      <c r="K80" s="365" t="e">
        <f>K78+K79</f>
        <v>#N/A</v>
      </c>
      <c r="L80" s="64"/>
      <c r="M80" s="42"/>
      <c r="O80" s="339"/>
      <c r="P80" s="508"/>
    </row>
    <row r="81" spans="1:16" s="337" customFormat="1" ht="7.5" customHeight="1" thickBot="1">
      <c r="A81" s="47"/>
      <c r="B81" s="39"/>
      <c r="C81" s="145"/>
      <c r="D81" s="37"/>
      <c r="E81" s="145"/>
      <c r="G81" s="145"/>
      <c r="I81" s="42"/>
      <c r="J81" s="42"/>
      <c r="K81" s="146"/>
      <c r="L81" s="64"/>
      <c r="M81" s="42"/>
      <c r="O81" s="339"/>
      <c r="P81" s="508"/>
    </row>
    <row r="82" spans="1:16" s="337" customFormat="1" ht="19.5" customHeight="1" thickBot="1">
      <c r="A82" s="47"/>
      <c r="B82" s="39" t="s">
        <v>651</v>
      </c>
      <c r="C82" s="170" t="e">
        <f>C80/SUM(C16:C20)</f>
        <v>#N/A</v>
      </c>
      <c r="D82" s="37"/>
      <c r="E82" s="170" t="e">
        <f>E80/SUM(E16:E20)</f>
        <v>#N/A</v>
      </c>
      <c r="F82" s="348"/>
      <c r="G82" s="170" t="e">
        <f>G80/SUM(G16:G20)</f>
        <v>#N/A</v>
      </c>
      <c r="I82" s="42"/>
      <c r="J82" s="42"/>
      <c r="K82" s="364" t="e">
        <f>K80/SUM(K16:K20)</f>
        <v>#N/A</v>
      </c>
      <c r="L82" s="64"/>
      <c r="M82" s="42"/>
      <c r="O82" s="499"/>
      <c r="P82" s="508"/>
    </row>
    <row r="83" spans="1:16" s="337" customFormat="1" ht="19.5" customHeight="1">
      <c r="A83" s="55"/>
      <c r="B83" s="56"/>
      <c r="C83" s="60"/>
      <c r="D83" s="58"/>
      <c r="E83" s="60"/>
      <c r="F83" s="349"/>
      <c r="G83" s="60"/>
      <c r="H83" s="349"/>
      <c r="I83" s="60"/>
      <c r="J83" s="325"/>
      <c r="K83" s="60"/>
      <c r="L83" s="138"/>
      <c r="M83" s="42"/>
      <c r="N83" s="349"/>
      <c r="O83" s="500"/>
      <c r="P83" s="508"/>
    </row>
    <row r="84" spans="1:16" s="337" customFormat="1" ht="31.5" customHeight="1">
      <c r="A84" s="545" t="s">
        <v>433</v>
      </c>
      <c r="B84" s="546"/>
      <c r="C84" s="546"/>
      <c r="D84" s="546"/>
      <c r="E84" s="546"/>
      <c r="F84" s="546"/>
      <c r="G84" s="546"/>
      <c r="H84" s="546"/>
      <c r="I84" s="546"/>
      <c r="J84" s="546"/>
      <c r="K84" s="546"/>
      <c r="L84" s="546"/>
      <c r="M84" s="546"/>
      <c r="N84" s="546"/>
      <c r="O84" s="546"/>
      <c r="P84" s="547"/>
    </row>
    <row r="85" spans="1:16" s="337" customFormat="1" ht="96.6">
      <c r="A85" s="47" t="str">
        <f>B3</f>
        <v>Please Click on Arrow to Choose School</v>
      </c>
      <c r="B85" s="41"/>
      <c r="C85" s="134" t="s">
        <v>484</v>
      </c>
      <c r="D85" s="135"/>
      <c r="E85" s="134" t="s">
        <v>485</v>
      </c>
      <c r="F85" s="136"/>
      <c r="G85" s="134" t="s">
        <v>486</v>
      </c>
      <c r="H85" s="136"/>
      <c r="I85" s="134" t="s">
        <v>487</v>
      </c>
      <c r="J85" s="320" t="s">
        <v>488</v>
      </c>
      <c r="K85" s="134" t="s">
        <v>489</v>
      </c>
      <c r="L85" s="134"/>
      <c r="M85" s="134" t="s">
        <v>1441</v>
      </c>
      <c r="N85" s="131"/>
      <c r="O85" s="134" t="s">
        <v>550</v>
      </c>
      <c r="P85" s="505" t="s">
        <v>1481</v>
      </c>
    </row>
    <row r="86" spans="1:16" s="62" customFormat="1" ht="23.25" customHeight="1">
      <c r="A86" s="33"/>
      <c r="B86" s="137"/>
      <c r="C86" s="534" t="s">
        <v>490</v>
      </c>
      <c r="D86" s="534"/>
      <c r="E86" s="534"/>
      <c r="F86" s="534"/>
      <c r="G86" s="534"/>
      <c r="H86" s="534"/>
      <c r="I86" s="534"/>
      <c r="J86" s="534"/>
      <c r="K86" s="534"/>
      <c r="L86" s="534"/>
      <c r="M86" s="534"/>
      <c r="N86" s="344"/>
      <c r="O86" s="343"/>
      <c r="P86" s="503"/>
    </row>
    <row r="87" spans="1:16" s="337" customFormat="1" ht="19.5" customHeight="1">
      <c r="A87" s="44" t="s">
        <v>491</v>
      </c>
      <c r="B87" s="41" t="s">
        <v>652</v>
      </c>
      <c r="C87" s="42" t="s">
        <v>493</v>
      </c>
      <c r="D87" s="37"/>
      <c r="E87" s="42" t="s">
        <v>493</v>
      </c>
      <c r="G87" s="42" t="s">
        <v>493</v>
      </c>
      <c r="I87" s="42" t="s">
        <v>493</v>
      </c>
      <c r="J87" s="321"/>
      <c r="K87" s="42" t="s">
        <v>493</v>
      </c>
      <c r="L87" s="128"/>
      <c r="M87" s="42" t="s">
        <v>493</v>
      </c>
      <c r="O87" s="500"/>
      <c r="P87" s="345"/>
    </row>
    <row r="88" spans="1:16" s="337" customFormat="1" ht="19.5" customHeight="1">
      <c r="A88" s="38" t="s">
        <v>653</v>
      </c>
      <c r="B88" s="39" t="s">
        <v>654</v>
      </c>
      <c r="C88" s="493" t="e">
        <f>VLOOKUP($I$3,'Data - CFR 2024-25'!$B$4:$CJ$143,60,FALSE)</f>
        <v>#N/A</v>
      </c>
      <c r="D88" s="379" t="s">
        <v>655</v>
      </c>
      <c r="E88" s="493" t="e">
        <f>VLOOKUP($I$3,'Data - 2025-26 Approved Budget'!$B$3:$CJ$140,60,FALSE)</f>
        <v>#N/A</v>
      </c>
      <c r="F88" s="345"/>
      <c r="G88" s="494">
        <f>_xlfn.IFNA(VLOOKUP(CONCATENATE($A88,$D88),'SBS BvA Report (Table)'!$A:$N,5,0),0)</f>
        <v>0</v>
      </c>
      <c r="H88" s="345"/>
      <c r="I88" s="494">
        <f>IF($O$3="Y",_xlfn.IFNA(VLOOKUP(CONCATENATE($A88,$D88),'SBS BvA Report (Table)'!$A:$N,6,0),0),_xlfn.IFNA(-VLOOKUP(CONCATENATE($A88,$D88),'SBS BvA Report (Table)'!$A:$N,6,0),0))</f>
        <v>0</v>
      </c>
      <c r="J88" s="511">
        <f t="shared" ref="J88" si="5">IFERROR(IF(I88="",0%,I88/K88),0)</f>
        <v>0</v>
      </c>
      <c r="K88" s="494">
        <f>_xlfn.IFNA(VLOOKUP(CONCATENATE($A88,$D88),'SBS BvA Report (Table)'!$A:$N,11,0),0)</f>
        <v>0</v>
      </c>
      <c r="L88" s="346"/>
      <c r="M88" s="143" t="e">
        <f t="shared" ref="M88:M89" si="6">IF(G88="",(K88-E88),(K88-E88))</f>
        <v>#N/A</v>
      </c>
      <c r="N88" s="345"/>
      <c r="O88" s="517"/>
      <c r="P88" s="506"/>
    </row>
    <row r="89" spans="1:16" s="337" customFormat="1" ht="19.5" customHeight="1" thickBot="1">
      <c r="A89" s="38" t="s">
        <v>656</v>
      </c>
      <c r="B89" s="39" t="s">
        <v>657</v>
      </c>
      <c r="C89" s="493" t="e">
        <f>VLOOKUP($I$3,'Data - CFR 2024-25'!$B$4:$CJ$143,61,FALSE)</f>
        <v>#N/A</v>
      </c>
      <c r="D89" s="379" t="s">
        <v>658</v>
      </c>
      <c r="E89" s="493" t="e">
        <f>VLOOKUP($I$3,'Data - 2025-26 Approved Budget'!$B$3:$CJ$140,61,FALSE)</f>
        <v>#N/A</v>
      </c>
      <c r="F89" s="345"/>
      <c r="G89" s="494">
        <f>_xlfn.IFNA(VLOOKUP(CONCATENATE($A89,$D89),'SBS BvA Report (Table)'!$A:$N,5,0),0)</f>
        <v>0</v>
      </c>
      <c r="H89" s="345"/>
      <c r="I89" s="494">
        <f>IF($O$3="Y",_xlfn.IFNA(VLOOKUP(CONCATENATE($A89,$D89),'SBS BvA Report (Table)'!$A:$N,6,0),0),_xlfn.IFNA(-VLOOKUP(CONCATENATE($A89,$D89),'SBS BvA Report (Table)'!$A:$N,6,0),0))</f>
        <v>0</v>
      </c>
      <c r="J89" s="511">
        <f t="shared" ref="J89" si="7">IFERROR(IF(I89="",0%,I89/K89),0)</f>
        <v>0</v>
      </c>
      <c r="K89" s="494">
        <f>_xlfn.IFNA(VLOOKUP(CONCATENATE($A89,$D89),'SBS BvA Report (Table)'!$A:$N,11,0),0)</f>
        <v>0</v>
      </c>
      <c r="L89" s="346"/>
      <c r="M89" s="143" t="e">
        <f t="shared" si="6"/>
        <v>#N/A</v>
      </c>
      <c r="N89" s="345"/>
      <c r="O89" s="517"/>
      <c r="P89" s="506"/>
    </row>
    <row r="90" spans="1:16" s="337" customFormat="1" ht="19.5" customHeight="1" thickBot="1">
      <c r="A90" s="38"/>
      <c r="B90" s="41" t="s">
        <v>659</v>
      </c>
      <c r="C90" s="1" t="e">
        <f>C88+C89</f>
        <v>#N/A</v>
      </c>
      <c r="D90" s="379"/>
      <c r="E90" s="12" t="e">
        <f>E88+E89</f>
        <v>#N/A</v>
      </c>
      <c r="F90" s="345"/>
      <c r="G90" s="12">
        <f>G88+G89</f>
        <v>0</v>
      </c>
      <c r="H90" s="345"/>
      <c r="I90" s="12">
        <f>I88+I89</f>
        <v>0</v>
      </c>
      <c r="J90" s="512">
        <f>IF(OR(I90="",I90=0),0%,I90/K90)</f>
        <v>0</v>
      </c>
      <c r="K90" s="12">
        <f>K88+K89</f>
        <v>0</v>
      </c>
      <c r="L90" s="64"/>
      <c r="M90" s="144" t="e">
        <f>M88+M89</f>
        <v>#N/A</v>
      </c>
      <c r="O90" s="498"/>
      <c r="P90" s="508"/>
    </row>
    <row r="91" spans="1:16" s="337" customFormat="1" ht="19.5" customHeight="1">
      <c r="A91" s="38"/>
      <c r="B91" s="39"/>
      <c r="C91" s="50"/>
      <c r="D91" s="379"/>
      <c r="E91" s="50"/>
      <c r="G91" s="50"/>
      <c r="I91" s="50"/>
      <c r="J91" s="513"/>
      <c r="K91" s="50"/>
      <c r="L91" s="69"/>
      <c r="M91" s="50"/>
      <c r="O91" s="339"/>
      <c r="P91" s="508"/>
    </row>
    <row r="92" spans="1:16" s="337" customFormat="1" ht="19.5" customHeight="1">
      <c r="A92" s="44" t="s">
        <v>491</v>
      </c>
      <c r="B92" s="41" t="s">
        <v>660</v>
      </c>
      <c r="C92" s="42" t="s">
        <v>493</v>
      </c>
      <c r="D92" s="379"/>
      <c r="E92" s="42" t="s">
        <v>493</v>
      </c>
      <c r="G92" s="42" t="s">
        <v>493</v>
      </c>
      <c r="I92" s="42" t="s">
        <v>493</v>
      </c>
      <c r="J92" s="514"/>
      <c r="K92" s="42" t="s">
        <v>493</v>
      </c>
      <c r="L92" s="128"/>
      <c r="M92" s="42" t="s">
        <v>493</v>
      </c>
      <c r="O92" s="500"/>
      <c r="P92" s="508"/>
    </row>
    <row r="93" spans="1:16" s="337" customFormat="1" ht="19.5" customHeight="1">
      <c r="A93" s="38" t="s">
        <v>661</v>
      </c>
      <c r="B93" s="39" t="s">
        <v>662</v>
      </c>
      <c r="C93" s="493" t="e">
        <f>VLOOKUP($I$3,'Data - CFR 2024-25'!$B$4:$CJ$143,63,FALSE)</f>
        <v>#N/A</v>
      </c>
      <c r="D93" s="379" t="s">
        <v>663</v>
      </c>
      <c r="E93" s="493" t="e">
        <f>VLOOKUP($I$3,'Data - 2025-26 Approved Budget'!$B$3:$CJ$140,63,FALSE)</f>
        <v>#N/A</v>
      </c>
      <c r="F93" s="345"/>
      <c r="G93" s="494">
        <f>_xlfn.IFNA(VLOOKUP(CONCATENATE($A93,$D93),'SBS BvA Report (Table)'!$A:$N,5,0),0)</f>
        <v>0</v>
      </c>
      <c r="H93" s="345"/>
      <c r="I93" s="494">
        <f>_xlfn.IFNA(VLOOKUP(CONCATENATE($A93,$D93),'SBS BvA Report (Table)'!$A:$N,6,0),0)</f>
        <v>0</v>
      </c>
      <c r="J93" s="511">
        <f t="shared" ref="J93" si="8">IFERROR(IF(I93="",0%,I93/K93),0)</f>
        <v>0</v>
      </c>
      <c r="K93" s="494">
        <f>_xlfn.IFNA(VLOOKUP(CONCATENATE($A93,$D93),'SBS BvA Report (Table)'!$A:$N,11,0),0)</f>
        <v>0</v>
      </c>
      <c r="L93" s="346"/>
      <c r="M93" s="143" t="e">
        <f t="shared" ref="M93:M94" si="9">IF(G93="",(K93-E93),(K93-E93))</f>
        <v>#N/A</v>
      </c>
      <c r="N93" s="345"/>
      <c r="O93" s="517"/>
      <c r="P93" s="506"/>
    </row>
    <row r="94" spans="1:16" s="337" customFormat="1" ht="19.5" customHeight="1" thickBot="1">
      <c r="A94" s="38" t="s">
        <v>664</v>
      </c>
      <c r="B94" s="39" t="s">
        <v>665</v>
      </c>
      <c r="C94" s="493" t="e">
        <f>VLOOKUP($I$3,'Data - CFR 2024-25'!$B$4:$CJ$143,64,FALSE)</f>
        <v>#N/A</v>
      </c>
      <c r="D94" s="379" t="s">
        <v>666</v>
      </c>
      <c r="E94" s="493" t="e">
        <f>VLOOKUP($I$3,'Data - 2025-26 Approved Budget'!$B$3:$CJ$140,64,FALSE)</f>
        <v>#N/A</v>
      </c>
      <c r="F94" s="345"/>
      <c r="G94" s="494">
        <f>_xlfn.IFNA(VLOOKUP(CONCATENATE($A94,$D94),'SBS BvA Report (Table)'!$A:$N,5,0),0)</f>
        <v>0</v>
      </c>
      <c r="H94" s="345"/>
      <c r="I94" s="494">
        <f>_xlfn.IFNA(VLOOKUP(CONCATENATE($A94,$D94),'SBS BvA Report (Table)'!$A:$N,6,0),0)</f>
        <v>0</v>
      </c>
      <c r="J94" s="511">
        <f t="shared" ref="J94" si="10">IFERROR(IF(I94="",0%,I94/K94),0)</f>
        <v>0</v>
      </c>
      <c r="K94" s="494">
        <f>_xlfn.IFNA(VLOOKUP(CONCATENATE($A94,$D94),'SBS BvA Report (Table)'!$A:$N,11,0),0)</f>
        <v>0</v>
      </c>
      <c r="L94" s="346"/>
      <c r="M94" s="143" t="e">
        <f t="shared" si="9"/>
        <v>#N/A</v>
      </c>
      <c r="N94" s="345"/>
      <c r="O94" s="517"/>
      <c r="P94" s="506"/>
    </row>
    <row r="95" spans="1:16" s="337" customFormat="1" ht="19.5" customHeight="1" thickBot="1">
      <c r="A95" s="47"/>
      <c r="B95" s="41" t="s">
        <v>667</v>
      </c>
      <c r="C95" s="1" t="e">
        <f>C93+C94</f>
        <v>#N/A</v>
      </c>
      <c r="D95" s="379"/>
      <c r="E95" s="12" t="e">
        <f>E93+E94</f>
        <v>#N/A</v>
      </c>
      <c r="F95" s="345"/>
      <c r="G95" s="12">
        <f>G93+G94</f>
        <v>0</v>
      </c>
      <c r="H95" s="345"/>
      <c r="I95" s="12">
        <f>I93+I94</f>
        <v>0</v>
      </c>
      <c r="J95" s="512">
        <f>IF(OR(I95="",I95=0),0%,I95/K95)</f>
        <v>0</v>
      </c>
      <c r="K95" s="12">
        <f>K93+K94</f>
        <v>0</v>
      </c>
      <c r="L95" s="64"/>
      <c r="M95" s="144" t="e">
        <f>M93+M94</f>
        <v>#N/A</v>
      </c>
      <c r="O95" s="498"/>
      <c r="P95" s="508"/>
    </row>
    <row r="96" spans="1:16" s="337" customFormat="1" ht="19.5" customHeight="1">
      <c r="A96" s="47"/>
      <c r="B96" s="39"/>
      <c r="C96" s="50"/>
      <c r="D96" s="37"/>
      <c r="E96" s="50"/>
      <c r="G96" s="50"/>
      <c r="I96" s="50"/>
      <c r="J96" s="326"/>
      <c r="K96" s="50"/>
      <c r="L96" s="69"/>
      <c r="M96" s="50"/>
      <c r="O96" s="339"/>
      <c r="P96" s="508"/>
    </row>
    <row r="97" spans="1:16" ht="19.5" customHeight="1">
      <c r="A97" s="49" t="s">
        <v>668</v>
      </c>
      <c r="B97" s="39"/>
      <c r="C97" s="50"/>
      <c r="D97" s="37"/>
      <c r="E97" s="50"/>
      <c r="F97" s="337"/>
      <c r="G97" s="50"/>
      <c r="H97" s="337"/>
      <c r="I97" s="50"/>
      <c r="J97" s="326"/>
      <c r="K97" s="50"/>
      <c r="L97" s="69"/>
      <c r="M97" s="50"/>
      <c r="N97" s="337"/>
      <c r="O97" s="339"/>
      <c r="P97" s="508"/>
    </row>
    <row r="98" spans="1:16" s="337" customFormat="1" ht="19.5" customHeight="1">
      <c r="A98" s="47"/>
      <c r="B98" s="39"/>
      <c r="C98" s="42" t="s">
        <v>493</v>
      </c>
      <c r="D98" s="37"/>
      <c r="E98" s="42" t="s">
        <v>493</v>
      </c>
      <c r="G98" s="42" t="s">
        <v>493</v>
      </c>
      <c r="I98" s="42"/>
      <c r="J98" s="321"/>
      <c r="K98" s="42" t="s">
        <v>493</v>
      </c>
      <c r="L98" s="128"/>
      <c r="M98" s="42"/>
      <c r="O98" s="339"/>
      <c r="P98" s="510"/>
    </row>
    <row r="99" spans="1:16" s="337" customFormat="1" ht="19.5" customHeight="1">
      <c r="A99" s="47"/>
      <c r="B99" s="39" t="s">
        <v>646</v>
      </c>
      <c r="C99" s="496" t="e">
        <f>C90</f>
        <v>#N/A</v>
      </c>
      <c r="D99" s="37"/>
      <c r="E99" s="496" t="e">
        <f>E90</f>
        <v>#N/A</v>
      </c>
      <c r="G99" s="142">
        <f>G90</f>
        <v>0</v>
      </c>
      <c r="I99" s="42"/>
      <c r="J99" s="321"/>
      <c r="K99" s="142">
        <f>K90</f>
        <v>0</v>
      </c>
      <c r="L99" s="128"/>
      <c r="M99" s="42"/>
      <c r="O99" s="339"/>
      <c r="P99" s="510"/>
    </row>
    <row r="100" spans="1:16" s="337" customFormat="1" ht="19.5" customHeight="1" thickBot="1">
      <c r="A100" s="47"/>
      <c r="B100" s="39" t="s">
        <v>644</v>
      </c>
      <c r="C100" s="497" t="e">
        <f>C95</f>
        <v>#N/A</v>
      </c>
      <c r="D100" s="37"/>
      <c r="E100" s="497" t="e">
        <f>E95</f>
        <v>#N/A</v>
      </c>
      <c r="G100" s="148">
        <f>G95</f>
        <v>0</v>
      </c>
      <c r="I100" s="42"/>
      <c r="J100" s="321"/>
      <c r="K100" s="148">
        <f>K95</f>
        <v>0</v>
      </c>
      <c r="L100" s="128"/>
      <c r="M100" s="42"/>
      <c r="O100" s="339"/>
      <c r="P100" s="510"/>
    </row>
    <row r="101" spans="1:16" ht="19.5" customHeight="1" thickBot="1">
      <c r="A101" s="47"/>
      <c r="B101" s="39" t="s">
        <v>647</v>
      </c>
      <c r="C101" s="144" t="e">
        <f>C99-C100</f>
        <v>#N/A</v>
      </c>
      <c r="D101" s="37"/>
      <c r="E101" s="144" t="e">
        <f>E99-E100</f>
        <v>#N/A</v>
      </c>
      <c r="F101" s="345"/>
      <c r="G101" s="144">
        <f>G99-G100</f>
        <v>0</v>
      </c>
      <c r="H101" s="347"/>
      <c r="I101" s="13"/>
      <c r="J101" s="324"/>
      <c r="K101" s="144">
        <f>K99-K100</f>
        <v>0</v>
      </c>
      <c r="L101" s="64"/>
      <c r="M101" s="42"/>
      <c r="N101" s="337"/>
      <c r="O101" s="339"/>
      <c r="P101" s="508"/>
    </row>
    <row r="102" spans="1:16" ht="19.5" customHeight="1" thickBot="1">
      <c r="A102" s="47"/>
      <c r="B102" s="39" t="s">
        <v>669</v>
      </c>
      <c r="C102" s="245" t="e">
        <f>VLOOKUP($I$3,'Data - CFR 2024-25'!$B$4:$CJ$143,67,FALSE)</f>
        <v>#N/A</v>
      </c>
      <c r="D102" s="37"/>
      <c r="E102" s="245" t="e">
        <f>VLOOKUP($I$3,'Data - 2025-26 Approved Budget'!$B$3:$CJ$140,67,FALSE)</f>
        <v>#N/A</v>
      </c>
      <c r="F102" s="345"/>
      <c r="G102" s="168" t="e">
        <f>VLOOKUP($I$3,'Data - Revenue Balances Mar 25'!$A$5:$G$140,6,FALSE)</f>
        <v>#N/A</v>
      </c>
      <c r="H102" s="347"/>
      <c r="I102" s="13"/>
      <c r="J102" s="324"/>
      <c r="K102" s="168" t="e">
        <f>G102</f>
        <v>#N/A</v>
      </c>
      <c r="L102" s="64"/>
      <c r="M102" s="42"/>
      <c r="N102" s="337"/>
      <c r="O102" s="339"/>
      <c r="P102" s="508"/>
    </row>
    <row r="103" spans="1:16" s="337" customFormat="1" ht="19.5" customHeight="1" thickBot="1">
      <c r="A103" s="38"/>
      <c r="B103" s="39" t="s">
        <v>670</v>
      </c>
      <c r="C103" s="495" t="e">
        <f>C101+C102</f>
        <v>#N/A</v>
      </c>
      <c r="D103" s="37"/>
      <c r="E103" s="144" t="e">
        <f>E101+E102</f>
        <v>#N/A</v>
      </c>
      <c r="F103" s="345"/>
      <c r="G103" s="144" t="e">
        <f>G101+G102</f>
        <v>#N/A</v>
      </c>
      <c r="H103" s="347"/>
      <c r="I103" s="13"/>
      <c r="J103" s="324"/>
      <c r="K103" s="365" t="e">
        <f>K101+K102</f>
        <v>#N/A</v>
      </c>
      <c r="L103" s="64"/>
      <c r="M103" s="42"/>
      <c r="O103" s="339"/>
      <c r="P103" s="508"/>
    </row>
    <row r="104" spans="1:16" s="337" customFormat="1" ht="19.5" customHeight="1" thickBot="1">
      <c r="A104" s="38"/>
      <c r="B104" s="39"/>
      <c r="C104" s="51"/>
      <c r="D104" s="37"/>
      <c r="E104" s="51"/>
      <c r="G104" s="51"/>
      <c r="I104" s="6"/>
      <c r="J104" s="322"/>
      <c r="K104" s="51"/>
      <c r="L104" s="51"/>
      <c r="M104" s="42"/>
      <c r="O104" s="339"/>
      <c r="P104" s="508"/>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390"/>
      <c r="P105" s="508"/>
    </row>
    <row r="106" spans="1:16" s="337" customFormat="1" ht="19.5" customHeight="1" thickBot="1">
      <c r="A106" s="154" t="s">
        <v>672</v>
      </c>
      <c r="B106" s="39" t="s">
        <v>673</v>
      </c>
      <c r="C106" s="168">
        <v>0</v>
      </c>
      <c r="D106" s="37"/>
      <c r="E106" s="245" t="e">
        <f>VLOOKUP($I$3,'Data - 2025-26 Approved Budget'!$B$3:$CJ$140,69,FALSE)</f>
        <v>#N/A</v>
      </c>
      <c r="F106" s="345"/>
      <c r="G106" s="12">
        <v>0</v>
      </c>
      <c r="H106" s="347"/>
      <c r="I106" s="13"/>
      <c r="J106" s="324"/>
      <c r="K106" s="433"/>
      <c r="L106" s="64"/>
      <c r="M106" s="42"/>
      <c r="O106" s="339"/>
      <c r="P106" s="508"/>
    </row>
    <row r="107" spans="1:16" s="337" customFormat="1" ht="19.5" customHeight="1" thickBot="1">
      <c r="A107" s="154" t="s">
        <v>674</v>
      </c>
      <c r="B107" s="39" t="s">
        <v>675</v>
      </c>
      <c r="C107" s="168" t="e">
        <f>$C$80</f>
        <v>#N/A</v>
      </c>
      <c r="D107" s="37"/>
      <c r="E107" s="245" t="e">
        <f>VLOOKUP($I$3,'Data - 2025-26 Approved Budget'!$B$3:$CJ$140,70,FALSE)</f>
        <v>#N/A</v>
      </c>
      <c r="F107" s="345"/>
      <c r="G107" s="12" t="e">
        <f>G80</f>
        <v>#N/A</v>
      </c>
      <c r="H107" s="347"/>
      <c r="I107" s="13"/>
      <c r="J107" s="324"/>
      <c r="K107" s="12" t="e">
        <f>K80-K106</f>
        <v>#N/A</v>
      </c>
      <c r="L107" s="64"/>
      <c r="M107" s="42"/>
      <c r="O107" s="339"/>
      <c r="P107" s="508"/>
    </row>
    <row r="108" spans="1:16" s="337" customFormat="1" ht="19.5" customHeight="1" thickBot="1">
      <c r="A108" s="154" t="s">
        <v>676</v>
      </c>
      <c r="B108" s="39" t="s">
        <v>677</v>
      </c>
      <c r="C108" s="168" t="e">
        <f>C103</f>
        <v>#N/A</v>
      </c>
      <c r="D108" s="37"/>
      <c r="E108" s="245" t="e">
        <f>VLOOKUP($I$3,'Data - 2025-26 Approved Budget'!$B$3:$CJ$140,71,FALSE)</f>
        <v>#N/A</v>
      </c>
      <c r="F108" s="345"/>
      <c r="G108" s="168" t="e">
        <f>G103</f>
        <v>#N/A</v>
      </c>
      <c r="H108" s="347"/>
      <c r="I108" s="13"/>
      <c r="J108" s="324"/>
      <c r="K108" s="168" t="e">
        <f>K103</f>
        <v>#N/A</v>
      </c>
      <c r="L108" s="64"/>
      <c r="M108" s="42"/>
      <c r="O108" s="339"/>
      <c r="P108" s="508"/>
    </row>
    <row r="109" spans="1:16" s="337" customFormat="1" ht="18" thickBot="1">
      <c r="A109" s="155" t="s">
        <v>678</v>
      </c>
      <c r="B109" s="52"/>
      <c r="C109" s="141" t="e">
        <f>SUM(C106:C108)</f>
        <v>#N/A</v>
      </c>
      <c r="D109" s="52"/>
      <c r="E109" s="141" t="e">
        <f>SUM(E106:E108)</f>
        <v>#N/A</v>
      </c>
      <c r="F109" s="53"/>
      <c r="G109" s="141" t="e">
        <f>SUM(G106:G108)</f>
        <v>#N/A</v>
      </c>
      <c r="H109" s="147"/>
      <c r="I109" s="63"/>
      <c r="J109" s="324"/>
      <c r="K109" s="168" t="e">
        <f>SUM(K106:K108)</f>
        <v>#N/A</v>
      </c>
      <c r="L109" s="54"/>
      <c r="M109" s="42"/>
      <c r="O109" s="339"/>
      <c r="P109" s="508"/>
    </row>
    <row r="110" spans="1:16" s="337" customFormat="1" ht="7.5" customHeight="1" thickBot="1">
      <c r="A110" s="155"/>
      <c r="B110" s="52"/>
      <c r="C110" s="63"/>
      <c r="D110" s="52"/>
      <c r="E110" s="54"/>
      <c r="F110" s="52"/>
      <c r="G110" s="54"/>
      <c r="H110" s="52"/>
      <c r="I110" s="63"/>
      <c r="J110" s="324"/>
      <c r="K110" s="54"/>
      <c r="L110" s="54"/>
      <c r="M110" s="42"/>
      <c r="O110" s="339"/>
      <c r="P110" s="508"/>
    </row>
    <row r="111" spans="1:16" s="337" customFormat="1" ht="19.5" customHeight="1" thickBot="1">
      <c r="A111" s="156"/>
      <c r="B111" s="39" t="s">
        <v>679</v>
      </c>
      <c r="C111" s="170" t="e">
        <f>C109/SUM(C16:C20)</f>
        <v>#N/A</v>
      </c>
      <c r="D111" s="37"/>
      <c r="E111" s="170" t="e">
        <f>E109/SUM(E16:E20)</f>
        <v>#N/A</v>
      </c>
      <c r="G111" s="170" t="e">
        <f>G109/SUM(G16:G20)</f>
        <v>#N/A</v>
      </c>
      <c r="I111" s="13"/>
      <c r="J111" s="324"/>
      <c r="K111" s="364" t="e">
        <f>K109/SUM(K16:K20)</f>
        <v>#N/A</v>
      </c>
      <c r="L111" s="64"/>
      <c r="M111" s="418"/>
      <c r="O111" s="499"/>
      <c r="P111" s="508"/>
    </row>
    <row r="112" spans="1:16" s="337" customFormat="1" ht="19.5" customHeight="1">
      <c r="A112" s="156"/>
      <c r="B112" s="39"/>
      <c r="C112" s="162"/>
      <c r="D112" s="37"/>
      <c r="E112" s="162"/>
      <c r="G112" s="162"/>
      <c r="I112" s="13"/>
      <c r="J112" s="324"/>
      <c r="K112" s="163"/>
      <c r="L112" s="64"/>
      <c r="M112" s="42"/>
      <c r="O112" s="499"/>
      <c r="P112" s="508"/>
    </row>
    <row r="113" spans="1:16" s="337" customFormat="1" ht="19.5" customHeight="1">
      <c r="A113" s="156"/>
      <c r="B113" s="39" t="s">
        <v>1452</v>
      </c>
      <c r="C113" s="162"/>
      <c r="D113" s="37"/>
      <c r="E113" s="162"/>
      <c r="G113" s="162"/>
      <c r="I113" s="13"/>
      <c r="J113" s="324"/>
      <c r="K113" s="164" t="e">
        <f>K109-E109</f>
        <v>#N/A</v>
      </c>
      <c r="L113" s="64"/>
      <c r="M113" s="42"/>
      <c r="O113" s="499"/>
      <c r="P113" s="508"/>
    </row>
    <row r="114" spans="1:16" s="337" customFormat="1" ht="19.5" customHeight="1">
      <c r="A114" s="156"/>
      <c r="B114" s="39" t="s">
        <v>680</v>
      </c>
      <c r="C114" s="162"/>
      <c r="D114" s="37"/>
      <c r="E114" s="162"/>
      <c r="G114" s="162"/>
      <c r="I114" s="13"/>
      <c r="J114" s="324"/>
      <c r="K114" s="180" t="e">
        <f>K113/SUM(E16:E20)</f>
        <v>#N/A</v>
      </c>
      <c r="L114" s="64"/>
      <c r="M114" s="42"/>
      <c r="O114" s="499"/>
      <c r="P114" s="508"/>
    </row>
    <row r="115" spans="1:16" s="337" customFormat="1" ht="19.5" customHeight="1">
      <c r="A115" s="156"/>
      <c r="B115" s="39"/>
      <c r="C115" s="162"/>
      <c r="D115" s="37"/>
      <c r="E115" s="162"/>
      <c r="G115" s="162"/>
      <c r="I115" s="13"/>
      <c r="J115" s="324"/>
      <c r="K115" s="42"/>
      <c r="L115" s="64"/>
      <c r="M115" s="42"/>
      <c r="O115" s="499"/>
      <c r="P115" s="508"/>
    </row>
    <row r="116" spans="1:16" s="337" customFormat="1" ht="19.5" customHeight="1">
      <c r="A116" s="156"/>
      <c r="B116" s="39">
        <f>_xlfn.IFNA(IF(K116&lt;&gt;0,"Difference to SBS BvA Report Totals",),)</f>
        <v>0</v>
      </c>
      <c r="C116" s="162"/>
      <c r="D116" s="37"/>
      <c r="E116" s="162"/>
      <c r="G116" s="162"/>
      <c r="I116" s="326"/>
      <c r="J116" s="324"/>
      <c r="K116" s="42">
        <f>_xlfn.IFNA(SUM(K109,-VLOOKUP("Revenue Carry Forward",'SBS BvA Report (Table)'!A:K,11,0)-VLOOKUP("Extended Carry Forward",'SBS BvA Report (Table)'!A:K,11,0)),)</f>
        <v>0</v>
      </c>
      <c r="L116" s="64"/>
      <c r="M116" s="42"/>
      <c r="O116" s="499"/>
      <c r="P116" s="508"/>
    </row>
    <row r="117" spans="1:16" s="337" customFormat="1" ht="19.5" customHeight="1">
      <c r="A117" s="156"/>
      <c r="B117" s="39">
        <f>IF(K117&lt;&gt;0,"ZZZ Amount",)</f>
        <v>0</v>
      </c>
      <c r="C117" s="162"/>
      <c r="D117" s="37"/>
      <c r="E117" s="162"/>
      <c r="G117" s="162"/>
      <c r="I117" s="326"/>
      <c r="J117" s="324"/>
      <c r="K117" s="42">
        <f>_xlfn.IFNA(VLOOKUP("ZZZ",'SBS BvA Report (Table)'!A:AF,11,0),)</f>
        <v>0</v>
      </c>
      <c r="L117" s="64"/>
      <c r="M117" s="42"/>
      <c r="O117" s="499"/>
      <c r="P117" s="508"/>
    </row>
    <row r="118" spans="1:16" s="337" customFormat="1" ht="19.5" customHeight="1">
      <c r="A118" s="156"/>
      <c r="B118" s="39"/>
      <c r="C118" s="162"/>
      <c r="D118" s="37"/>
      <c r="E118" s="162"/>
      <c r="G118" s="162"/>
      <c r="I118" s="13"/>
      <c r="J118" s="324"/>
      <c r="K118" s="42"/>
      <c r="L118" s="64"/>
      <c r="M118" s="42"/>
      <c r="O118" s="499"/>
      <c r="P118" s="508"/>
    </row>
    <row r="119" spans="1:16" s="337" customFormat="1" ht="7.5" customHeight="1" thickBot="1">
      <c r="A119" s="157"/>
      <c r="B119" s="158"/>
      <c r="C119" s="159"/>
      <c r="D119" s="160"/>
      <c r="E119" s="159"/>
      <c r="F119" s="351"/>
      <c r="G119" s="161"/>
      <c r="H119" s="351"/>
      <c r="I119" s="161"/>
      <c r="J119" s="328"/>
      <c r="K119" s="159"/>
      <c r="L119" s="159"/>
      <c r="M119" s="161"/>
      <c r="N119" s="351"/>
      <c r="O119" s="501"/>
      <c r="P119" s="508"/>
    </row>
    <row r="120" spans="1:16" s="337" customFormat="1" ht="30.75" customHeight="1">
      <c r="A120" s="545" t="s">
        <v>435</v>
      </c>
      <c r="B120" s="546"/>
      <c r="C120" s="546"/>
      <c r="D120" s="546"/>
      <c r="E120" s="546"/>
      <c r="F120" s="546"/>
      <c r="G120" s="546"/>
      <c r="H120" s="546"/>
      <c r="I120" s="546"/>
      <c r="J120" s="546"/>
      <c r="K120" s="546"/>
      <c r="L120" s="546"/>
      <c r="M120" s="546"/>
      <c r="N120" s="546"/>
      <c r="O120" s="546"/>
      <c r="P120" s="547"/>
    </row>
    <row r="121" spans="1:16" s="337" customFormat="1" ht="96.6">
      <c r="A121" s="47" t="str">
        <f>B3</f>
        <v>Please Click on Arrow to Choose School</v>
      </c>
      <c r="B121" s="41"/>
      <c r="C121" s="134" t="s">
        <v>484</v>
      </c>
      <c r="D121" s="135"/>
      <c r="E121" s="134" t="s">
        <v>485</v>
      </c>
      <c r="F121" s="136"/>
      <c r="G121" s="134" t="s">
        <v>486</v>
      </c>
      <c r="H121" s="136"/>
      <c r="I121" s="134" t="s">
        <v>487</v>
      </c>
      <c r="J121" s="320" t="s">
        <v>488</v>
      </c>
      <c r="K121" s="134" t="s">
        <v>489</v>
      </c>
      <c r="L121" s="134"/>
      <c r="M121" s="134" t="s">
        <v>1441</v>
      </c>
      <c r="N121" s="131"/>
      <c r="O121" s="134" t="s">
        <v>550</v>
      </c>
      <c r="P121" s="505" t="s">
        <v>1481</v>
      </c>
    </row>
    <row r="122" spans="1:16" s="62" customFormat="1" ht="23.25" customHeight="1">
      <c r="A122" s="33"/>
      <c r="B122" s="137"/>
      <c r="C122" s="534" t="s">
        <v>490</v>
      </c>
      <c r="D122" s="534"/>
      <c r="E122" s="534"/>
      <c r="F122" s="534"/>
      <c r="G122" s="534"/>
      <c r="H122" s="534"/>
      <c r="I122" s="534"/>
      <c r="J122" s="534"/>
      <c r="K122" s="534"/>
      <c r="L122" s="534"/>
      <c r="M122" s="534"/>
      <c r="N122" s="344"/>
      <c r="O122" s="343"/>
      <c r="P122" s="503"/>
    </row>
    <row r="123" spans="1:16" s="337" customFormat="1" ht="19.5" customHeight="1">
      <c r="A123" s="49" t="s">
        <v>681</v>
      </c>
      <c r="B123" s="39"/>
      <c r="C123" s="42" t="s">
        <v>493</v>
      </c>
      <c r="E123" s="42" t="s">
        <v>493</v>
      </c>
      <c r="G123" s="42" t="s">
        <v>493</v>
      </c>
      <c r="I123" s="42" t="s">
        <v>493</v>
      </c>
      <c r="J123" s="321"/>
      <c r="K123" s="42" t="s">
        <v>493</v>
      </c>
      <c r="L123" s="128"/>
      <c r="M123" s="42" t="s">
        <v>493</v>
      </c>
      <c r="O123" s="500"/>
      <c r="P123" s="345"/>
    </row>
    <row r="124" spans="1:16" s="337" customFormat="1" ht="19.5" customHeight="1">
      <c r="A124" s="47" t="s">
        <v>682</v>
      </c>
      <c r="B124" s="39" t="s">
        <v>683</v>
      </c>
      <c r="C124" s="493" t="e">
        <f>VLOOKUP($I$3,'Data - CFR 2024-25'!$B$4:$CJ$143,73,FALSE)</f>
        <v>#N/A</v>
      </c>
      <c r="D124" s="336" t="s">
        <v>684</v>
      </c>
      <c r="E124" s="493" t="e">
        <f>VLOOKUP($I$3,'Data - 2025-26 Approved Budget'!$B$3:$CJ$140,73,FALSE)</f>
        <v>#N/A</v>
      </c>
      <c r="F124" s="345"/>
      <c r="G124" s="494">
        <f>_xlfn.IFNA(VLOOKUP(CONCATENATE($A124,$D124),'SBS BvA Report (Table)'!$A:$N,5,0),0)</f>
        <v>0</v>
      </c>
      <c r="H124" s="345"/>
      <c r="I124" s="494">
        <f>IF($O$3="y",_xlfn.IFNA(VLOOKUP(CONCATENATE($A124,$D124),'SBS BvA Report (Table)'!$A:$N,6,0),0),_xlfn.IFNA(-VLOOKUP($A124,'SBS BvA Report (Table)'!$A:$N,6,0),0))</f>
        <v>0</v>
      </c>
      <c r="J124" s="511">
        <f t="shared" ref="J124" si="11">IFERROR(IF(I124="",0%,I124/K124),0)</f>
        <v>0</v>
      </c>
      <c r="K124" s="494">
        <f>_xlfn.IFNA(VLOOKUP(CONCATENATE($A124,$D124),'SBS BvA Report (Table)'!$A:$N,11,0),0)</f>
        <v>0</v>
      </c>
      <c r="L124" s="346"/>
      <c r="M124" s="143" t="e">
        <f t="shared" ref="M124:M126" si="12">IF(G124="",(K124-E124),(K124-E124))</f>
        <v>#N/A</v>
      </c>
      <c r="N124" s="345"/>
      <c r="O124" s="517"/>
      <c r="P124" s="506"/>
    </row>
    <row r="125" spans="1:16" s="337" customFormat="1" ht="19.5" customHeight="1">
      <c r="A125" s="47" t="s">
        <v>685</v>
      </c>
      <c r="B125" s="39" t="s">
        <v>686</v>
      </c>
      <c r="C125" s="493" t="e">
        <f>VLOOKUP($I$3,'Data - CFR 2024-25'!$B$4:$CJ$143,74,FALSE)</f>
        <v>#N/A</v>
      </c>
      <c r="D125" s="336" t="s">
        <v>687</v>
      </c>
      <c r="E125" s="493" t="e">
        <f>VLOOKUP($I$3,'Data - 2025-26 Approved Budget'!$B$3:$CJ$140,74,FALSE)</f>
        <v>#N/A</v>
      </c>
      <c r="F125" s="345"/>
      <c r="G125" s="494">
        <f>_xlfn.IFNA(VLOOKUP(CONCATENATE($A125,$D125),'SBS BvA Report (Table)'!$A:$N,5,0),0)</f>
        <v>0</v>
      </c>
      <c r="H125" s="345"/>
      <c r="I125" s="494">
        <f>IF($O$3="y",_xlfn.IFNA(VLOOKUP(CONCATENATE($A125,$D125),'SBS BvA Report (Table)'!$A:$N,6,0),0),_xlfn.IFNA(-VLOOKUP($A125,'SBS BvA Report (Table)'!$A:$N,6,0),0))</f>
        <v>0</v>
      </c>
      <c r="J125" s="511">
        <f t="shared" ref="J125" si="13">IFERROR(IF(I125="",0%,I125/K125),0)</f>
        <v>0</v>
      </c>
      <c r="K125" s="494">
        <f>_xlfn.IFNA(VLOOKUP(CONCATENATE($A125,$D125),'SBS BvA Report (Table)'!$A:$N,11,0),0)</f>
        <v>0</v>
      </c>
      <c r="L125" s="346"/>
      <c r="M125" s="143" t="e">
        <f t="shared" si="12"/>
        <v>#N/A</v>
      </c>
      <c r="N125" s="345"/>
      <c r="O125" s="517"/>
      <c r="P125" s="506"/>
    </row>
    <row r="126" spans="1:16" s="337" customFormat="1" ht="19.5" customHeight="1" thickBot="1">
      <c r="A126" s="47" t="s">
        <v>688</v>
      </c>
      <c r="B126" s="39" t="s">
        <v>689</v>
      </c>
      <c r="C126" s="493" t="e">
        <f>VLOOKUP($I$3,'Data - CFR 2024-25'!$B$4:$CJ$143,75,FALSE)</f>
        <v>#N/A</v>
      </c>
      <c r="D126" s="336" t="s">
        <v>690</v>
      </c>
      <c r="E126" s="493" t="e">
        <f>VLOOKUP($I$3,'Data - 2025-26 Approved Budget'!$B$3:$CJ$140,75,FALSE)</f>
        <v>#N/A</v>
      </c>
      <c r="F126" s="345"/>
      <c r="G126" s="494">
        <f>_xlfn.IFNA(VLOOKUP(CONCATENATE($A126,$D126),'SBS BvA Report (Table)'!$A:$N,5,0),0)</f>
        <v>0</v>
      </c>
      <c r="H126" s="345"/>
      <c r="I126" s="494">
        <f>IF($O$3="y",_xlfn.IFNA(VLOOKUP(CONCATENATE($A126,$D126),'SBS BvA Report (Table)'!$A:$N,6,0),0),_xlfn.IFNA(-VLOOKUP($A126,'SBS BvA Report (Table)'!$A:$N,6,0),0))</f>
        <v>0</v>
      </c>
      <c r="J126" s="511">
        <f t="shared" ref="J126" si="14">IFERROR(IF(I126="",0%,I126/K126),0)</f>
        <v>0</v>
      </c>
      <c r="K126" s="494">
        <f>_xlfn.IFNA(VLOOKUP(CONCATENATE($A126,$D126),'SBS BvA Report (Table)'!$A:$N,11,0),0)</f>
        <v>0</v>
      </c>
      <c r="L126" s="346"/>
      <c r="M126" s="143" t="e">
        <f t="shared" si="12"/>
        <v>#N/A</v>
      </c>
      <c r="N126" s="345"/>
      <c r="O126" s="517"/>
      <c r="P126" s="506"/>
    </row>
    <row r="127" spans="1:16" s="43" customFormat="1" ht="19.5" customHeight="1" thickBot="1">
      <c r="A127" s="45"/>
      <c r="B127" s="41" t="s">
        <v>436</v>
      </c>
      <c r="C127" s="1" t="e">
        <f>SUM(C124:C126)</f>
        <v>#N/A</v>
      </c>
      <c r="D127" s="380"/>
      <c r="E127" s="1" t="e">
        <f>SUM(E124:E126)</f>
        <v>#N/A</v>
      </c>
      <c r="F127" s="59"/>
      <c r="G127" s="1">
        <f>SUM(G124:G126)</f>
        <v>0</v>
      </c>
      <c r="H127" s="59"/>
      <c r="I127" s="1">
        <f>SUM(I124:I126)</f>
        <v>0</v>
      </c>
      <c r="J127" s="512">
        <f>IF(OR(I127="",I127=0),0%,I127/K127)</f>
        <v>0</v>
      </c>
      <c r="K127" s="1">
        <f>SUM(K124:K126)</f>
        <v>0</v>
      </c>
      <c r="L127" s="64"/>
      <c r="M127" s="144" t="e">
        <f>SUM(M124:M126)</f>
        <v>#N/A</v>
      </c>
      <c r="O127" s="502"/>
      <c r="P127" s="507"/>
    </row>
    <row r="128" spans="1:16" s="337" customFormat="1" ht="19.5" customHeight="1">
      <c r="A128" s="47"/>
      <c r="B128" s="39"/>
      <c r="C128" s="50"/>
      <c r="D128" s="336"/>
      <c r="E128" s="50"/>
      <c r="G128" s="50"/>
      <c r="I128" s="50"/>
      <c r="J128" s="513"/>
      <c r="K128" s="50"/>
      <c r="L128" s="69"/>
      <c r="M128" s="50"/>
      <c r="O128" s="339"/>
      <c r="P128" s="508"/>
    </row>
    <row r="129" spans="1:16" s="337" customFormat="1" ht="19.5" customHeight="1">
      <c r="A129" s="49" t="s">
        <v>691</v>
      </c>
      <c r="B129" s="39"/>
      <c r="C129" s="42" t="s">
        <v>493</v>
      </c>
      <c r="D129" s="381"/>
      <c r="E129" s="42" t="s">
        <v>493</v>
      </c>
      <c r="G129" s="42" t="s">
        <v>493</v>
      </c>
      <c r="I129" s="42" t="s">
        <v>493</v>
      </c>
      <c r="J129" s="514"/>
      <c r="K129" s="42" t="s">
        <v>493</v>
      </c>
      <c r="L129" s="128"/>
      <c r="M129" s="42" t="s">
        <v>493</v>
      </c>
      <c r="O129" s="500"/>
      <c r="P129" s="508"/>
    </row>
    <row r="130" spans="1:16" s="337" customFormat="1" ht="19.5" customHeight="1">
      <c r="A130" s="47" t="s">
        <v>692</v>
      </c>
      <c r="B130" s="39" t="s">
        <v>693</v>
      </c>
      <c r="C130" s="493" t="e">
        <f>VLOOKUP($I$3,'Data - CFR 2024-25'!$B$4:$CJ$143,77,FALSE)</f>
        <v>#N/A</v>
      </c>
      <c r="D130" s="336" t="s">
        <v>694</v>
      </c>
      <c r="E130" s="493" t="e">
        <f>VLOOKUP($I$3,'Data - 2025-26 Approved Budget'!$B$3:$CJ$140,77,FALSE)</f>
        <v>#N/A</v>
      </c>
      <c r="F130" s="345"/>
      <c r="G130" s="494">
        <f>_xlfn.IFNA(VLOOKUP(CONCATENATE($A130,$D130),'SBS BvA Report (Table)'!$A:$N,5,0),0)</f>
        <v>0</v>
      </c>
      <c r="H130" s="345"/>
      <c r="I130" s="494">
        <f>_xlfn.IFNA(VLOOKUP(CONCATENATE($A130,$D130),'SBS BvA Report (Table)'!$A:$N,6,0),0)</f>
        <v>0</v>
      </c>
      <c r="J130" s="511">
        <f t="shared" ref="J130:J132" si="15">IFERROR(IF(I130="",0%,I130/K130),0)</f>
        <v>0</v>
      </c>
      <c r="K130" s="494">
        <f>_xlfn.IFNA(VLOOKUP(CONCATENATE($A130,$D130),'SBS BvA Report (Table)'!$A:$N,11,0),0)</f>
        <v>0</v>
      </c>
      <c r="L130" s="346"/>
      <c r="M130" s="143" t="e">
        <f t="shared" ref="M130" si="16">IF(G130="",(K130-E130),(K130-E130))</f>
        <v>#N/A</v>
      </c>
      <c r="N130" s="345"/>
      <c r="O130" s="517"/>
      <c r="P130" s="506"/>
    </row>
    <row r="131" spans="1:16" s="337" customFormat="1" ht="19.5" customHeight="1">
      <c r="A131" s="47" t="s">
        <v>695</v>
      </c>
      <c r="B131" s="39" t="s">
        <v>696</v>
      </c>
      <c r="C131" s="493" t="e">
        <f>VLOOKUP($I$3,'Data - CFR 2024-25'!$B$4:$CJ$143,78,FALSE)</f>
        <v>#N/A</v>
      </c>
      <c r="D131" s="336" t="s">
        <v>697</v>
      </c>
      <c r="E131" s="493" t="e">
        <f>VLOOKUP($I$3,'Data - 2025-26 Approved Budget'!$B$3:$CJ$140,78,FALSE)</f>
        <v>#N/A</v>
      </c>
      <c r="F131" s="345"/>
      <c r="G131" s="494">
        <f>_xlfn.IFNA(VLOOKUP(CONCATENATE($A131,$D131),'SBS BvA Report (Table)'!$A:$N,5,0),0)</f>
        <v>0</v>
      </c>
      <c r="H131" s="345"/>
      <c r="I131" s="494">
        <f>_xlfn.IFNA(VLOOKUP(CONCATENATE($A131,$D131),'SBS BvA Report (Table)'!$A:$N,6,0),0)</f>
        <v>0</v>
      </c>
      <c r="J131" s="511">
        <f t="shared" si="15"/>
        <v>0</v>
      </c>
      <c r="K131" s="494">
        <f>_xlfn.IFNA(VLOOKUP(CONCATENATE($A131,$D131),'SBS BvA Report (Table)'!$A:$N,11,0),0)</f>
        <v>0</v>
      </c>
      <c r="L131" s="346"/>
      <c r="M131" s="143">
        <f>IF(G131="",(K131-E131),(K131-G131))</f>
        <v>0</v>
      </c>
      <c r="N131" s="345"/>
      <c r="O131" s="517"/>
      <c r="P131" s="506"/>
    </row>
    <row r="132" spans="1:16" s="337" customFormat="1" ht="19.5" customHeight="1">
      <c r="A132" s="47" t="s">
        <v>698</v>
      </c>
      <c r="B132" s="39" t="s">
        <v>699</v>
      </c>
      <c r="C132" s="493" t="e">
        <f>VLOOKUP($I$3,'Data - CFR 2024-25'!$B$4:$CJ$143,79,FALSE)</f>
        <v>#N/A</v>
      </c>
      <c r="D132" s="336" t="s">
        <v>700</v>
      </c>
      <c r="E132" s="493" t="e">
        <f>VLOOKUP($I$3,'Data - 2025-26 Approved Budget'!$B$3:$CJ$140,79,FALSE)</f>
        <v>#N/A</v>
      </c>
      <c r="F132" s="345"/>
      <c r="G132" s="494">
        <f>_xlfn.IFNA(VLOOKUP(CONCATENATE($A132,$D132),'SBS BvA Report (Table)'!$A:$N,5,0),0)</f>
        <v>0</v>
      </c>
      <c r="H132" s="345"/>
      <c r="I132" s="494">
        <f>_xlfn.IFNA(VLOOKUP(CONCATENATE($A132,$D132),'SBS BvA Report (Table)'!$A:$N,6,0),0)</f>
        <v>0</v>
      </c>
      <c r="J132" s="511">
        <f t="shared" si="15"/>
        <v>0</v>
      </c>
      <c r="K132" s="494">
        <f>_xlfn.IFNA(VLOOKUP(CONCATENATE($A132,$D132),'SBS BvA Report (Table)'!$A:$N,11,0),0)</f>
        <v>0</v>
      </c>
      <c r="L132" s="346"/>
      <c r="M132" s="143">
        <f>IF(G132="",(K132-E132),(K132-G132))</f>
        <v>0</v>
      </c>
      <c r="N132" s="345"/>
      <c r="O132" s="517"/>
      <c r="P132" s="506"/>
    </row>
    <row r="133" spans="1:16" s="337" customFormat="1" ht="19.5" customHeight="1" thickBot="1">
      <c r="A133" s="47" t="s">
        <v>701</v>
      </c>
      <c r="B133" s="39" t="s">
        <v>702</v>
      </c>
      <c r="C133" s="493" t="e">
        <f>VLOOKUP($I$3,'Data - CFR 2024-25'!$B$4:$CJ$143,80,FALSE)</f>
        <v>#N/A</v>
      </c>
      <c r="D133" s="336"/>
      <c r="E133" s="493" t="e">
        <f>VLOOKUP($I$3,'Data - 2025-26 Approved Budget'!$B$3:$CJ$140,80,FALSE)</f>
        <v>#N/A</v>
      </c>
      <c r="F133" s="345"/>
      <c r="G133" s="492">
        <f>SUM(_xlfn.IFNA(VLOOKUP("CE04A: Connectivity",'SBS BvA Report (Table)'!$A:$N,5,0),0),_xlfn.IFNA(VLOOKUP("CE04B: Onsite Servers",'SBS BvA Report (Table)'!$A:$N,5,0),0),_xlfn.IFNA(VLOOKUP("CE04C: Administration Software &amp; Systems",'SBS BvA Report (Table)'!$A:$N,5,0),0),_xlfn.IFNA(VLOOKUP("CE04D: Laptops, Desktops &amp; Tablets",'SBS BvA Report (Table)'!$A:$N,5,0),0),0)</f>
        <v>0</v>
      </c>
      <c r="H133" s="345"/>
      <c r="I133" s="492">
        <f>SUM(_xlfn.IFNA(VLOOKUP("CE04A: Connectivity",'SBS BvA Report (Table)'!$A:$N,6,0),0),_xlfn.IFNA(VLOOKUP("CE04B: Onsite Servers",'SBS BvA Report (Table)'!$A:$N,6,0),0),_xlfn.IFNA(VLOOKUP("CE04C: Administration Software &amp; Systems",'SBS BvA Report (Table)'!$A:$N,6,0),0),_xlfn.IFNA(VLOOKUP("CE04D: Laptops, Desktops &amp; Tablets",'SBS BvA Report (Table)'!$A:$N,6,0),0),0)</f>
        <v>0</v>
      </c>
      <c r="J133" s="511">
        <f t="shared" ref="J133" si="17">IFERROR(IF(I133="",0%,I133/K133),0)</f>
        <v>0</v>
      </c>
      <c r="K133" s="492">
        <f>SUM(_xlfn.IFNA(VLOOKUP("CE04A: Connectivity",'SBS BvA Report (Table)'!$A:$N,11,0),0),_xlfn.IFNA(VLOOKUP("CE04B: Onsite Servers",'SBS BvA Report (Table)'!$A:$N,11,0),0),_xlfn.IFNA(VLOOKUP("CE04C: Administration Software &amp; Systems",'SBS BvA Report (Table)'!$A:$N,11,0),0),_xlfn.IFNA(VLOOKUP("CE04D: Laptops, Desktops &amp; Tablets",'SBS BvA Report (Table)'!$A:$N,11,0),0),0)</f>
        <v>0</v>
      </c>
      <c r="L133" s="346"/>
      <c r="M133" s="143">
        <f>IF(G133="",(K133-E133),(K133-G133))</f>
        <v>0</v>
      </c>
      <c r="N133" s="345"/>
      <c r="O133" s="517"/>
      <c r="P133" s="506"/>
    </row>
    <row r="134" spans="1:16" s="337" customFormat="1" ht="19.5" customHeight="1" thickBot="1">
      <c r="A134" s="47"/>
      <c r="B134" s="41" t="s">
        <v>437</v>
      </c>
      <c r="C134" s="1" t="e">
        <f>SUM(C130:C133)</f>
        <v>#N/A</v>
      </c>
      <c r="D134" s="336"/>
      <c r="E134" s="1" t="e">
        <f>SUM(E130:E133)</f>
        <v>#N/A</v>
      </c>
      <c r="F134" s="345"/>
      <c r="G134" s="1">
        <f>SUM(G130:G133)</f>
        <v>0</v>
      </c>
      <c r="H134" s="345"/>
      <c r="I134" s="1">
        <f>SUM(I130:I133)</f>
        <v>0</v>
      </c>
      <c r="J134" s="512">
        <f>IF(OR(I134="",I134=0),0%,I134/K134)</f>
        <v>0</v>
      </c>
      <c r="K134" s="1">
        <f>SUM(K130:K133)</f>
        <v>0</v>
      </c>
      <c r="L134" s="64"/>
      <c r="M134" s="144" t="e">
        <f>SUM(M130:M133)</f>
        <v>#N/A</v>
      </c>
      <c r="N134" s="347"/>
      <c r="O134" s="498"/>
      <c r="P134" s="508"/>
    </row>
    <row r="135" spans="1:16" s="337" customFormat="1" ht="19.5" customHeight="1" thickBot="1">
      <c r="A135" s="47"/>
      <c r="B135" s="41"/>
      <c r="C135" s="6"/>
      <c r="D135" s="37"/>
      <c r="E135" s="6"/>
      <c r="G135" s="6"/>
      <c r="I135" s="6"/>
      <c r="J135" s="322"/>
      <c r="K135" s="6"/>
      <c r="L135" s="51"/>
      <c r="M135" s="6"/>
      <c r="O135" s="339"/>
      <c r="P135" s="508"/>
    </row>
    <row r="136" spans="1:16" s="337" customFormat="1" ht="19.5" customHeight="1" thickBot="1">
      <c r="A136" s="47"/>
      <c r="B136" s="39" t="s">
        <v>703</v>
      </c>
      <c r="C136" s="144" t="e">
        <f>C127-C134</f>
        <v>#N/A</v>
      </c>
      <c r="D136" s="37"/>
      <c r="E136" s="144" t="e">
        <f>E127-E134</f>
        <v>#N/A</v>
      </c>
      <c r="F136" s="345"/>
      <c r="G136" s="144">
        <f>G127-G134</f>
        <v>0</v>
      </c>
      <c r="H136" s="347"/>
      <c r="I136" s="42"/>
      <c r="J136" s="329"/>
      <c r="K136" s="144">
        <f>K127-K134</f>
        <v>0</v>
      </c>
      <c r="L136" s="352"/>
      <c r="M136" s="353"/>
      <c r="O136" s="339"/>
      <c r="P136" s="508"/>
    </row>
    <row r="137" spans="1:16" s="337" customFormat="1" ht="19.5" customHeight="1" thickBot="1">
      <c r="A137" s="47"/>
      <c r="B137" s="39" t="s">
        <v>704</v>
      </c>
      <c r="C137" s="245" t="e">
        <f>VLOOKUP($I$3,'Data - CFR 2024-25'!$B$4:$CJ$143,83,FALSE)</f>
        <v>#N/A</v>
      </c>
      <c r="D137" s="37"/>
      <c r="E137" s="245" t="e">
        <f>VLOOKUP($I$3,'Data - 2025-26 Approved Budget'!$B$3:$CJ$140,83,FALSE)</f>
        <v>#N/A</v>
      </c>
      <c r="F137" s="345"/>
      <c r="G137" s="168" t="e">
        <f>E137</f>
        <v>#N/A</v>
      </c>
      <c r="H137" s="347"/>
      <c r="I137" s="42"/>
      <c r="J137" s="329"/>
      <c r="K137" s="168" t="e">
        <f>G137</f>
        <v>#N/A</v>
      </c>
      <c r="L137" s="352"/>
      <c r="M137" s="353"/>
      <c r="O137" s="339"/>
      <c r="P137" s="508"/>
    </row>
    <row r="138" spans="1:16" s="337" customFormat="1" ht="19.5" customHeight="1" thickBot="1">
      <c r="A138" s="47"/>
      <c r="B138" s="41" t="s">
        <v>705</v>
      </c>
      <c r="C138" s="495" t="e">
        <f>C136+C137</f>
        <v>#N/A</v>
      </c>
      <c r="D138" s="37"/>
      <c r="E138" s="144" t="e">
        <f>E136+E137</f>
        <v>#N/A</v>
      </c>
      <c r="F138" s="345"/>
      <c r="G138" s="144" t="e">
        <f>G136+G137</f>
        <v>#N/A</v>
      </c>
      <c r="H138" s="347"/>
      <c r="I138" s="42"/>
      <c r="J138" s="324"/>
      <c r="K138" s="144" t="e">
        <f>K136+K137</f>
        <v>#N/A</v>
      </c>
      <c r="L138" s="64"/>
      <c r="M138" s="13"/>
      <c r="O138" s="339"/>
      <c r="P138" s="508"/>
    </row>
    <row r="139" spans="1:16" ht="19.5" customHeight="1">
      <c r="A139" s="55"/>
      <c r="B139" s="354"/>
      <c r="C139" s="7"/>
      <c r="D139" s="58"/>
      <c r="E139" s="7"/>
      <c r="F139" s="349"/>
      <c r="G139" s="7"/>
      <c r="H139" s="349"/>
      <c r="I139" s="7"/>
      <c r="J139" s="330"/>
      <c r="K139" s="7"/>
      <c r="L139" s="57"/>
      <c r="M139" s="7"/>
      <c r="N139" s="349"/>
      <c r="O139" s="500"/>
      <c r="P139" s="509"/>
    </row>
    <row r="140" spans="1:16" ht="17.25" customHeight="1">
      <c r="A140" s="250"/>
      <c r="B140" s="355"/>
    </row>
    <row r="141" spans="1:16" ht="17.25" customHeight="1">
      <c r="A141" s="250"/>
      <c r="B141" s="355"/>
    </row>
    <row r="142" spans="1:16" ht="15.6">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tr">
        <f>VLOOKUP(D193,'Data - CFR 2024-25'!$B$4:$E$127,4,0)</f>
        <v>30EP3373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tr">
        <f>VLOOKUP(D194,'Data - CFR 2024-25'!$B$4:$E$127,4,0)</f>
        <v>30EP3061</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tr">
        <f>VLOOKUP(D195,'Data - CFR 2024-25'!$B$4:$E$127,4,0)</f>
        <v>30EP2083</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tr">
        <f>VLOOKUP(D196,'Data - CFR 2024-25'!$B$4:$E$127,4,0)</f>
        <v>30EP2118</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tr">
        <f>VLOOKUP(D197,'Data - CFR 2024-25'!$B$4:$E$127,4,0)</f>
        <v>30EP2217</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tr">
        <f>VLOOKUP(D198,'Data - CFR 2024-25'!$B$4:$E$127,4,0)</f>
        <v>30EP3067</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tr">
        <f>VLOOKUP(D199,'Data - CFR 2024-25'!$B$4:$E$127,4,0)</f>
        <v>30EP3001</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tr">
        <f>VLOOKUP(D200,'Data - CFR 2024-25'!$B$4:$E$127,4,0)</f>
        <v>30EP3301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tr">
        <f>VLOOKUP(D201,'Data - CFR 2024-25'!$B$4:$E$127,4,0)</f>
        <v>30EP2002</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tr">
        <f>VLOOKUP(D202,'Data - CFR 2024-25'!$B$4:$E$127,4,0)</f>
        <v>30EP2082</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tr">
        <f>VLOOKUP(D203,'Data - CFR 2024-25'!$B$4:$E$127,4,0)</f>
        <v>30EP3943</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tr">
        <f>VLOOKUP(D204,'Data - CFR 2024-25'!$B$4:$E$127,4,0)</f>
        <v>30EP2060</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tr">
        <f>VLOOKUP(D205,'Data - CFR 2024-25'!$B$4:$E$127,4,0)</f>
        <v>30EP2312</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tr">
        <f>VLOOKUP(D206,'Data - CFR 2024-25'!$B$4:$E$127,4,0)</f>
        <v>30EP3942</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tr">
        <f>VLOOKUP(D207,'Data - CFR 2024-25'!$B$4:$E$127,4,0)</f>
        <v>30EP3081</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tr">
        <f>VLOOKUP(D208,'Data - CFR 2024-25'!$B$4:$E$127,4,0)</f>
        <v>30EN1005</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tr">
        <f>VLOOKUP(D209,'Data - CFR 2024-25'!$B$4:$E$127,4,0)</f>
        <v>30EP2327</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tr">
        <f>VLOOKUP(D210,'Data - CFR 2024-25'!$B$4:$E$127,4,0)</f>
        <v>30EP2452</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tr">
        <f>VLOOKUP(D211,'Data - CFR 2024-25'!$B$4:$E$127,4,0)</f>
        <v>30EP2004</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tr">
        <f>VLOOKUP(D212,'Data - CFR 2024-25'!$B$4:$E$127,4,0)</f>
        <v>30EP3008</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tr">
        <f>VLOOKUP(D213,'Data - CFR 2024-25'!$B$4:$E$127,4,0)</f>
        <v>30ES7026</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tr">
        <f>VLOOKUP(D214,'Data - CFR 2024-25'!$B$4:$E$127,4,0)</f>
        <v>30EP3050</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tr">
        <f>VLOOKUP(D215,'Data - CFR 2024-25'!$B$4:$E$127,4,0)</f>
        <v>30EP3009</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tr">
        <f>VLOOKUP(D216,'Data - CFR 2024-25'!$B$4:$E$127,4,0)</f>
        <v>30EP2091</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tr">
        <f>VLOOKUP(D217,'Data - CFR 2024-25'!$B$4:$E$127,4,0)</f>
        <v>30EP2065</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tr">
        <f>VLOOKUP(D218,'Data - CFR 2024-25'!$B$4:$E$127,4,0)</f>
        <v>30EN1006</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tr">
        <f>VLOOKUP(D219,'Data - CFR 2024-25'!$B$4:$E$127,4,0)</f>
        <v>30EP2119</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tr">
        <f>VLOOKUP(D220,'Data - CFR 2024-25'!$B$4:$E$127,4,0)</f>
        <v>30EP3011</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tr">
        <f>VLOOKUP(D221,'Data - CFR 2024-25'!$B$4:$E$127,4,0)</f>
        <v>30EP2006</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tr">
        <f>VLOOKUP(D222,'Data - CFR 2024-25'!$B$4:$E$127,4,0)</f>
        <v>30EP3012</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tr">
        <f>VLOOKUP(D223,'Data - CFR 2024-25'!$B$4:$E$127,4,0)</f>
        <v>30EP3041</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tr">
        <f>VLOOKUP(D224,'Data - CFR 2024-25'!$B$4:$E$127,4,0)</f>
        <v>30EP2246</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tr">
        <f>VLOOKUP(D225,'Data - CFR 2024-25'!$B$4:$E$127,4,0)</f>
        <v>30EP3308</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tr">
        <f>VLOOKUP(D226,'Data - CFR 2024-25'!$B$4:$E$127,4,0)</f>
        <v>30EP3368</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tr">
        <f>VLOOKUP(D227,'Data - CFR 2024-25'!$B$4:$E$127,4,0)</f>
        <v>30EP2444</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tr">
        <f>VLOOKUP(D228,'Data - CFR 2024-25'!$B$4:$E$127,4,0)</f>
        <v>30EP3074</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tr">
        <f>VLOOKUP(D229,'Data - CFR 2024-25'!$B$4:$E$127,4,0)</f>
        <v>30EP2336</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tr">
        <f>VLOOKUP(D230,'Data - CFR 2024-25'!$B$4:$E$127,4,0)</f>
        <v>30EP2010</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tr">
        <f>VLOOKUP(D231,'Data - CFR 2024-25'!$B$4:$E$127,4,0)</f>
        <v>30EP2208</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tr">
        <f>VLOOKUP(D232,'Data - CFR 2024-25'!$B$4:$E$127,4,0)</f>
        <v>30EP3065</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tr">
        <f>VLOOKUP(D233,'Data - CFR 2024-25'!$B$4:$E$127,4,0)</f>
        <v>30EP3014</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tr">
        <f>VLOOKUP(D234,'Data - CFR 2024-25'!$B$4:$E$127,4,0)</f>
        <v>30EP2321</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tr">
        <f>VLOOKUP(D235,'Data - CFR 2024-25'!$B$4:$E$127,4,0)</f>
        <v>30EP2011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tr">
        <f>VLOOKUP(D236,'Data - CFR 2024-25'!$B$4:$E$127,4,0)</f>
        <v>30EP2012</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tr">
        <f>VLOOKUP(D237,'Data - CFR 2024-25'!$B$4:$E$127,4,0)</f>
        <v>30EP2068</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tr">
        <f>VLOOKUP(D238,'Data - CFR 2024-25'!$B$4:$E$127,4,0)</f>
        <v>30EP2328</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tr">
        <f>VLOOKUP(D239,'Data - CFR 2024-25'!$B$4:$E$127,4,0)</f>
        <v>30ES7025</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tr">
        <f>VLOOKUP(D240,'Data - CFR 2024-25'!$B$4:$E$127,4,0)</f>
        <v>30EP2016</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tr">
        <f>VLOOKUP(D241,'Data - CFR 2024-25'!$B$4:$E$127,4,0)</f>
        <v>30EP3310</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tr">
        <f>VLOOKUP(D242,'Data - CFR 2024-25'!$B$4:$E$127,4,0)</f>
        <v>30EP3068</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tr">
        <f>VLOOKUP(D243,'Data - CFR 2024-25'!$B$4:$E$127,4,0)</f>
        <v>30EP2315</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tr">
        <f>VLOOKUP(D244,'Data - CFR 2024-25'!$B$4:$E$127,4,0)</f>
        <v>30EP2018</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tr">
        <f>VLOOKUP(D245,'Data - CFR 2024-25'!$B$4:$E$127,4,0)</f>
        <v>30EP3035</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tr">
        <f>VLOOKUP(D246,'Data - CFR 2024-25'!$B$4:$E$127,4,0)</f>
        <v>30EP2205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tr">
        <f>VLOOKUP(D247,'Data - CFR 2024-25'!$B$4:$E$127,4,0)</f>
        <v>30EP2211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tr">
        <f>VLOOKUP(D248,'Data - CFR 2024-25'!$B$4:$E$127,4,0)</f>
        <v>30EN1003</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tr">
        <f>VLOOKUP(D249,'Data - CFR 2024-25'!$B$4:$E$127,4,0)</f>
        <v>30EP3071</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tr">
        <f>VLOOKUP(D250,'Data - CFR 2024-25'!$B$4:$E$127,4,0)</f>
        <v>30EN1002</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tr">
        <f>VLOOKUP(D251,'Data - CFR 2024-25'!$B$4:$E$127,4,0)</f>
        <v>30EP2212</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tr">
        <f>VLOOKUP(D252,'Data - CFR 2024-25'!$B$4:$E$127,4,0)</f>
        <v>30EN1007</v>
      </c>
      <c r="I252" s="50"/>
    </row>
    <row r="253" spans="1:256" hidden="1">
      <c r="A253" s="288" t="s">
        <v>769</v>
      </c>
      <c r="B253" s="332" t="s">
        <v>708</v>
      </c>
      <c r="C253" s="288">
        <v>3945</v>
      </c>
      <c r="D253" s="288">
        <v>3945</v>
      </c>
      <c r="E253" s="50" t="str">
        <f>VLOOKUP(D253,'Data - CFR 2024-25'!$B$4:$E$127,4,0)</f>
        <v>30EP3945</v>
      </c>
      <c r="G253" s="357"/>
      <c r="I253" s="332"/>
      <c r="J253" s="332"/>
      <c r="K253" s="332"/>
      <c r="L253" s="358"/>
      <c r="M253" s="332"/>
      <c r="N253" s="359"/>
      <c r="O253" s="360"/>
      <c r="P253" s="357"/>
    </row>
    <row r="254" spans="1:256" hidden="1">
      <c r="A254" s="288" t="s">
        <v>770</v>
      </c>
      <c r="B254" s="332" t="s">
        <v>708</v>
      </c>
      <c r="C254" s="288">
        <v>3022</v>
      </c>
      <c r="D254" s="288">
        <v>3022</v>
      </c>
      <c r="E254" s="50" t="str">
        <f>VLOOKUP(D254,'Data - CFR 2024-25'!$B$4:$E$127,4,0)</f>
        <v>30EP3022</v>
      </c>
      <c r="G254" s="361"/>
      <c r="I254" s="332"/>
      <c r="J254" s="332"/>
      <c r="K254" s="332"/>
      <c r="L254" s="358"/>
      <c r="M254" s="332"/>
    </row>
    <row r="255" spans="1:256" hidden="1">
      <c r="A255" s="288" t="s">
        <v>771</v>
      </c>
      <c r="B255" s="332" t="s">
        <v>708</v>
      </c>
      <c r="C255" s="288">
        <v>2442</v>
      </c>
      <c r="D255" s="288">
        <v>2442</v>
      </c>
      <c r="E255" s="50" t="str">
        <f>VLOOKUP(D255,'Data - CFR 2024-25'!$B$4:$E$127,4,0)</f>
        <v>30EP2442</v>
      </c>
      <c r="G255" s="361"/>
      <c r="I255" s="332"/>
      <c r="J255" s="332"/>
      <c r="K255" s="332"/>
      <c r="L255" s="358"/>
      <c r="M255" s="332"/>
    </row>
    <row r="256" spans="1:256" hidden="1">
      <c r="A256" s="288" t="s">
        <v>772</v>
      </c>
      <c r="B256" s="332" t="s">
        <v>708</v>
      </c>
      <c r="C256" s="288">
        <v>2331</v>
      </c>
      <c r="D256" s="288">
        <v>2331</v>
      </c>
      <c r="E256" s="50" t="str">
        <f>VLOOKUP(D256,'Data - CFR 2024-25'!$B$4:$E$127,4,0)</f>
        <v>30EP2331</v>
      </c>
      <c r="G256" s="361"/>
      <c r="I256" s="332"/>
      <c r="J256" s="332"/>
      <c r="K256" s="332"/>
      <c r="L256" s="358"/>
      <c r="M256" s="332"/>
    </row>
    <row r="257" spans="1:13" hidden="1">
      <c r="A257" s="288"/>
      <c r="B257" s="332" t="s">
        <v>724</v>
      </c>
      <c r="C257" s="288">
        <v>1000</v>
      </c>
      <c r="D257" s="288">
        <v>1000</v>
      </c>
      <c r="E257" s="50" t="str">
        <f>VLOOKUP(D257,'Data - CFR 2024-25'!$B$4:$E$127,4,0)</f>
        <v>30EN1000</v>
      </c>
      <c r="G257" s="361"/>
      <c r="I257" s="332"/>
      <c r="J257" s="332"/>
      <c r="K257" s="332"/>
      <c r="L257" s="358"/>
      <c r="M257" s="332"/>
    </row>
    <row r="258" spans="1:13" hidden="1">
      <c r="A258" s="288" t="s">
        <v>474</v>
      </c>
      <c r="B258" s="332" t="s">
        <v>708</v>
      </c>
      <c r="C258" s="288">
        <v>2446</v>
      </c>
      <c r="D258" s="288">
        <v>2446</v>
      </c>
      <c r="E258" s="50" t="str">
        <f>VLOOKUP(D258,'Data - CFR 2024-25'!$B$4:$E$127,4,0)</f>
        <v>30EP2446</v>
      </c>
      <c r="G258" s="361"/>
      <c r="I258" s="332"/>
      <c r="J258" s="332"/>
      <c r="K258" s="332"/>
      <c r="L258" s="358"/>
      <c r="M258" s="332"/>
    </row>
    <row r="259" spans="1:13" hidden="1">
      <c r="A259" s="288" t="s">
        <v>773</v>
      </c>
      <c r="B259" s="332" t="s">
        <v>708</v>
      </c>
      <c r="C259" s="288">
        <v>3317</v>
      </c>
      <c r="D259" s="288">
        <v>3317</v>
      </c>
      <c r="E259" s="50" t="str">
        <f>VLOOKUP(D259,'Data - CFR 2024-25'!$B$4:$E$127,4,0)</f>
        <v>30EP3317</v>
      </c>
      <c r="G259" s="361"/>
      <c r="I259" s="332"/>
      <c r="J259" s="332"/>
      <c r="K259" s="332"/>
      <c r="L259" s="358"/>
      <c r="M259" s="332"/>
    </row>
    <row r="260" spans="1:13" hidden="1">
      <c r="A260" s="290" t="s">
        <v>774</v>
      </c>
      <c r="B260" s="332" t="s">
        <v>708</v>
      </c>
      <c r="C260" s="290">
        <v>2066</v>
      </c>
      <c r="D260" s="290">
        <v>2066</v>
      </c>
      <c r="E260" s="50" t="str">
        <f>VLOOKUP(D260,'Data - CFR 2024-25'!$B$4:$E$127,4,0)</f>
        <v>30EP2066</v>
      </c>
      <c r="G260" s="361"/>
      <c r="I260" s="332"/>
      <c r="J260" s="332"/>
      <c r="K260" s="332"/>
      <c r="L260" s="358"/>
      <c r="M260" s="332"/>
    </row>
    <row r="261" spans="1:13" hidden="1">
      <c r="A261" s="288" t="s">
        <v>775</v>
      </c>
      <c r="B261" s="332" t="s">
        <v>708</v>
      </c>
      <c r="C261" s="288">
        <v>2293</v>
      </c>
      <c r="D261" s="288">
        <v>2293</v>
      </c>
      <c r="E261" s="50" t="str">
        <f>VLOOKUP(D261,'Data - CFR 2024-25'!$B$4:$E$127,4,0)</f>
        <v>30EP2293</v>
      </c>
      <c r="G261" s="361"/>
      <c r="I261" s="332"/>
      <c r="J261" s="332"/>
      <c r="K261" s="332"/>
      <c r="L261" s="358"/>
      <c r="M261" s="332"/>
    </row>
    <row r="262" spans="1:13" hidden="1">
      <c r="A262" s="288" t="s">
        <v>776</v>
      </c>
      <c r="B262" s="332" t="s">
        <v>708</v>
      </c>
      <c r="C262" s="288">
        <v>2074</v>
      </c>
      <c r="D262" s="288">
        <v>2074</v>
      </c>
      <c r="E262" s="50" t="str">
        <f>VLOOKUP(D262,'Data - CFR 2024-25'!$B$4:$E$127,4,0)</f>
        <v>30EP2074</v>
      </c>
      <c r="G262" s="361"/>
      <c r="I262" s="332"/>
      <c r="J262" s="332"/>
      <c r="K262" s="332"/>
      <c r="L262" s="358"/>
      <c r="M262" s="332"/>
    </row>
    <row r="263" spans="1:13" hidden="1">
      <c r="A263" s="288" t="s">
        <v>777</v>
      </c>
      <c r="B263" s="332" t="s">
        <v>708</v>
      </c>
      <c r="C263" s="288">
        <v>2075</v>
      </c>
      <c r="D263" s="288">
        <v>2075</v>
      </c>
      <c r="E263" s="50" t="str">
        <f>VLOOKUP(D263,'Data - CFR 2024-25'!$B$4:$E$127,4,0)</f>
        <v>30EP2075</v>
      </c>
      <c r="G263" s="361"/>
      <c r="I263" s="332"/>
      <c r="J263" s="332"/>
      <c r="K263" s="332"/>
      <c r="L263" s="358"/>
      <c r="M263" s="332"/>
    </row>
    <row r="264" spans="1:13" hidden="1">
      <c r="A264" s="288" t="s">
        <v>778</v>
      </c>
      <c r="B264" s="332" t="s">
        <v>708</v>
      </c>
      <c r="C264" s="288">
        <v>2121</v>
      </c>
      <c r="D264" s="288">
        <v>2121</v>
      </c>
      <c r="E264" s="50" t="str">
        <f>VLOOKUP(D264,'Data - CFR 2024-25'!$B$4:$E$127,4,0)</f>
        <v>30EP2121</v>
      </c>
      <c r="G264" s="361"/>
      <c r="I264" s="332"/>
      <c r="J264" s="332"/>
      <c r="K264" s="332"/>
      <c r="L264" s="358"/>
      <c r="M264" s="332"/>
    </row>
    <row r="265" spans="1:13" hidden="1">
      <c r="A265" s="288" t="s">
        <v>779</v>
      </c>
      <c r="B265" s="332" t="s">
        <v>708</v>
      </c>
      <c r="C265" s="288">
        <v>2028</v>
      </c>
      <c r="D265" s="288">
        <v>2028</v>
      </c>
      <c r="E265" s="50" t="str">
        <f>VLOOKUP(D265,'Data - CFR 2024-25'!$B$4:$E$127,4,0)</f>
        <v>30EP2028</v>
      </c>
      <c r="G265" s="361"/>
      <c r="I265" s="332"/>
      <c r="J265" s="332"/>
      <c r="K265" s="332"/>
      <c r="L265" s="358"/>
      <c r="M265" s="332"/>
    </row>
    <row r="266" spans="1:13" hidden="1">
      <c r="A266" s="288" t="s">
        <v>780</v>
      </c>
      <c r="B266" s="332" t="s">
        <v>708</v>
      </c>
      <c r="C266" s="288">
        <v>2029</v>
      </c>
      <c r="D266" s="288">
        <v>2029</v>
      </c>
      <c r="E266" s="50" t="str">
        <f>VLOOKUP(D266,'Data - CFR 2024-25'!$B$4:$E$127,4,0)</f>
        <v>30EP2029</v>
      </c>
      <c r="G266" s="361"/>
      <c r="I266" s="332"/>
      <c r="J266" s="332"/>
      <c r="K266" s="332"/>
      <c r="L266" s="358"/>
      <c r="M266" s="332"/>
    </row>
    <row r="267" spans="1:13" hidden="1">
      <c r="A267" s="288" t="s">
        <v>781</v>
      </c>
      <c r="B267" s="332" t="s">
        <v>708</v>
      </c>
      <c r="C267" s="288">
        <v>2059</v>
      </c>
      <c r="D267" s="288">
        <v>2059</v>
      </c>
      <c r="E267" s="50" t="str">
        <f>VLOOKUP(D267,'Data - CFR 2024-25'!$B$4:$E$127,4,0)</f>
        <v>30EP2059</v>
      </c>
      <c r="G267" s="361"/>
      <c r="I267" s="332"/>
      <c r="J267" s="332"/>
      <c r="K267" s="332"/>
      <c r="L267" s="358"/>
      <c r="M267" s="332"/>
    </row>
    <row r="268" spans="1:13" hidden="1">
      <c r="A268" s="288" t="s">
        <v>782</v>
      </c>
      <c r="B268" s="332" t="s">
        <v>708</v>
      </c>
      <c r="C268" s="288">
        <v>3386</v>
      </c>
      <c r="D268" s="288">
        <v>3386</v>
      </c>
      <c r="E268" s="50" t="str">
        <f>VLOOKUP(D268,'Data - CFR 2024-25'!$B$4:$E$127,4,0)</f>
        <v>30EP3386</v>
      </c>
      <c r="G268" s="361"/>
      <c r="I268" s="332"/>
      <c r="J268" s="332"/>
      <c r="K268" s="332"/>
      <c r="L268" s="358"/>
      <c r="M268" s="332"/>
    </row>
    <row r="269" spans="1:13" hidden="1">
      <c r="A269" s="288" t="s">
        <v>783</v>
      </c>
      <c r="B269" s="332" t="s">
        <v>708</v>
      </c>
      <c r="C269" s="288">
        <v>2449</v>
      </c>
      <c r="D269" s="288">
        <v>2449</v>
      </c>
      <c r="E269" s="50" t="str">
        <f>VLOOKUP(D269,'Data - CFR 2024-25'!$B$4:$E$127,4,0)</f>
        <v>30EP2449</v>
      </c>
      <c r="G269" s="361"/>
      <c r="I269" s="332"/>
      <c r="J269" s="332"/>
      <c r="K269" s="332"/>
      <c r="L269" s="358"/>
      <c r="M269" s="332"/>
    </row>
    <row r="270" spans="1:13" hidden="1">
      <c r="A270" s="288" t="s">
        <v>784</v>
      </c>
      <c r="B270" s="332" t="s">
        <v>708</v>
      </c>
      <c r="C270" s="288">
        <v>2107</v>
      </c>
      <c r="D270" s="288">
        <v>2107</v>
      </c>
      <c r="E270" s="50" t="str">
        <f>VLOOKUP(D270,'Data - CFR 2024-25'!$B$4:$E$127,4,0)</f>
        <v>30EP2107</v>
      </c>
      <c r="G270" s="361"/>
      <c r="I270" s="332"/>
      <c r="J270" s="332"/>
      <c r="K270" s="332"/>
      <c r="L270" s="358"/>
      <c r="M270" s="332"/>
    </row>
    <row r="271" spans="1:13" hidden="1">
      <c r="A271" s="288" t="s">
        <v>785</v>
      </c>
      <c r="B271" s="332" t="s">
        <v>708</v>
      </c>
      <c r="C271" s="288">
        <v>2109</v>
      </c>
      <c r="D271" s="288">
        <v>2109</v>
      </c>
      <c r="E271" s="50" t="str">
        <f>VLOOKUP(D271,'Data - CFR 2024-25'!$B$4:$E$127,4,0)</f>
        <v>30EP2109</v>
      </c>
      <c r="G271" s="361"/>
      <c r="I271" s="332"/>
      <c r="J271" s="332"/>
      <c r="K271" s="332"/>
      <c r="L271" s="358"/>
      <c r="M271" s="332"/>
    </row>
    <row r="272" spans="1:13" hidden="1">
      <c r="A272" s="288" t="s">
        <v>786</v>
      </c>
      <c r="B272" s="332" t="s">
        <v>708</v>
      </c>
      <c r="C272" s="288">
        <v>3390</v>
      </c>
      <c r="D272" s="288">
        <v>3390</v>
      </c>
      <c r="E272" s="50" t="str">
        <f>VLOOKUP(D272,'Data - CFR 2024-25'!$B$4:$E$127,4,0)</f>
        <v>30EP3390</v>
      </c>
      <c r="I272" s="332"/>
      <c r="J272" s="332"/>
      <c r="K272" s="332"/>
      <c r="L272" s="358"/>
      <c r="M272" s="332"/>
    </row>
    <row r="273" spans="1:13" hidden="1">
      <c r="A273" s="290" t="s">
        <v>787</v>
      </c>
      <c r="B273" s="332" t="s">
        <v>708</v>
      </c>
      <c r="C273" s="290">
        <v>2031</v>
      </c>
      <c r="D273" s="290">
        <v>2031</v>
      </c>
      <c r="E273" s="50" t="str">
        <f>VLOOKUP(D273,'Data - CFR 2024-25'!$B$4:$E$127,4,0)</f>
        <v>30EP2031</v>
      </c>
      <c r="I273" s="332"/>
      <c r="J273" s="332"/>
      <c r="K273" s="332"/>
      <c r="L273" s="358"/>
      <c r="M273" s="332"/>
    </row>
    <row r="274" spans="1:13" hidden="1">
      <c r="A274" s="288" t="s">
        <v>788</v>
      </c>
      <c r="B274" s="332" t="s">
        <v>708</v>
      </c>
      <c r="C274" s="288">
        <v>3350</v>
      </c>
      <c r="D274" s="288">
        <v>3350</v>
      </c>
      <c r="E274" s="50" t="str">
        <f>VLOOKUP(D274,'Data - CFR 2024-25'!$B$4:$E$127,4,0)</f>
        <v>30EP3350</v>
      </c>
      <c r="I274" s="332"/>
      <c r="J274" s="332"/>
      <c r="K274" s="332"/>
      <c r="L274" s="358"/>
      <c r="M274" s="332"/>
    </row>
    <row r="275" spans="1:13" hidden="1">
      <c r="A275" s="288" t="s">
        <v>789</v>
      </c>
      <c r="B275" s="332" t="s">
        <v>708</v>
      </c>
      <c r="C275" s="288">
        <v>2033</v>
      </c>
      <c r="D275" s="288">
        <v>2033</v>
      </c>
      <c r="E275" s="50" t="str">
        <f>VLOOKUP(D275,'Data - CFR 2024-25'!$B$4:$E$127,4,0)</f>
        <v>30EP2033</v>
      </c>
      <c r="I275" s="332"/>
      <c r="J275" s="332"/>
      <c r="K275" s="332"/>
      <c r="L275" s="358"/>
      <c r="M275" s="332"/>
    </row>
    <row r="276" spans="1:13" hidden="1">
      <c r="A276" s="288" t="s">
        <v>790</v>
      </c>
      <c r="B276" s="332" t="s">
        <v>708</v>
      </c>
      <c r="C276" s="288">
        <v>3331</v>
      </c>
      <c r="D276" s="288">
        <v>3331</v>
      </c>
      <c r="E276" s="50" t="str">
        <f>VLOOKUP(D276,'Data - CFR 2024-25'!$B$4:$E$127,4,0)</f>
        <v>30EP3331</v>
      </c>
      <c r="I276" s="332"/>
      <c r="J276" s="332"/>
      <c r="K276" s="332"/>
      <c r="L276" s="358"/>
      <c r="M276" s="332"/>
    </row>
    <row r="277" spans="1:13" hidden="1">
      <c r="A277" s="288" t="s">
        <v>791</v>
      </c>
      <c r="B277" s="332" t="s">
        <v>708</v>
      </c>
      <c r="C277" s="288">
        <v>2239</v>
      </c>
      <c r="D277" s="288">
        <v>2239</v>
      </c>
      <c r="E277" s="50" t="str">
        <f>VLOOKUP(D277,'Data - CFR 2024-25'!$B$4:$E$127,4,0)</f>
        <v>30EP2239</v>
      </c>
      <c r="I277" s="332"/>
      <c r="J277" s="332"/>
      <c r="K277" s="332"/>
      <c r="L277" s="358"/>
      <c r="M277" s="332"/>
    </row>
    <row r="278" spans="1:13" hidden="1">
      <c r="A278" s="288" t="s">
        <v>792</v>
      </c>
      <c r="B278" s="332" t="s">
        <v>708</v>
      </c>
      <c r="C278" s="288">
        <v>2219</v>
      </c>
      <c r="D278" s="288">
        <v>2219</v>
      </c>
      <c r="E278" s="50" t="str">
        <f>VLOOKUP(D278,'Data - CFR 2024-25'!$B$4:$E$127,4,0)</f>
        <v>30EP2219</v>
      </c>
      <c r="I278" s="332"/>
      <c r="J278" s="332"/>
      <c r="K278" s="332"/>
      <c r="L278" s="358"/>
      <c r="M278" s="332"/>
    </row>
    <row r="279" spans="1:13" hidden="1">
      <c r="A279" s="288" t="s">
        <v>793</v>
      </c>
      <c r="B279" s="332" t="s">
        <v>708</v>
      </c>
      <c r="C279" s="288">
        <v>2333</v>
      </c>
      <c r="D279" s="288">
        <v>2333</v>
      </c>
      <c r="E279" s="50" t="str">
        <f>VLOOKUP(D279,'Data - CFR 2024-25'!$B$4:$E$127,4,0)</f>
        <v>30EP2333</v>
      </c>
      <c r="I279" s="332"/>
      <c r="J279" s="332"/>
      <c r="K279" s="332"/>
      <c r="L279" s="358"/>
      <c r="M279" s="332"/>
    </row>
    <row r="280" spans="1:13" hidden="1">
      <c r="A280" s="288" t="s">
        <v>794</v>
      </c>
      <c r="B280" s="332" t="s">
        <v>708</v>
      </c>
      <c r="C280" s="288">
        <v>3946</v>
      </c>
      <c r="D280" s="288">
        <v>3946</v>
      </c>
      <c r="E280" s="50" t="str">
        <f>VLOOKUP(D280,'Data - CFR 2024-25'!$B$4:$E$127,4,0)</f>
        <v>30EP3946</v>
      </c>
      <c r="I280" s="332"/>
      <c r="J280" s="332"/>
      <c r="K280" s="332"/>
      <c r="L280" s="358"/>
      <c r="M280" s="332"/>
    </row>
    <row r="281" spans="1:13" hidden="1">
      <c r="A281" s="288" t="s">
        <v>795</v>
      </c>
      <c r="B281" s="332" t="s">
        <v>708</v>
      </c>
      <c r="C281" s="288">
        <v>2453</v>
      </c>
      <c r="D281" s="288">
        <v>2453</v>
      </c>
      <c r="E281" s="50" t="str">
        <f>VLOOKUP(D281,'Data - CFR 2024-25'!$B$4:$E$127,4,0)</f>
        <v>30EP2453</v>
      </c>
      <c r="I281" s="332"/>
      <c r="J281" s="332"/>
      <c r="K281" s="332"/>
      <c r="L281" s="358"/>
      <c r="M281" s="332"/>
    </row>
    <row r="282" spans="1:13" hidden="1">
      <c r="A282" s="288" t="s">
        <v>796</v>
      </c>
      <c r="B282" s="332" t="s">
        <v>708</v>
      </c>
      <c r="C282" s="288">
        <v>2070</v>
      </c>
      <c r="D282" s="288">
        <v>2070</v>
      </c>
      <c r="E282" s="50" t="str">
        <f>VLOOKUP(D282,'Data - CFR 2024-25'!$B$4:$E$127,4,0)</f>
        <v>30EP2070</v>
      </c>
      <c r="I282" s="332"/>
      <c r="J282" s="332"/>
      <c r="K282" s="332"/>
      <c r="L282" s="358"/>
      <c r="M282" s="332"/>
    </row>
    <row r="283" spans="1:13" hidden="1">
      <c r="A283" s="288" t="s">
        <v>797</v>
      </c>
      <c r="B283" s="332" t="s">
        <v>730</v>
      </c>
      <c r="C283" s="288">
        <v>7023</v>
      </c>
      <c r="D283" s="288">
        <v>7023</v>
      </c>
      <c r="E283" s="50" t="str">
        <f>VLOOKUP(D283,'Data - CFR 2024-25'!$B$4:$E$127,4,0)</f>
        <v>30ES7023</v>
      </c>
      <c r="I283" s="332"/>
      <c r="J283" s="332"/>
      <c r="K283" s="332"/>
      <c r="L283" s="358"/>
      <c r="M283" s="332"/>
    </row>
    <row r="284" spans="1:13" hidden="1">
      <c r="A284" s="288" t="s">
        <v>798</v>
      </c>
      <c r="B284" s="332" t="s">
        <v>708</v>
      </c>
      <c r="C284" s="288">
        <v>2255</v>
      </c>
      <c r="D284" s="288">
        <v>2255</v>
      </c>
      <c r="E284" s="50" t="str">
        <f>VLOOKUP(D284,'Data - CFR 2024-25'!$B$4:$E$127,4,0)</f>
        <v>30EP2255</v>
      </c>
      <c r="I284" s="332"/>
      <c r="J284" s="332"/>
      <c r="K284" s="332"/>
      <c r="L284" s="358"/>
      <c r="M284" s="332"/>
    </row>
    <row r="285" spans="1:13" hidden="1">
      <c r="A285" s="288" t="s">
        <v>799</v>
      </c>
      <c r="B285" s="332" t="s">
        <v>708</v>
      </c>
      <c r="C285" s="288">
        <v>2115</v>
      </c>
      <c r="D285" s="288">
        <v>2115</v>
      </c>
      <c r="E285" s="50" t="str">
        <f>VLOOKUP(D285,'Data - CFR 2024-25'!$B$4:$E$127,4,0)</f>
        <v>30EP2115</v>
      </c>
      <c r="I285" s="332"/>
      <c r="J285" s="332"/>
      <c r="K285" s="332"/>
      <c r="L285" s="358"/>
      <c r="M285" s="332"/>
    </row>
    <row r="286" spans="1:13" hidden="1">
      <c r="A286" s="288" t="s">
        <v>800</v>
      </c>
      <c r="B286" s="332" t="s">
        <v>708</v>
      </c>
      <c r="C286" s="288">
        <v>2329</v>
      </c>
      <c r="D286" s="288">
        <v>2329</v>
      </c>
      <c r="E286" s="50" t="str">
        <f>VLOOKUP(D286,'Data - CFR 2024-25'!$B$4:$E$127,4,0)</f>
        <v>30EP2329</v>
      </c>
      <c r="I286" s="332"/>
      <c r="J286" s="332"/>
      <c r="K286" s="332"/>
      <c r="L286" s="358"/>
      <c r="M286" s="332"/>
    </row>
    <row r="287" spans="1:13" hidden="1">
      <c r="A287" s="288" t="s">
        <v>801</v>
      </c>
      <c r="B287" s="332" t="s">
        <v>708</v>
      </c>
      <c r="C287" s="288">
        <v>3384</v>
      </c>
      <c r="D287" s="288">
        <v>3384</v>
      </c>
      <c r="E287" s="50" t="str">
        <f>VLOOKUP(D287,'Data - CFR 2024-25'!$B$4:$E$127,4,0)</f>
        <v>30EP3384</v>
      </c>
      <c r="I287" s="332"/>
      <c r="J287" s="332"/>
      <c r="K287" s="332"/>
      <c r="L287" s="358"/>
      <c r="M287" s="332"/>
    </row>
    <row r="288" spans="1:13" hidden="1">
      <c r="A288" s="288" t="s">
        <v>802</v>
      </c>
      <c r="B288" s="332" t="s">
        <v>803</v>
      </c>
      <c r="C288" s="288">
        <v>5200</v>
      </c>
      <c r="D288" s="288">
        <v>5200</v>
      </c>
      <c r="E288" s="50" t="str">
        <f>VLOOKUP(D288,'Data - CFR 2024-25'!$B$4:$E$127,4,0)</f>
        <v>30ES5200</v>
      </c>
      <c r="I288" s="332"/>
      <c r="J288" s="332"/>
      <c r="K288" s="332"/>
      <c r="L288" s="358"/>
      <c r="M288" s="332"/>
    </row>
    <row r="289" spans="1:13" hidden="1">
      <c r="A289" s="288" t="s">
        <v>804</v>
      </c>
      <c r="B289" s="332" t="s">
        <v>708</v>
      </c>
      <c r="C289" s="288">
        <v>2317</v>
      </c>
      <c r="D289" s="288">
        <v>2317</v>
      </c>
      <c r="E289" s="50" t="str">
        <f>VLOOKUP(D289,'Data - CFR 2024-25'!$B$4:$E$127,4,0)</f>
        <v>30EP2317</v>
      </c>
      <c r="I289" s="332"/>
      <c r="J289" s="332"/>
      <c r="K289" s="332"/>
      <c r="L289" s="358"/>
      <c r="M289" s="332"/>
    </row>
    <row r="290" spans="1:13" hidden="1">
      <c r="A290" s="288" t="s">
        <v>805</v>
      </c>
      <c r="B290" s="332" t="s">
        <v>708</v>
      </c>
      <c r="C290" s="288">
        <v>3356</v>
      </c>
      <c r="D290" s="288">
        <v>3356</v>
      </c>
      <c r="E290" s="50" t="str">
        <f>VLOOKUP(D290,'Data - CFR 2024-25'!$B$4:$E$127,4,0)</f>
        <v>30EP3356</v>
      </c>
      <c r="I290" s="332"/>
      <c r="J290" s="332"/>
      <c r="K290" s="332"/>
      <c r="L290" s="358"/>
      <c r="M290" s="332"/>
    </row>
    <row r="291" spans="1:13" hidden="1">
      <c r="A291" s="288" t="s">
        <v>806</v>
      </c>
      <c r="B291" s="332" t="s">
        <v>708</v>
      </c>
      <c r="C291" s="288">
        <v>3358</v>
      </c>
      <c r="D291" s="288">
        <v>3358</v>
      </c>
      <c r="E291" s="50" t="str">
        <f>VLOOKUP(D291,'Data - CFR 2024-25'!$B$4:$E$127,4,0)</f>
        <v>30EP3358</v>
      </c>
      <c r="I291" s="332"/>
      <c r="J291" s="332"/>
      <c r="K291" s="332"/>
      <c r="L291" s="358"/>
      <c r="M291" s="332"/>
    </row>
    <row r="292" spans="1:13" hidden="1">
      <c r="A292" s="288" t="s">
        <v>807</v>
      </c>
      <c r="B292" s="332" t="s">
        <v>708</v>
      </c>
      <c r="C292" s="288">
        <v>3029</v>
      </c>
      <c r="D292" s="288">
        <v>3029</v>
      </c>
      <c r="E292" s="50" t="str">
        <f>VLOOKUP(D292,'Data - CFR 2024-25'!$B$4:$E$127,4,0)</f>
        <v>30EP3029</v>
      </c>
      <c r="I292" s="332"/>
      <c r="J292" s="332"/>
      <c r="K292" s="332"/>
      <c r="L292" s="358"/>
      <c r="M292" s="332"/>
    </row>
    <row r="293" spans="1:13" hidden="1">
      <c r="A293" s="288" t="s">
        <v>808</v>
      </c>
      <c r="B293" s="332" t="s">
        <v>708</v>
      </c>
      <c r="C293" s="288">
        <v>2084</v>
      </c>
      <c r="D293" s="288">
        <v>2084</v>
      </c>
      <c r="E293" s="50" t="str">
        <f>VLOOKUP(D293,'Data - CFR 2024-25'!$B$4:$E$127,4,0)</f>
        <v>30EP2084</v>
      </c>
      <c r="I293" s="332"/>
      <c r="J293" s="332"/>
      <c r="K293" s="332"/>
      <c r="L293" s="358"/>
      <c r="M293" s="332"/>
    </row>
    <row r="294" spans="1:13" hidden="1">
      <c r="A294" s="288" t="s">
        <v>809</v>
      </c>
      <c r="B294" s="332" t="s">
        <v>708</v>
      </c>
      <c r="C294" s="288">
        <v>2443</v>
      </c>
      <c r="D294" s="288">
        <v>2443</v>
      </c>
      <c r="E294" s="50" t="str">
        <f>VLOOKUP(D294,'Data - CFR 2024-25'!$B$4:$E$127,4,0)</f>
        <v>30EP2443</v>
      </c>
      <c r="I294" s="332"/>
      <c r="J294" s="332"/>
      <c r="K294" s="332"/>
      <c r="L294" s="358"/>
      <c r="M294" s="332"/>
    </row>
    <row r="295" spans="1:13" hidden="1">
      <c r="A295" s="288" t="s">
        <v>810</v>
      </c>
      <c r="B295" s="332" t="s">
        <v>708</v>
      </c>
      <c r="C295" s="288">
        <v>3052</v>
      </c>
      <c r="D295" s="288">
        <v>3052</v>
      </c>
      <c r="E295" s="50" t="str">
        <f>VLOOKUP(D295,'Data - CFR 2024-25'!$B$4:$E$127,4,0)</f>
        <v>30EP3052</v>
      </c>
      <c r="I295" s="332"/>
      <c r="J295" s="332"/>
      <c r="K295" s="332"/>
      <c r="L295" s="358"/>
      <c r="M295" s="332"/>
    </row>
    <row r="296" spans="1:13" hidden="1">
      <c r="A296" s="288" t="s">
        <v>811</v>
      </c>
      <c r="B296" s="332" t="s">
        <v>708</v>
      </c>
      <c r="C296" s="288">
        <v>2046</v>
      </c>
      <c r="D296" s="288">
        <v>2046</v>
      </c>
      <c r="E296" s="50" t="str">
        <f>VLOOKUP(D296,'Data - CFR 2024-25'!$B$4:$E$127,4,0)</f>
        <v>30EP2046</v>
      </c>
      <c r="I296" s="332"/>
      <c r="J296" s="332"/>
      <c r="K296" s="332"/>
      <c r="L296" s="358"/>
      <c r="M296" s="332"/>
    </row>
    <row r="297" spans="1:13" hidden="1">
      <c r="A297" s="288" t="s">
        <v>812</v>
      </c>
      <c r="B297" s="332" t="s">
        <v>708</v>
      </c>
      <c r="C297" s="288">
        <v>3325</v>
      </c>
      <c r="D297" s="288">
        <v>3325</v>
      </c>
      <c r="E297" s="50" t="str">
        <f>VLOOKUP(D297,'Data - CFR 2024-25'!$B$4:$E$127,4,0)</f>
        <v>30EP3325</v>
      </c>
      <c r="I297" s="332"/>
      <c r="J297" s="332"/>
      <c r="K297" s="332"/>
      <c r="L297" s="358"/>
      <c r="M297" s="332"/>
    </row>
    <row r="298" spans="1:13" hidden="1">
      <c r="A298" s="288" t="s">
        <v>813</v>
      </c>
      <c r="B298" s="332" t="s">
        <v>724</v>
      </c>
      <c r="C298" s="288">
        <v>1001</v>
      </c>
      <c r="D298" s="288">
        <v>1001</v>
      </c>
      <c r="E298" s="50" t="str">
        <f>VLOOKUP(D298,'Data - CFR 2024-25'!$B$4:$E$127,4,0)</f>
        <v>30EN1001</v>
      </c>
      <c r="I298" s="332"/>
      <c r="J298" s="332"/>
      <c r="K298" s="332"/>
      <c r="L298" s="358"/>
      <c r="M298" s="332"/>
    </row>
    <row r="299" spans="1:13" hidden="1">
      <c r="A299" s="288" t="s">
        <v>814</v>
      </c>
      <c r="B299" s="332" t="s">
        <v>708</v>
      </c>
      <c r="C299" s="288">
        <v>2123</v>
      </c>
      <c r="D299" s="288">
        <v>2123</v>
      </c>
      <c r="E299" s="50" t="str">
        <f>VLOOKUP(D299,'Data - CFR 2024-25'!$B$4:$E$127,4,0)</f>
        <v>30EP2123</v>
      </c>
      <c r="I299" s="332"/>
      <c r="J299" s="332"/>
      <c r="K299" s="332"/>
      <c r="L299" s="358"/>
      <c r="M299" s="332"/>
    </row>
    <row r="300" spans="1:13" hidden="1">
      <c r="A300" s="288" t="s">
        <v>815</v>
      </c>
      <c r="B300" s="332" t="s">
        <v>708</v>
      </c>
      <c r="C300" s="288">
        <v>2260</v>
      </c>
      <c r="D300" s="288">
        <v>2260</v>
      </c>
      <c r="E300" s="50" t="str">
        <f>VLOOKUP(D300,'Data - CFR 2024-25'!$B$4:$E$127,4,0)</f>
        <v>30EP2260</v>
      </c>
      <c r="I300" s="332"/>
      <c r="J300" s="332"/>
      <c r="K300" s="332"/>
      <c r="L300" s="358"/>
      <c r="M300" s="332"/>
    </row>
    <row r="301" spans="1:13" hidden="1">
      <c r="A301" s="288" t="s">
        <v>816</v>
      </c>
      <c r="B301" s="332" t="s">
        <v>708</v>
      </c>
      <c r="C301" s="288">
        <v>3058</v>
      </c>
      <c r="D301" s="288">
        <v>3058</v>
      </c>
      <c r="E301" s="50" t="str">
        <f>VLOOKUP(D301,'Data - CFR 2024-25'!$B$4:$E$127,4,0)</f>
        <v>30EP3058</v>
      </c>
      <c r="I301" s="332"/>
      <c r="J301" s="332"/>
      <c r="K301" s="332"/>
      <c r="L301" s="358"/>
      <c r="M301" s="332"/>
    </row>
    <row r="302" spans="1:13" hidden="1">
      <c r="A302" s="288" t="s">
        <v>817</v>
      </c>
      <c r="B302" s="332" t="s">
        <v>708</v>
      </c>
      <c r="C302" s="288">
        <v>2335</v>
      </c>
      <c r="D302" s="288">
        <v>2335</v>
      </c>
      <c r="E302" s="50" t="str">
        <f>VLOOKUP(D302,'Data - CFR 2024-25'!$B$4:$E$127,4,0)</f>
        <v>30EP2335</v>
      </c>
      <c r="I302" s="332"/>
      <c r="J302" s="332"/>
      <c r="K302" s="332"/>
      <c r="L302" s="358"/>
      <c r="M302" s="332"/>
    </row>
    <row r="303" spans="1:13" hidden="1">
      <c r="A303" s="288" t="s">
        <v>818</v>
      </c>
      <c r="B303" s="332" t="s">
        <v>708</v>
      </c>
      <c r="C303" s="288">
        <v>3389</v>
      </c>
      <c r="D303" s="288">
        <v>3389</v>
      </c>
      <c r="E303" s="50" t="str">
        <f>VLOOKUP(D303,'Data - CFR 2024-25'!$B$4:$E$127,4,0)</f>
        <v>30EP3389</v>
      </c>
      <c r="I303" s="332"/>
      <c r="J303" s="332"/>
      <c r="K303" s="332"/>
      <c r="L303" s="358"/>
      <c r="M303" s="332"/>
    </row>
    <row r="304" spans="1:13" hidden="1">
      <c r="A304" s="290" t="s">
        <v>819</v>
      </c>
      <c r="B304" s="332" t="s">
        <v>708</v>
      </c>
      <c r="C304" s="290">
        <v>2001</v>
      </c>
      <c r="D304" s="290">
        <v>2001</v>
      </c>
      <c r="E304" s="50" t="str">
        <f>VLOOKUP(D304,'Data - CFR 2024-25'!$B$4:$E$127,4,0)</f>
        <v>30EP2001</v>
      </c>
      <c r="I304" s="332"/>
      <c r="J304" s="332"/>
      <c r="K304" s="332"/>
      <c r="L304" s="358"/>
      <c r="M304" s="332"/>
    </row>
    <row r="305" spans="1:13" hidden="1">
      <c r="A305" s="288" t="s">
        <v>820</v>
      </c>
      <c r="B305" s="332" t="s">
        <v>708</v>
      </c>
      <c r="C305" s="288">
        <v>2064</v>
      </c>
      <c r="D305" s="288">
        <v>2064</v>
      </c>
      <c r="E305" s="50" t="str">
        <f>VLOOKUP(D305,'Data - CFR 2024-25'!$B$4:$E$127,4,0)</f>
        <v>30EP2064</v>
      </c>
      <c r="I305" s="332"/>
      <c r="J305" s="332"/>
      <c r="K305" s="332"/>
      <c r="L305" s="358"/>
      <c r="M305" s="332"/>
    </row>
    <row r="306" spans="1:13" hidden="1">
      <c r="A306" s="290" t="s">
        <v>821</v>
      </c>
      <c r="B306" s="332" t="s">
        <v>708</v>
      </c>
      <c r="C306" s="290">
        <v>2000</v>
      </c>
      <c r="D306" s="290">
        <v>2000</v>
      </c>
      <c r="E306" s="50">
        <f>VLOOKUP(D306,'Data - CFR 2024-25'!$B$4:$E$127,4,0)</f>
        <v>0</v>
      </c>
      <c r="I306" s="332"/>
      <c r="J306" s="332"/>
      <c r="K306" s="332"/>
      <c r="L306" s="358"/>
      <c r="M306" s="332"/>
    </row>
    <row r="307" spans="1:13" hidden="1">
      <c r="A307" s="288" t="s">
        <v>822</v>
      </c>
      <c r="B307" s="332" t="s">
        <v>708</v>
      </c>
      <c r="C307" s="288">
        <v>2048</v>
      </c>
      <c r="D307" s="288">
        <v>2048</v>
      </c>
      <c r="E307" s="50" t="str">
        <f>VLOOKUP(D307,'Data - CFR 2024-25'!$B$4:$E$127,4,0)</f>
        <v>30EP2048</v>
      </c>
      <c r="I307" s="332"/>
      <c r="J307" s="332"/>
      <c r="K307" s="332"/>
      <c r="L307" s="358"/>
      <c r="M307" s="332"/>
    </row>
    <row r="308" spans="1:13" hidden="1">
      <c r="A308" s="288" t="s">
        <v>823</v>
      </c>
      <c r="B308" s="332" t="s">
        <v>708</v>
      </c>
      <c r="C308" s="288">
        <v>2232</v>
      </c>
      <c r="D308" s="288">
        <v>2232</v>
      </c>
      <c r="E308" s="50" t="str">
        <f>VLOOKUP(D308,'Data - CFR 2024-25'!$B$4:$E$127,4,0)</f>
        <v>30EP2232</v>
      </c>
      <c r="I308" s="332"/>
      <c r="J308" s="332"/>
      <c r="K308" s="332"/>
      <c r="L308" s="358"/>
      <c r="M308" s="332"/>
    </row>
    <row r="309" spans="1:13" hidden="1">
      <c r="A309" s="290" t="s">
        <v>824</v>
      </c>
      <c r="B309" s="332" t="s">
        <v>708</v>
      </c>
      <c r="C309" s="290">
        <v>3392</v>
      </c>
      <c r="D309" s="290">
        <v>3392</v>
      </c>
      <c r="E309" s="50" t="str">
        <f>VLOOKUP(D309,'Data - CFR 2024-25'!$B$4:$E$127,4,0)</f>
        <v>30EP3392</v>
      </c>
      <c r="I309" s="332"/>
      <c r="J309" s="332"/>
      <c r="K309" s="332"/>
      <c r="L309" s="358"/>
      <c r="M309" s="332"/>
    </row>
    <row r="310" spans="1:13" hidden="1">
      <c r="A310" s="288" t="s">
        <v>825</v>
      </c>
      <c r="B310" s="332" t="s">
        <v>708</v>
      </c>
      <c r="C310" s="288">
        <v>3054</v>
      </c>
      <c r="D310" s="288">
        <v>3054</v>
      </c>
      <c r="E310" s="50" t="str">
        <f>VLOOKUP(D310,'Data - CFR 2024-25'!$B$4:$E$127,4,0)</f>
        <v>30EP3054</v>
      </c>
      <c r="I310" s="332"/>
      <c r="J310" s="332"/>
      <c r="K310" s="332"/>
      <c r="L310" s="358"/>
      <c r="M310" s="332"/>
    </row>
    <row r="311" spans="1:13" hidden="1">
      <c r="A311" s="288" t="s">
        <v>826</v>
      </c>
      <c r="B311" s="332" t="s">
        <v>708</v>
      </c>
      <c r="C311" s="288">
        <v>3032</v>
      </c>
      <c r="D311" s="288">
        <v>3032</v>
      </c>
      <c r="E311" s="50" t="str">
        <f>VLOOKUP(D311,'Data - CFR 2024-25'!$B$4:$E$127,4,0)</f>
        <v>30EP3032</v>
      </c>
      <c r="I311" s="332"/>
      <c r="J311" s="332"/>
      <c r="K311" s="332"/>
      <c r="L311" s="358"/>
      <c r="M311" s="332"/>
    </row>
    <row r="312" spans="1:13" hidden="1">
      <c r="A312" s="288" t="s">
        <v>827</v>
      </c>
      <c r="B312" s="332" t="s">
        <v>708</v>
      </c>
      <c r="C312" s="288">
        <v>2054</v>
      </c>
      <c r="D312" s="288">
        <v>2054</v>
      </c>
      <c r="E312" s="50" t="str">
        <f>VLOOKUP(D312,'Data - CFR 2024-25'!$B$4:$E$127,4,0)</f>
        <v>30EP2054</v>
      </c>
      <c r="I312" s="332"/>
      <c r="J312" s="332"/>
      <c r="K312" s="332"/>
      <c r="L312" s="358"/>
      <c r="M312" s="332"/>
    </row>
    <row r="313" spans="1:13" hidden="1">
      <c r="A313" s="288" t="s">
        <v>828</v>
      </c>
      <c r="B313" s="332" t="s">
        <v>708</v>
      </c>
      <c r="C313" s="288">
        <v>2240</v>
      </c>
      <c r="D313" s="288">
        <v>2240</v>
      </c>
      <c r="E313" s="50" t="str">
        <f>VLOOKUP(D313,'Data - CFR 2024-25'!$B$4:$E$127,4,0)</f>
        <v>30EP2240</v>
      </c>
      <c r="I313" s="332"/>
      <c r="J313" s="332"/>
      <c r="K313" s="332"/>
      <c r="L313" s="358"/>
      <c r="M313" s="332"/>
    </row>
    <row r="314" spans="1:13" hidden="1">
      <c r="A314" s="288" t="s">
        <v>829</v>
      </c>
      <c r="B314" s="332" t="s">
        <v>708</v>
      </c>
      <c r="C314" s="288">
        <v>2254</v>
      </c>
      <c r="D314" s="288">
        <v>2254</v>
      </c>
      <c r="E314" s="50" t="str">
        <f>VLOOKUP(D314,'Data - CFR 2024-25'!$B$4:$E$127,4,0)</f>
        <v>30EP2254</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sheetProtection algorithmName="SHA-512" hashValue="Df6FexX8Ji1IDVhgA0+DD1lq78JmKf9QBpm9vdout0B7uWl0Ins6FM/Pc/z0YwtpqQVX9mxd4ppD82oS7Cz7xg==" saltValue="di2pbB57oO2RGXGQ6AFGJw==" spinCount="100000" sheet="1" objects="1" scenarios="1" formatCells="0" formatColumns="0"/>
  <sortState xmlns:xlrd2="http://schemas.microsoft.com/office/spreadsheetml/2017/richdata2" ref="A188:E297">
    <sortCondition ref="A188:A297"/>
  </sortState>
  <mergeCells count="12">
    <mergeCell ref="C86:M86"/>
    <mergeCell ref="C122:M122"/>
    <mergeCell ref="A1:O1"/>
    <mergeCell ref="C14:M14"/>
    <mergeCell ref="C38:M38"/>
    <mergeCell ref="D5:H5"/>
    <mergeCell ref="D3:H3"/>
    <mergeCell ref="D4:H4"/>
    <mergeCell ref="K3:N3"/>
    <mergeCell ref="A12:P12"/>
    <mergeCell ref="A84:P84"/>
    <mergeCell ref="A120:P120"/>
  </mergeCells>
  <phoneticPr fontId="15" type="noConversion"/>
  <conditionalFormatting sqref="C8:C10">
    <cfRule type="cellIs" dxfId="2" priority="55" stopIfTrue="1" operator="equal">
      <formula>0</formula>
    </cfRule>
  </conditionalFormatting>
  <conditionalFormatting sqref="K80 K103 K109">
    <cfRule type="cellIs" dxfId="1" priority="73" stopIfTrue="1" operator="lessThan">
      <formula>0</formula>
    </cfRule>
  </conditionalFormatting>
  <conditionalFormatting sqref="J16:J35 J40:J71 J88:J90 J93:J95 J124:J127 J130:J134">
    <cfRule type="cellIs" dxfId="0" priority="1" operator="greaterThan">
      <formula>0.5</formula>
    </cfRule>
  </conditionalFormatting>
  <dataValidations count="2">
    <dataValidation type="list" allowBlank="1" showInputMessage="1" showErrorMessage="1" sqref="B3" xr:uid="{00000000-0002-0000-0400-000000000000}">
      <formula1>$A$192:$A$314</formula1>
    </dataValidation>
    <dataValidation type="list" allowBlank="1" showInputMessage="1" showErrorMessage="1" sqref="O3" xr:uid="{7000AA9C-7CEB-4FF8-96BB-536DBA926015}">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3A8E46-179A-432F-AB92-2B4820C8AC4D}">
          <x14:formula1>
            <xm:f>'a) School Summary'!$A$95:$A$105</xm:f>
          </x14:formula1>
          <xm:sqref>I5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37"/>
    <pageSetUpPr fitToPage="1"/>
  </sheetPr>
  <dimension ref="A1:J39"/>
  <sheetViews>
    <sheetView zoomScaleNormal="100" workbookViewId="0">
      <selection activeCell="A2" sqref="A2:J2"/>
    </sheetView>
  </sheetViews>
  <sheetFormatPr defaultColWidth="9.21875" defaultRowHeight="12.6"/>
  <cols>
    <col min="1" max="3" width="9.21875" style="184"/>
    <col min="4" max="4" width="59.77734375" style="184" customWidth="1"/>
    <col min="5" max="6" width="12.5546875" style="184" customWidth="1"/>
    <col min="7" max="7" width="12.77734375" style="184" customWidth="1"/>
    <col min="8" max="8" width="12" style="184" customWidth="1"/>
    <col min="9" max="9" width="29.44140625" style="184" customWidth="1"/>
    <col min="10" max="16384" width="9.21875" style="184"/>
  </cols>
  <sheetData>
    <row r="1" spans="1:10">
      <c r="A1" s="98" t="str">
        <f>'b) Template'!B3</f>
        <v>Please Click on Arrow to Choose School</v>
      </c>
      <c r="B1" s="98"/>
      <c r="C1" s="98"/>
      <c r="D1" s="98"/>
      <c r="E1" s="223">
        <f>'b) Template'!I3</f>
        <v>0</v>
      </c>
      <c r="F1" s="98"/>
      <c r="G1" s="98"/>
      <c r="H1" s="98"/>
      <c r="I1" s="98"/>
      <c r="J1" s="98"/>
    </row>
    <row r="2" spans="1:10" ht="21">
      <c r="A2" s="550" t="s">
        <v>830</v>
      </c>
      <c r="B2" s="550"/>
      <c r="C2" s="550"/>
      <c r="D2" s="550"/>
      <c r="E2" s="550"/>
      <c r="F2" s="550"/>
      <c r="G2" s="550"/>
      <c r="H2" s="550"/>
      <c r="I2" s="550"/>
      <c r="J2" s="550"/>
    </row>
    <row r="3" spans="1:10" ht="9" customHeight="1">
      <c r="A3" s="551"/>
      <c r="B3" s="552"/>
      <c r="C3" s="552"/>
      <c r="D3" s="552"/>
      <c r="E3" s="552"/>
      <c r="F3" s="552"/>
      <c r="G3" s="552"/>
      <c r="H3" s="552"/>
      <c r="I3" s="552"/>
      <c r="J3" s="66"/>
    </row>
    <row r="4" spans="1:10" ht="13.8">
      <c r="A4" s="249" t="s">
        <v>831</v>
      </c>
      <c r="B4" s="185"/>
      <c r="C4" s="185"/>
      <c r="D4" s="185"/>
      <c r="E4" s="185"/>
      <c r="F4" s="185"/>
      <c r="G4" s="185"/>
      <c r="H4" s="185"/>
      <c r="I4" s="185"/>
      <c r="J4" s="66"/>
    </row>
    <row r="5" spans="1:10" ht="13.8">
      <c r="A5" s="249" t="s">
        <v>832</v>
      </c>
      <c r="B5" s="185"/>
      <c r="C5" s="185"/>
      <c r="D5" s="185"/>
      <c r="E5" s="185"/>
      <c r="F5" s="185"/>
      <c r="G5" s="185"/>
      <c r="H5" s="185"/>
      <c r="I5" s="185"/>
      <c r="J5" s="66"/>
    </row>
    <row r="6" spans="1:10" ht="13.8">
      <c r="A6" s="249" t="s">
        <v>833</v>
      </c>
      <c r="B6" s="185"/>
      <c r="C6" s="185"/>
      <c r="D6" s="185"/>
      <c r="E6" s="185"/>
      <c r="F6" s="185"/>
      <c r="G6" s="185"/>
      <c r="H6" s="185"/>
      <c r="I6" s="185"/>
      <c r="J6" s="66"/>
    </row>
    <row r="7" spans="1:10" ht="8.25" customHeight="1">
      <c r="A7" s="249"/>
      <c r="B7" s="185"/>
      <c r="C7" s="185"/>
      <c r="D7" s="185"/>
      <c r="E7" s="185"/>
      <c r="F7" s="185"/>
      <c r="G7" s="185"/>
      <c r="H7" s="185"/>
      <c r="I7" s="185"/>
      <c r="J7" s="66"/>
    </row>
    <row r="8" spans="1:10" ht="15">
      <c r="A8" s="249" t="s">
        <v>834</v>
      </c>
      <c r="B8" s="397"/>
      <c r="C8" s="67"/>
      <c r="D8" s="67"/>
      <c r="E8" s="67"/>
      <c r="F8" s="66"/>
      <c r="G8" s="67"/>
      <c r="H8" s="66"/>
      <c r="I8" s="67"/>
      <c r="J8" s="66"/>
    </row>
    <row r="9" spans="1:10" ht="15.6" thickBot="1">
      <c r="A9" s="249"/>
      <c r="B9" s="397"/>
      <c r="C9" s="67"/>
      <c r="D9" s="67"/>
      <c r="E9" s="67"/>
      <c r="F9" s="66"/>
      <c r="G9" s="67"/>
      <c r="H9" s="66"/>
      <c r="I9" s="67"/>
      <c r="J9" s="66"/>
    </row>
    <row r="10" spans="1:10" ht="40.200000000000003" thickBot="1">
      <c r="A10" s="553" t="s">
        <v>835</v>
      </c>
      <c r="B10" s="554"/>
      <c r="C10" s="554"/>
      <c r="D10" s="554"/>
      <c r="E10" s="225" t="s">
        <v>836</v>
      </c>
      <c r="F10" s="213" t="s">
        <v>837</v>
      </c>
      <c r="G10" s="213" t="s">
        <v>838</v>
      </c>
      <c r="H10" s="212"/>
      <c r="I10" s="212"/>
      <c r="J10" s="66"/>
    </row>
    <row r="11" spans="1:10" ht="14.4">
      <c r="A11" s="228" t="s">
        <v>839</v>
      </c>
      <c r="B11" s="186"/>
      <c r="C11" s="186"/>
      <c r="D11" s="186"/>
      <c r="E11" s="235" t="e">
        <f>VLOOKUP($E$1,'Data - IUB March 2024'!$B$5:$V$163,4,FALSE)</f>
        <v>#N/A</v>
      </c>
      <c r="F11" s="224" t="e">
        <f>VLOOKUP($E$1,'Data - IUB March 2024'!$B$5:$V$163,5,FALSE)</f>
        <v>#N/A</v>
      </c>
      <c r="G11" s="229" t="e">
        <f>VLOOKUP($E$1,'Data - IUB March 2024'!$B$5:$V$163,6,FALSE)</f>
        <v>#N/A</v>
      </c>
      <c r="H11" s="211"/>
      <c r="I11" s="211"/>
      <c r="J11" s="66"/>
    </row>
    <row r="12" spans="1:10" ht="14.4">
      <c r="A12" s="230" t="s">
        <v>840</v>
      </c>
      <c r="B12" s="187"/>
      <c r="C12" s="187"/>
      <c r="D12" s="187"/>
      <c r="E12" s="235" t="e">
        <f>VLOOKUP($E$1,'Data - IUB March 2024'!$B$5:$V$163,8,FALSE)</f>
        <v>#N/A</v>
      </c>
      <c r="F12" s="224" t="e">
        <f>VLOOKUP($E$1,'Data - IUB March 2024'!$B$5:$V$163,9,FALSE)</f>
        <v>#N/A</v>
      </c>
      <c r="G12" s="229" t="e">
        <f>VLOOKUP($E$1,'Data - IUB March 2024'!$B$5:$V$163,10,FALSE)</f>
        <v>#N/A</v>
      </c>
      <c r="H12" s="211"/>
      <c r="I12" s="211"/>
      <c r="J12" s="66"/>
    </row>
    <row r="13" spans="1:10" ht="14.4">
      <c r="A13" s="230" t="s">
        <v>841</v>
      </c>
      <c r="B13" s="187"/>
      <c r="C13" s="187"/>
      <c r="D13" s="187"/>
      <c r="E13" s="235" t="e">
        <f>VLOOKUP($E$1,'Data - IUB March 2024'!$B$5:$V$163,12,FALSE)</f>
        <v>#N/A</v>
      </c>
      <c r="F13" s="224" t="e">
        <f>VLOOKUP($E$1,'Data - IUB March 2024'!$B$5:$V$163,13,FALSE)</f>
        <v>#N/A</v>
      </c>
      <c r="G13" s="229" t="e">
        <f>VLOOKUP($E$1,'Data - IUB March 2024'!$B$5:$V$163,14,FALSE)</f>
        <v>#N/A</v>
      </c>
      <c r="H13" s="211"/>
      <c r="I13" s="211"/>
      <c r="J13" s="66"/>
    </row>
    <row r="14" spans="1:10" ht="14.4">
      <c r="A14" s="230" t="s">
        <v>842</v>
      </c>
      <c r="B14" s="187"/>
      <c r="C14" s="187"/>
      <c r="D14" s="187"/>
      <c r="E14" s="235" t="e">
        <f>VLOOKUP($E$1,'Data - IUB March 2024'!$B$5:$V$163,16,FALSE)</f>
        <v>#N/A</v>
      </c>
      <c r="F14" s="224" t="e">
        <f>VLOOKUP($E$1,'Data - IUB March 2024'!$B$5:$V$163,17,FALSE)</f>
        <v>#N/A</v>
      </c>
      <c r="G14" s="229" t="e">
        <f>VLOOKUP($E$1,'Data - IUB March 2024'!$B$5:$V$163,18,FALSE)</f>
        <v>#N/A</v>
      </c>
      <c r="H14" s="211"/>
      <c r="I14" s="211"/>
      <c r="J14" s="66"/>
    </row>
    <row r="15" spans="1:10" ht="14.4">
      <c r="A15" s="230" t="s">
        <v>843</v>
      </c>
      <c r="B15" s="187"/>
      <c r="C15" s="187"/>
      <c r="D15" s="187"/>
      <c r="E15" s="235" t="e">
        <f>VLOOKUP($E$1,'Data - IUB March 2024'!$B$5:$V$163,20,FALSE)</f>
        <v>#N/A</v>
      </c>
      <c r="F15" s="224" t="e">
        <f>VLOOKUP($E$1,'Data - IUB March 2024'!$B$5:$V$163,21,FALSE)</f>
        <v>#N/A</v>
      </c>
      <c r="G15" s="229" t="e">
        <f>VLOOKUP($E$1,'Data - IUB March 2024'!$B$5:$AC$163,22,FALSE)</f>
        <v>#N/A</v>
      </c>
      <c r="H15" s="211"/>
      <c r="I15" s="211"/>
      <c r="J15" s="66"/>
    </row>
    <row r="16" spans="1:10" ht="15" thickBot="1">
      <c r="A16" s="231" t="s">
        <v>844</v>
      </c>
      <c r="B16" s="232"/>
      <c r="C16" s="232"/>
      <c r="D16" s="232"/>
      <c r="E16" s="236" t="e">
        <f>VLOOKUP($E$1,'Data - IUB March 2024'!$B$5:$AC$163,24,FALSE)</f>
        <v>#N/A</v>
      </c>
      <c r="F16" s="233" t="e">
        <f>VLOOKUP($E$1,'Data - IUB March 2024'!$B$5:$AC$163,25,FALSE)</f>
        <v>#N/A</v>
      </c>
      <c r="G16" s="234" t="e">
        <f>VLOOKUP($E$1,'Data - IUB March 2024'!$B$5:$AC$163,26,FALSE)</f>
        <v>#N/A</v>
      </c>
      <c r="H16" s="211"/>
      <c r="I16" s="211"/>
      <c r="J16" s="66"/>
    </row>
    <row r="17" spans="1:10" ht="16.2" thickBot="1">
      <c r="A17" s="249"/>
      <c r="B17" s="68"/>
      <c r="C17" s="64"/>
      <c r="D17" s="67"/>
      <c r="E17" s="226" t="e">
        <f>SUM(E11:E16)</f>
        <v>#N/A</v>
      </c>
      <c r="F17" s="227" t="e">
        <f>SUM(F11:F16)</f>
        <v>#N/A</v>
      </c>
      <c r="G17" s="227" t="e">
        <f>SUM(G11:G16)</f>
        <v>#N/A</v>
      </c>
      <c r="H17" s="66"/>
      <c r="I17" s="67"/>
      <c r="J17" s="66"/>
    </row>
    <row r="18" spans="1:10" ht="8.25" customHeight="1">
      <c r="A18" s="249"/>
      <c r="B18" s="68"/>
      <c r="C18" s="69"/>
      <c r="D18" s="67"/>
      <c r="E18" s="69"/>
      <c r="F18" s="66"/>
      <c r="G18" s="67"/>
      <c r="H18" s="66"/>
      <c r="I18" s="67"/>
      <c r="J18" s="66"/>
    </row>
    <row r="19" spans="1:10" ht="15">
      <c r="A19" s="250" t="s">
        <v>845</v>
      </c>
      <c r="B19" s="188"/>
      <c r="C19" s="50"/>
      <c r="D19" s="62"/>
      <c r="E19" s="50"/>
      <c r="F19" s="66"/>
      <c r="G19" s="67"/>
      <c r="H19" s="66"/>
      <c r="I19" s="67"/>
      <c r="J19" s="66"/>
    </row>
    <row r="20" spans="1:10" ht="7.5" customHeight="1">
      <c r="A20" s="249"/>
      <c r="B20" s="397"/>
      <c r="C20" s="67"/>
      <c r="D20" s="67"/>
      <c r="E20" s="67"/>
      <c r="F20" s="66"/>
      <c r="G20" s="67"/>
      <c r="H20" s="66"/>
      <c r="I20" s="67"/>
      <c r="J20" s="66"/>
    </row>
    <row r="21" spans="1:10" ht="39.6">
      <c r="A21" s="189" t="s">
        <v>491</v>
      </c>
      <c r="B21" s="555" t="s">
        <v>846</v>
      </c>
      <c r="C21" s="555"/>
      <c r="D21" s="555"/>
      <c r="E21" s="109" t="s">
        <v>847</v>
      </c>
      <c r="F21" s="109" t="s">
        <v>848</v>
      </c>
      <c r="G21" s="109" t="s">
        <v>849</v>
      </c>
      <c r="H21" s="559" t="s">
        <v>850</v>
      </c>
      <c r="I21" s="560"/>
      <c r="J21" s="561"/>
    </row>
    <row r="22" spans="1:10" ht="13.8">
      <c r="A22" s="210"/>
      <c r="B22" s="548"/>
      <c r="C22" s="548"/>
      <c r="D22" s="548"/>
      <c r="E22" s="94"/>
      <c r="F22" s="94"/>
      <c r="G22" s="178">
        <f>E22-F22</f>
        <v>0</v>
      </c>
      <c r="H22" s="556"/>
      <c r="I22" s="557"/>
      <c r="J22" s="558"/>
    </row>
    <row r="23" spans="1:10" ht="13.8">
      <c r="A23" s="210"/>
      <c r="B23" s="548"/>
      <c r="C23" s="548"/>
      <c r="D23" s="548"/>
      <c r="E23" s="94"/>
      <c r="F23" s="94"/>
      <c r="G23" s="178">
        <f t="shared" ref="G23:G36" si="0">E23-F23</f>
        <v>0</v>
      </c>
      <c r="H23" s="556"/>
      <c r="I23" s="557"/>
      <c r="J23" s="558"/>
    </row>
    <row r="24" spans="1:10" ht="13.8">
      <c r="A24" s="210"/>
      <c r="B24" s="548"/>
      <c r="C24" s="548"/>
      <c r="D24" s="548"/>
      <c r="E24" s="94"/>
      <c r="F24" s="94"/>
      <c r="G24" s="178">
        <f t="shared" si="0"/>
        <v>0</v>
      </c>
      <c r="H24" s="556"/>
      <c r="I24" s="557"/>
      <c r="J24" s="558"/>
    </row>
    <row r="25" spans="1:10" ht="13.8">
      <c r="A25" s="210"/>
      <c r="B25" s="548"/>
      <c r="C25" s="548"/>
      <c r="D25" s="548"/>
      <c r="E25" s="94"/>
      <c r="F25" s="94"/>
      <c r="G25" s="178">
        <f t="shared" si="0"/>
        <v>0</v>
      </c>
      <c r="H25" s="556"/>
      <c r="I25" s="557"/>
      <c r="J25" s="558"/>
    </row>
    <row r="26" spans="1:10" ht="13.8">
      <c r="A26" s="210"/>
      <c r="B26" s="548"/>
      <c r="C26" s="548"/>
      <c r="D26" s="548"/>
      <c r="E26" s="94"/>
      <c r="F26" s="94"/>
      <c r="G26" s="178">
        <f t="shared" si="0"/>
        <v>0</v>
      </c>
      <c r="H26" s="556"/>
      <c r="I26" s="557"/>
      <c r="J26" s="558"/>
    </row>
    <row r="27" spans="1:10" ht="13.8">
      <c r="A27" s="210"/>
      <c r="B27" s="548"/>
      <c r="C27" s="548"/>
      <c r="D27" s="548"/>
      <c r="E27" s="94"/>
      <c r="F27" s="94"/>
      <c r="G27" s="178">
        <f t="shared" si="0"/>
        <v>0</v>
      </c>
      <c r="H27" s="556"/>
      <c r="I27" s="557"/>
      <c r="J27" s="558"/>
    </row>
    <row r="28" spans="1:10" ht="13.8">
      <c r="A28" s="210"/>
      <c r="B28" s="548"/>
      <c r="C28" s="548"/>
      <c r="D28" s="548"/>
      <c r="E28" s="94"/>
      <c r="F28" s="94"/>
      <c r="G28" s="178">
        <f t="shared" si="0"/>
        <v>0</v>
      </c>
      <c r="H28" s="556"/>
      <c r="I28" s="557"/>
      <c r="J28" s="558"/>
    </row>
    <row r="29" spans="1:10" ht="13.8">
      <c r="A29" s="210"/>
      <c r="B29" s="548"/>
      <c r="C29" s="548"/>
      <c r="D29" s="548"/>
      <c r="E29" s="94"/>
      <c r="F29" s="94"/>
      <c r="G29" s="178">
        <f t="shared" si="0"/>
        <v>0</v>
      </c>
      <c r="H29" s="556"/>
      <c r="I29" s="557"/>
      <c r="J29" s="558"/>
    </row>
    <row r="30" spans="1:10" ht="13.8">
      <c r="A30" s="210"/>
      <c r="B30" s="548"/>
      <c r="C30" s="548"/>
      <c r="D30" s="548"/>
      <c r="E30" s="94"/>
      <c r="F30" s="94"/>
      <c r="G30" s="178">
        <f t="shared" si="0"/>
        <v>0</v>
      </c>
      <c r="H30" s="556"/>
      <c r="I30" s="557"/>
      <c r="J30" s="558"/>
    </row>
    <row r="31" spans="1:10" ht="13.8">
      <c r="A31" s="210"/>
      <c r="B31" s="548"/>
      <c r="C31" s="548"/>
      <c r="D31" s="548"/>
      <c r="E31" s="94"/>
      <c r="F31" s="94"/>
      <c r="G31" s="178">
        <f t="shared" si="0"/>
        <v>0</v>
      </c>
      <c r="H31" s="556"/>
      <c r="I31" s="557"/>
      <c r="J31" s="558"/>
    </row>
    <row r="32" spans="1:10" ht="13.8">
      <c r="A32" s="210"/>
      <c r="B32" s="548"/>
      <c r="C32" s="548"/>
      <c r="D32" s="548"/>
      <c r="E32" s="94"/>
      <c r="F32" s="94"/>
      <c r="G32" s="178">
        <f t="shared" si="0"/>
        <v>0</v>
      </c>
      <c r="H32" s="556"/>
      <c r="I32" s="557"/>
      <c r="J32" s="558"/>
    </row>
    <row r="33" spans="1:10" ht="13.8">
      <c r="A33" s="210"/>
      <c r="B33" s="548"/>
      <c r="C33" s="548"/>
      <c r="D33" s="548"/>
      <c r="E33" s="94"/>
      <c r="F33" s="94"/>
      <c r="G33" s="178">
        <f t="shared" si="0"/>
        <v>0</v>
      </c>
      <c r="H33" s="556"/>
      <c r="I33" s="557"/>
      <c r="J33" s="558"/>
    </row>
    <row r="34" spans="1:10" ht="13.8">
      <c r="A34" s="210"/>
      <c r="B34" s="548"/>
      <c r="C34" s="548"/>
      <c r="D34" s="548"/>
      <c r="E34" s="94"/>
      <c r="F34" s="94"/>
      <c r="G34" s="178">
        <f t="shared" si="0"/>
        <v>0</v>
      </c>
      <c r="H34" s="556"/>
      <c r="I34" s="557"/>
      <c r="J34" s="558"/>
    </row>
    <row r="35" spans="1:10" ht="13.8">
      <c r="A35" s="210"/>
      <c r="B35" s="548"/>
      <c r="C35" s="548"/>
      <c r="D35" s="548"/>
      <c r="E35" s="94"/>
      <c r="F35" s="94"/>
      <c r="G35" s="178">
        <f t="shared" si="0"/>
        <v>0</v>
      </c>
      <c r="H35" s="556"/>
      <c r="I35" s="557"/>
      <c r="J35" s="558"/>
    </row>
    <row r="36" spans="1:10" ht="14.4" thickBot="1">
      <c r="A36" s="210"/>
      <c r="B36" s="549"/>
      <c r="C36" s="549"/>
      <c r="D36" s="549"/>
      <c r="E36" s="94"/>
      <c r="F36" s="94"/>
      <c r="G36" s="178">
        <f t="shared" si="0"/>
        <v>0</v>
      </c>
      <c r="H36" s="556"/>
      <c r="I36" s="557"/>
      <c r="J36" s="558"/>
    </row>
    <row r="37" spans="1:10" ht="16.2" thickBot="1">
      <c r="A37" s="70"/>
      <c r="B37" s="86" t="s">
        <v>851</v>
      </c>
      <c r="C37" s="87"/>
      <c r="D37" s="88"/>
      <c r="E37" s="1">
        <f>SUM(E22:E36)</f>
        <v>0</v>
      </c>
      <c r="F37" s="1">
        <f>SUM(F22:F36)</f>
        <v>0</v>
      </c>
      <c r="G37" s="1">
        <f>SUM(G22:G36)</f>
        <v>0</v>
      </c>
      <c r="H37" s="66"/>
      <c r="I37" s="67"/>
      <c r="J37" s="66"/>
    </row>
    <row r="38" spans="1:10" ht="15">
      <c r="A38" s="72"/>
      <c r="B38" s="67"/>
      <c r="C38" s="67"/>
      <c r="D38" s="67"/>
      <c r="E38" s="67"/>
      <c r="F38" s="66"/>
      <c r="G38" s="67"/>
      <c r="H38" s="66"/>
      <c r="I38" s="67"/>
      <c r="J38" s="66"/>
    </row>
    <row r="39" spans="1:10" ht="15">
      <c r="A39" s="249" t="s">
        <v>852</v>
      </c>
      <c r="B39" s="67"/>
      <c r="C39" s="67"/>
      <c r="D39" s="67"/>
      <c r="E39" s="67"/>
      <c r="F39" s="66"/>
      <c r="G39" s="67"/>
      <c r="H39" s="66"/>
      <c r="I39" s="67"/>
      <c r="J39" s="66"/>
    </row>
  </sheetData>
  <mergeCells count="35">
    <mergeCell ref="H32:J32"/>
    <mergeCell ref="H33:J33"/>
    <mergeCell ref="H34:J34"/>
    <mergeCell ref="H35:J35"/>
    <mergeCell ref="H36:J36"/>
    <mergeCell ref="H31:J31"/>
    <mergeCell ref="H21:J21"/>
    <mergeCell ref="H22:J22"/>
    <mergeCell ref="H23:J23"/>
    <mergeCell ref="H24:J24"/>
    <mergeCell ref="H25:J25"/>
    <mergeCell ref="H26:J26"/>
    <mergeCell ref="H27:J27"/>
    <mergeCell ref="H28:J28"/>
    <mergeCell ref="H29:J29"/>
    <mergeCell ref="H30:J30"/>
    <mergeCell ref="B22:D22"/>
    <mergeCell ref="B23:D23"/>
    <mergeCell ref="B28:D28"/>
    <mergeCell ref="A2:J2"/>
    <mergeCell ref="A3:I3"/>
    <mergeCell ref="A10:D10"/>
    <mergeCell ref="B21:D21"/>
    <mergeCell ref="B25:D25"/>
    <mergeCell ref="B26:D26"/>
    <mergeCell ref="B27:D27"/>
    <mergeCell ref="B24:D24"/>
    <mergeCell ref="B35:D35"/>
    <mergeCell ref="B36:D36"/>
    <mergeCell ref="B29:D29"/>
    <mergeCell ref="B30:D30"/>
    <mergeCell ref="B31:D31"/>
    <mergeCell ref="B34:D34"/>
    <mergeCell ref="B32:D32"/>
    <mergeCell ref="B33:D33"/>
  </mergeCells>
  <phoneticPr fontId="15" type="noConversion"/>
  <conditionalFormatting sqref="E11:G16">
    <cfRule type="expression" dxfId="14" priority="1" stopIfTrue="1">
      <formula>LEFT(OFFSET(E11,0,16))="W"</formula>
    </cfRule>
    <cfRule type="expression" dxfId="13" priority="2" stopIfTrue="1">
      <formula>LEFT(OFFSET(E11,0,16))="E"</formula>
    </cfRule>
  </conditionalFormatting>
  <pageMargins left="0.15748031496062992" right="0.15748031496062992" top="0.39370078740157483" bottom="0.39370078740157483" header="0.51181102362204722" footer="0.51181102362204722"/>
  <pageSetup paperSize="9"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7"/>
    <pageSetUpPr fitToPage="1"/>
  </sheetPr>
  <dimension ref="A1:J96"/>
  <sheetViews>
    <sheetView workbookViewId="0">
      <selection activeCell="A2" sqref="A2:J2"/>
    </sheetView>
  </sheetViews>
  <sheetFormatPr defaultColWidth="9.21875" defaultRowHeight="12.6"/>
  <cols>
    <col min="1" max="1" width="5.77734375" style="184" customWidth="1"/>
    <col min="2" max="3" width="9.21875" style="184"/>
    <col min="4" max="4" width="69.21875" style="184" customWidth="1"/>
    <col min="5" max="5" width="17" style="184" customWidth="1"/>
    <col min="6" max="6" width="17.21875" style="184" customWidth="1"/>
    <col min="7" max="8" width="9.21875" style="184"/>
    <col min="9" max="9" width="29.44140625" style="184" customWidth="1"/>
    <col min="10" max="10" width="10.21875" style="184" bestFit="1" customWidth="1"/>
    <col min="11" max="16384" width="9.21875" style="184"/>
  </cols>
  <sheetData>
    <row r="1" spans="1:10">
      <c r="A1" s="98" t="str">
        <f>'c) IUB reporting March 2024'!A1</f>
        <v>Please Click on Arrow to Choose School</v>
      </c>
      <c r="B1" s="98"/>
      <c r="C1" s="98"/>
      <c r="D1" s="98"/>
      <c r="E1" s="98"/>
      <c r="F1" s="98"/>
      <c r="G1" s="98"/>
      <c r="H1" s="98"/>
      <c r="I1" s="98"/>
      <c r="J1" s="209">
        <f ca="1">TODAY()</f>
        <v>45929</v>
      </c>
    </row>
    <row r="2" spans="1:10" ht="21">
      <c r="A2" s="550" t="s">
        <v>853</v>
      </c>
      <c r="B2" s="550"/>
      <c r="C2" s="550"/>
      <c r="D2" s="550"/>
      <c r="E2" s="550"/>
      <c r="F2" s="550"/>
      <c r="G2" s="550"/>
      <c r="H2" s="550"/>
      <c r="I2" s="550"/>
      <c r="J2" s="550"/>
    </row>
    <row r="3" spans="1:10" ht="9" customHeight="1">
      <c r="A3" s="551"/>
      <c r="B3" s="552"/>
      <c r="C3" s="552"/>
      <c r="D3" s="552"/>
      <c r="E3" s="552"/>
      <c r="F3" s="552"/>
      <c r="G3" s="552"/>
      <c r="H3" s="552"/>
      <c r="I3" s="552"/>
      <c r="J3" s="66"/>
    </row>
    <row r="4" spans="1:10" ht="13.8">
      <c r="A4" s="249" t="s">
        <v>854</v>
      </c>
      <c r="B4" s="185"/>
      <c r="C4" s="185"/>
      <c r="D4" s="185"/>
      <c r="E4" s="185"/>
      <c r="F4" s="185"/>
      <c r="G4" s="185"/>
      <c r="H4" s="185"/>
      <c r="I4" s="185"/>
      <c r="J4" s="66"/>
    </row>
    <row r="5" spans="1:10" ht="13.8">
      <c r="A5" s="249" t="s">
        <v>855</v>
      </c>
      <c r="B5" s="185"/>
      <c r="C5" s="185"/>
      <c r="D5" s="185"/>
      <c r="E5" s="185"/>
      <c r="F5" s="185"/>
      <c r="G5" s="185"/>
      <c r="H5" s="185"/>
      <c r="I5" s="185"/>
      <c r="J5" s="66"/>
    </row>
    <row r="6" spans="1:10" ht="13.8">
      <c r="A6" s="249" t="s">
        <v>856</v>
      </c>
      <c r="B6" s="185"/>
      <c r="C6" s="185"/>
      <c r="D6" s="185"/>
      <c r="E6" s="185"/>
      <c r="F6" s="185"/>
      <c r="G6" s="185"/>
      <c r="H6" s="185"/>
      <c r="I6" s="185"/>
      <c r="J6" s="66"/>
    </row>
    <row r="7" spans="1:10" ht="13.8" hidden="1">
      <c r="A7" s="249"/>
      <c r="B7" s="185"/>
      <c r="C7" s="185"/>
      <c r="D7" s="185"/>
      <c r="E7" s="185"/>
      <c r="F7" s="185"/>
      <c r="G7" s="185"/>
      <c r="H7" s="185"/>
      <c r="I7" s="185"/>
      <c r="J7" s="66"/>
    </row>
    <row r="8" spans="1:10" ht="6.75" hidden="1" customHeight="1">
      <c r="A8" s="249"/>
      <c r="B8" s="185"/>
      <c r="C8" s="185"/>
      <c r="D8" s="185"/>
      <c r="E8" s="185"/>
      <c r="F8" s="185"/>
      <c r="G8" s="185"/>
      <c r="H8" s="185"/>
      <c r="I8" s="185"/>
      <c r="J8" s="66"/>
    </row>
    <row r="9" spans="1:10" ht="13.8" hidden="1">
      <c r="A9" s="249" t="s">
        <v>857</v>
      </c>
      <c r="B9" s="185"/>
      <c r="C9" s="185"/>
      <c r="D9" s="185"/>
      <c r="E9" s="185"/>
      <c r="F9" s="185"/>
      <c r="G9" s="185"/>
      <c r="H9" s="185"/>
      <c r="I9" s="185"/>
      <c r="J9" s="66"/>
    </row>
    <row r="10" spans="1:10" ht="4.5" hidden="1" customHeight="1">
      <c r="A10" s="249"/>
      <c r="B10" s="185"/>
      <c r="C10" s="185"/>
      <c r="D10" s="185"/>
      <c r="E10" s="185"/>
      <c r="F10" s="185"/>
      <c r="G10" s="185"/>
      <c r="H10" s="185"/>
      <c r="I10" s="185"/>
      <c r="J10" s="66"/>
    </row>
    <row r="11" spans="1:10" ht="13.8" hidden="1">
      <c r="A11" s="249" t="s">
        <v>858</v>
      </c>
      <c r="B11" s="185"/>
      <c r="C11" s="185"/>
      <c r="D11" s="185"/>
      <c r="E11" s="185"/>
      <c r="F11" s="185"/>
      <c r="G11" s="185"/>
      <c r="H11" s="185"/>
      <c r="I11" s="185"/>
      <c r="J11" s="66"/>
    </row>
    <row r="12" spans="1:10" ht="5.25" hidden="1" customHeight="1">
      <c r="A12" s="249"/>
      <c r="B12" s="185"/>
      <c r="C12" s="185"/>
      <c r="D12" s="185"/>
      <c r="E12" s="185"/>
      <c r="F12" s="185"/>
      <c r="G12" s="185"/>
      <c r="H12" s="185"/>
      <c r="I12" s="185"/>
      <c r="J12" s="66"/>
    </row>
    <row r="13" spans="1:10" ht="13.8" hidden="1">
      <c r="A13" s="249" t="s">
        <v>859</v>
      </c>
      <c r="B13" s="185"/>
      <c r="C13" s="185"/>
      <c r="D13" s="185"/>
      <c r="E13" s="185"/>
      <c r="F13" s="185"/>
      <c r="G13" s="185"/>
      <c r="H13" s="185"/>
      <c r="I13" s="185"/>
      <c r="J13" s="66"/>
    </row>
    <row r="14" spans="1:10" ht="14.4" thickBot="1">
      <c r="A14" s="249"/>
      <c r="B14" s="185"/>
      <c r="C14" s="185"/>
      <c r="D14" s="185"/>
      <c r="E14" s="185"/>
      <c r="F14" s="185"/>
      <c r="G14" s="185"/>
      <c r="H14" s="185"/>
      <c r="I14" s="185"/>
      <c r="J14" s="66"/>
    </row>
    <row r="15" spans="1:10" ht="14.4" thickBot="1">
      <c r="A15" s="249" t="s">
        <v>860</v>
      </c>
      <c r="B15" s="77"/>
      <c r="C15" s="185"/>
      <c r="D15" s="185"/>
      <c r="E15" s="185"/>
      <c r="F15" s="165" t="e">
        <f>'b) Template'!K109</f>
        <v>#N/A</v>
      </c>
      <c r="G15" s="185"/>
      <c r="H15" s="208">
        <f>'b) Template'!I3</f>
        <v>0</v>
      </c>
      <c r="I15" s="185"/>
      <c r="J15" s="66"/>
    </row>
    <row r="16" spans="1:10" ht="7.5" customHeight="1" thickBot="1">
      <c r="A16" s="249"/>
      <c r="B16" s="77"/>
      <c r="C16" s="185"/>
      <c r="D16" s="185"/>
      <c r="E16" s="185"/>
      <c r="F16" s="166"/>
      <c r="G16" s="185"/>
      <c r="H16" s="185"/>
      <c r="I16" s="185"/>
      <c r="J16" s="66"/>
    </row>
    <row r="17" spans="1:10" ht="14.4" thickBot="1">
      <c r="A17" s="77" t="s">
        <v>861</v>
      </c>
      <c r="B17" s="77"/>
      <c r="C17" s="185"/>
      <c r="D17" s="185"/>
      <c r="E17" s="185"/>
      <c r="F17" s="165" t="e">
        <f>VLOOKUP($H$15,'Data - IUB Thresholds Mar 25'!A4:C70,3,FALSE)</f>
        <v>#N/A</v>
      </c>
      <c r="G17" s="185"/>
      <c r="H17" s="185"/>
      <c r="I17" s="185"/>
      <c r="J17" s="66"/>
    </row>
    <row r="18" spans="1:10" ht="13.8" hidden="1">
      <c r="A18" s="92" t="s">
        <v>862</v>
      </c>
      <c r="B18" s="77"/>
      <c r="C18" s="185"/>
      <c r="D18" s="185"/>
      <c r="E18" s="185"/>
      <c r="F18" s="166"/>
      <c r="G18" s="185"/>
      <c r="H18" s="185"/>
      <c r="I18" s="185"/>
      <c r="J18" s="66"/>
    </row>
    <row r="19" spans="1:10" ht="7.5" customHeight="1" thickBot="1">
      <c r="A19" s="249"/>
      <c r="B19" s="77"/>
      <c r="C19" s="185"/>
      <c r="D19" s="185"/>
      <c r="E19" s="185"/>
      <c r="F19" s="190"/>
      <c r="G19" s="185"/>
      <c r="H19" s="185"/>
      <c r="I19" s="185"/>
      <c r="J19" s="66"/>
    </row>
    <row r="20" spans="1:10" ht="14.4" thickBot="1">
      <c r="A20" s="93" t="s">
        <v>863</v>
      </c>
      <c r="B20" s="398"/>
      <c r="C20" s="191"/>
      <c r="D20" s="191"/>
      <c r="E20" s="191"/>
      <c r="F20" s="167" t="e">
        <f>F15-F17</f>
        <v>#N/A</v>
      </c>
      <c r="G20" s="185"/>
      <c r="H20" s="185"/>
      <c r="I20" s="185"/>
      <c r="J20" s="66"/>
    </row>
    <row r="21" spans="1:10" ht="13.8">
      <c r="A21" s="92" t="s">
        <v>864</v>
      </c>
      <c r="B21" s="77"/>
      <c r="C21" s="185"/>
      <c r="D21" s="185"/>
      <c r="E21" s="185"/>
      <c r="F21" s="91"/>
      <c r="G21" s="185"/>
      <c r="H21" s="185"/>
      <c r="I21" s="185"/>
      <c r="J21" s="66"/>
    </row>
    <row r="22" spans="1:10" ht="6" customHeight="1">
      <c r="A22" s="92"/>
      <c r="B22" s="77"/>
      <c r="C22" s="185"/>
      <c r="D22" s="185"/>
      <c r="E22" s="185"/>
      <c r="F22" s="91"/>
      <c r="G22" s="185"/>
      <c r="H22" s="185"/>
      <c r="I22" s="185"/>
      <c r="J22" s="66"/>
    </row>
    <row r="23" spans="1:10" ht="13.8" hidden="1">
      <c r="A23" s="249" t="s">
        <v>865</v>
      </c>
      <c r="B23" s="77"/>
      <c r="C23" s="185"/>
      <c r="D23" s="185"/>
      <c r="E23" s="185"/>
      <c r="F23" s="91"/>
      <c r="G23" s="185"/>
      <c r="H23" s="185"/>
      <c r="I23" s="185"/>
      <c r="J23" s="66"/>
    </row>
    <row r="24" spans="1:10" ht="13.8" hidden="1">
      <c r="A24" s="249" t="s">
        <v>866</v>
      </c>
      <c r="B24" s="77"/>
      <c r="C24" s="185"/>
      <c r="D24" s="185"/>
      <c r="E24" s="185"/>
      <c r="F24" s="91"/>
      <c r="G24" s="185"/>
      <c r="H24" s="185"/>
      <c r="I24" s="185"/>
      <c r="J24" s="66"/>
    </row>
    <row r="25" spans="1:10" ht="13.8" hidden="1">
      <c r="A25" s="249" t="s">
        <v>867</v>
      </c>
      <c r="B25" s="185"/>
      <c r="C25" s="185"/>
      <c r="D25" s="185"/>
      <c r="E25" s="185"/>
      <c r="F25" s="185"/>
      <c r="G25" s="185"/>
      <c r="H25" s="185"/>
      <c r="I25" s="185"/>
      <c r="J25" s="66"/>
    </row>
    <row r="26" spans="1:10" ht="13.8">
      <c r="A26" s="249" t="s">
        <v>868</v>
      </c>
      <c r="B26" s="185"/>
      <c r="C26" s="185"/>
      <c r="D26" s="185"/>
      <c r="E26" s="185"/>
      <c r="F26" s="185"/>
      <c r="G26" s="185"/>
      <c r="H26" s="185"/>
      <c r="I26" s="185"/>
      <c r="J26" s="66"/>
    </row>
    <row r="27" spans="1:10" ht="13.8">
      <c r="A27" s="249" t="s">
        <v>869</v>
      </c>
      <c r="B27" s="185"/>
      <c r="C27" s="185"/>
      <c r="D27" s="185"/>
      <c r="E27" s="185"/>
      <c r="F27" s="185"/>
      <c r="G27" s="185"/>
      <c r="H27" s="185"/>
      <c r="I27" s="185"/>
      <c r="J27" s="66"/>
    </row>
    <row r="28" spans="1:10" ht="13.8">
      <c r="A28" s="249" t="s">
        <v>870</v>
      </c>
      <c r="B28" s="185"/>
      <c r="C28" s="185"/>
      <c r="D28" s="185"/>
      <c r="E28" s="185"/>
      <c r="F28" s="185"/>
      <c r="G28" s="185"/>
      <c r="H28" s="185"/>
      <c r="I28" s="185"/>
      <c r="J28" s="66"/>
    </row>
    <row r="29" spans="1:10" ht="7.5" customHeight="1" thickBot="1">
      <c r="A29" s="249"/>
      <c r="B29" s="397"/>
      <c r="C29" s="67"/>
      <c r="D29" s="67"/>
      <c r="E29" s="67"/>
      <c r="F29" s="66"/>
      <c r="G29" s="67"/>
      <c r="H29" s="66"/>
      <c r="I29" s="67"/>
      <c r="J29" s="66"/>
    </row>
    <row r="30" spans="1:10" s="193" customFormat="1" ht="39" customHeight="1" thickBot="1">
      <c r="A30" s="83"/>
      <c r="B30" s="565" t="s">
        <v>871</v>
      </c>
      <c r="C30" s="566"/>
      <c r="D30" s="567"/>
      <c r="E30" s="85" t="s">
        <v>872</v>
      </c>
      <c r="F30" s="192" t="s">
        <v>873</v>
      </c>
      <c r="G30" s="568" t="s">
        <v>874</v>
      </c>
      <c r="H30" s="569"/>
      <c r="I30" s="570"/>
      <c r="J30" s="571"/>
    </row>
    <row r="31" spans="1:10" ht="15" customHeight="1">
      <c r="A31" s="89"/>
      <c r="B31" s="194" t="s">
        <v>875</v>
      </c>
      <c r="C31" s="194"/>
      <c r="D31" s="195"/>
      <c r="E31" s="84"/>
      <c r="F31" s="196"/>
      <c r="G31" s="562"/>
      <c r="H31" s="563"/>
      <c r="I31" s="563"/>
      <c r="J31" s="564"/>
    </row>
    <row r="32" spans="1:10" ht="15">
      <c r="A32" s="90"/>
      <c r="B32" s="194" t="s">
        <v>839</v>
      </c>
      <c r="C32" s="197"/>
      <c r="D32" s="195"/>
      <c r="E32" s="84"/>
      <c r="F32" s="196"/>
      <c r="G32" s="575"/>
      <c r="H32" s="576"/>
      <c r="I32" s="576"/>
      <c r="J32" s="577"/>
    </row>
    <row r="33" spans="1:10" ht="15">
      <c r="A33" s="90"/>
      <c r="B33" s="194" t="s">
        <v>840</v>
      </c>
      <c r="C33" s="198"/>
      <c r="D33" s="198"/>
      <c r="E33" s="84"/>
      <c r="F33" s="196"/>
      <c r="G33" s="575"/>
      <c r="H33" s="576"/>
      <c r="I33" s="576"/>
      <c r="J33" s="577"/>
    </row>
    <row r="34" spans="1:10" ht="15">
      <c r="A34" s="90"/>
      <c r="B34" s="194" t="s">
        <v>841</v>
      </c>
      <c r="C34" s="198"/>
      <c r="D34" s="198"/>
      <c r="E34" s="84"/>
      <c r="F34" s="196"/>
      <c r="G34" s="575"/>
      <c r="H34" s="576"/>
      <c r="I34" s="576"/>
      <c r="J34" s="577"/>
    </row>
    <row r="35" spans="1:10" ht="15">
      <c r="A35" s="90"/>
      <c r="B35" s="194" t="s">
        <v>842</v>
      </c>
      <c r="C35" s="197"/>
      <c r="D35" s="195"/>
      <c r="E35" s="84"/>
      <c r="F35" s="196"/>
      <c r="G35" s="575"/>
      <c r="H35" s="576"/>
      <c r="I35" s="576"/>
      <c r="J35" s="577"/>
    </row>
    <row r="36" spans="1:10" ht="15">
      <c r="A36" s="90"/>
      <c r="B36" s="194" t="s">
        <v>843</v>
      </c>
      <c r="C36" s="197"/>
      <c r="D36" s="195"/>
      <c r="E36" s="84"/>
      <c r="F36" s="196"/>
      <c r="G36" s="575"/>
      <c r="H36" s="576"/>
      <c r="I36" s="576"/>
      <c r="J36" s="577"/>
    </row>
    <row r="37" spans="1:10" ht="15.6" thickBot="1">
      <c r="A37" s="90"/>
      <c r="B37" s="199" t="s">
        <v>844</v>
      </c>
      <c r="C37" s="200"/>
      <c r="D37" s="201"/>
      <c r="E37" s="177"/>
      <c r="F37" s="202"/>
      <c r="G37" s="572"/>
      <c r="H37" s="573"/>
      <c r="I37" s="573"/>
      <c r="J37" s="574"/>
    </row>
    <row r="38" spans="1:10" ht="16.2" thickBot="1">
      <c r="A38" s="70"/>
      <c r="B38" s="173" t="s">
        <v>851</v>
      </c>
      <c r="C38" s="174"/>
      <c r="D38" s="175"/>
      <c r="E38" s="176">
        <f>SUM(E31:E37)</f>
        <v>0</v>
      </c>
      <c r="F38" s="71"/>
      <c r="G38" s="67"/>
      <c r="H38" s="66"/>
      <c r="I38" s="67"/>
      <c r="J38" s="66"/>
    </row>
    <row r="39" spans="1:10" ht="15">
      <c r="A39" s="72"/>
      <c r="B39" s="67"/>
      <c r="C39" s="67"/>
      <c r="D39" s="67"/>
      <c r="E39" s="67"/>
      <c r="F39" s="66"/>
      <c r="G39" s="67"/>
      <c r="H39" s="66"/>
      <c r="I39" s="67"/>
      <c r="J39" s="66"/>
    </row>
    <row r="40" spans="1:10" ht="15">
      <c r="A40" s="249" t="s">
        <v>852</v>
      </c>
      <c r="B40" s="67"/>
      <c r="C40" s="67"/>
      <c r="D40" s="67"/>
      <c r="E40" s="67"/>
      <c r="F40" s="66"/>
      <c r="G40" s="67"/>
      <c r="H40" s="66"/>
      <c r="I40" s="67"/>
      <c r="J40" s="66"/>
    </row>
    <row r="41" spans="1:10" s="98" customFormat="1" hidden="1"/>
    <row r="42" spans="1:10" s="98" customFormat="1" ht="13.2" hidden="1" thickBot="1">
      <c r="E42" s="98" t="s">
        <v>876</v>
      </c>
      <c r="F42" s="203" t="e">
        <v>#N/A</v>
      </c>
    </row>
    <row r="43" spans="1:10" s="98" customFormat="1" ht="13.2" hidden="1" thickBot="1">
      <c r="E43" s="98" t="s">
        <v>877</v>
      </c>
      <c r="F43" s="204">
        <v>0</v>
      </c>
    </row>
    <row r="44" spans="1:10" s="98" customFormat="1" ht="13.2" hidden="1" thickBot="1">
      <c r="E44" s="98" t="s">
        <v>878</v>
      </c>
      <c r="F44" s="203" t="e">
        <v>#N/A</v>
      </c>
    </row>
    <row r="45" spans="1:10" s="98" customFormat="1" ht="13.2" hidden="1" thickBot="1">
      <c r="E45" s="98" t="s">
        <v>879</v>
      </c>
      <c r="F45" s="203" t="e">
        <v>#N/A</v>
      </c>
    </row>
    <row r="46" spans="1:10" s="98" customFormat="1" hidden="1"/>
    <row r="47" spans="1:10" s="98" customFormat="1"/>
    <row r="48" spans="1:10" s="98" customFormat="1"/>
    <row r="49" s="98" customFormat="1"/>
    <row r="50" s="98" customFormat="1"/>
    <row r="51" s="98" customFormat="1"/>
    <row r="52" s="98" customFormat="1"/>
    <row r="53" s="98" customFormat="1"/>
    <row r="54" s="98" customFormat="1"/>
    <row r="55" s="98" customFormat="1"/>
    <row r="56" s="98" customFormat="1"/>
    <row r="57" s="98" customFormat="1"/>
    <row r="58" s="98" customFormat="1"/>
    <row r="59" s="98" customFormat="1"/>
    <row r="60" s="98" customFormat="1"/>
    <row r="61" s="98" customFormat="1"/>
    <row r="62" s="98" customFormat="1"/>
    <row r="63" s="98" customFormat="1"/>
    <row r="64" s="98" customFormat="1"/>
    <row r="65" s="98" customFormat="1"/>
    <row r="66" s="98" customFormat="1"/>
    <row r="67" s="98" customFormat="1"/>
    <row r="68" s="98" customFormat="1"/>
    <row r="69" s="98" customFormat="1"/>
    <row r="70" s="98" customFormat="1"/>
    <row r="71" s="98" customFormat="1"/>
    <row r="72" s="98" customFormat="1"/>
    <row r="73" s="98" customFormat="1"/>
    <row r="74" s="98" customFormat="1"/>
    <row r="75" s="98" customFormat="1"/>
    <row r="76" s="98" customFormat="1"/>
    <row r="77" s="98" customFormat="1"/>
    <row r="78" s="98" customFormat="1"/>
    <row r="79" s="98" customFormat="1"/>
    <row r="80" s="98" customFormat="1"/>
    <row r="81" s="98" customFormat="1"/>
    <row r="82" s="98" customFormat="1"/>
    <row r="83" s="98" customFormat="1"/>
    <row r="84" s="98" customFormat="1"/>
    <row r="85" s="98" customFormat="1"/>
    <row r="86" s="98" customFormat="1"/>
    <row r="87" s="98" customFormat="1"/>
    <row r="88" s="98" customFormat="1"/>
    <row r="89" s="98" customFormat="1"/>
    <row r="90" s="98" customFormat="1"/>
    <row r="91" s="98" customFormat="1"/>
    <row r="92" s="98" customFormat="1"/>
    <row r="93" s="98" customFormat="1"/>
    <row r="94" s="98" customFormat="1"/>
    <row r="95" s="98" customFormat="1"/>
    <row r="96" s="98" customFormat="1"/>
  </sheetData>
  <mergeCells count="11">
    <mergeCell ref="G37:J37"/>
    <mergeCell ref="G32:J32"/>
    <mergeCell ref="G33:J33"/>
    <mergeCell ref="G34:J34"/>
    <mergeCell ref="G35:J35"/>
    <mergeCell ref="G36:J36"/>
    <mergeCell ref="G31:J31"/>
    <mergeCell ref="A2:J2"/>
    <mergeCell ref="A3:I3"/>
    <mergeCell ref="B30:D30"/>
    <mergeCell ref="G30:J30"/>
  </mergeCells>
  <phoneticPr fontId="15" type="noConversion"/>
  <pageMargins left="0.15748031496062992" right="0.15748031496062992" top="0.39370078740157483" bottom="0.39370078740157483" header="0.51181102362204722" footer="0.51181102362204722"/>
  <pageSetup paperSize="9" scale="7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495f382c0afc26b33a83dd308e474005">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4405653afb356ba84a6a2da272019614"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chool xmlns="09b21f7a-5c23-465e-9456-167c464d9d38" xsi:nil="true"/>
    <Period xmlns="09b21f7a-5c23-465e-9456-167c464d9d38" xsi:nil="true"/>
    <Document xmlns="09b21f7a-5c23-465e-9456-167c464d9d38" xsi:nil="true"/>
  </documentManagement>
</p:properties>
</file>

<file path=customXml/itemProps1.xml><?xml version="1.0" encoding="utf-8"?>
<ds:datastoreItem xmlns:ds="http://schemas.openxmlformats.org/officeDocument/2006/customXml" ds:itemID="{C173B671-D7F3-4B8A-BA40-17F77AA8A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4A5F3-4A88-47B8-825E-E0348BF14FA8}">
  <ds:schemaRefs>
    <ds:schemaRef ds:uri="http://schemas.microsoft.com/sharepoint/v3/contenttype/forms"/>
  </ds:schemaRefs>
</ds:datastoreItem>
</file>

<file path=customXml/itemProps3.xml><?xml version="1.0" encoding="utf-8"?>
<ds:datastoreItem xmlns:ds="http://schemas.openxmlformats.org/officeDocument/2006/customXml" ds:itemID="{EAB539AD-B3F9-4AC3-99A1-6A77FFCFEBB7}">
  <ds:schemaRefs>
    <ds:schemaRef ds:uri="09b21f7a-5c23-465e-9456-167c464d9d38"/>
    <ds:schemaRef ds:uri="http://www.w3.org/XML/1998/namespace"/>
    <ds:schemaRef ds:uri="914b8805-347d-4649-b025-7bc68f6e747d"/>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Sheet1</vt:lpstr>
      <vt:lpstr>EXAMPLE COPY</vt:lpstr>
      <vt:lpstr>Instructions</vt:lpstr>
      <vt:lpstr>a) School Summary</vt:lpstr>
      <vt:lpstr>b) Template</vt:lpstr>
      <vt:lpstr>SBS BvA Report (Table)</vt:lpstr>
      <vt:lpstr>"Alerts"</vt:lpstr>
      <vt:lpstr>SSCT</vt:lpstr>
      <vt:lpstr>'Letter PLEASE READ'!OLE_LINK1</vt:lpstr>
      <vt:lpstr>'"Alerts"'!Print_Area</vt:lpstr>
      <vt:lpstr>'a) School Summary'!Print_Area</vt:lpstr>
      <vt:lpstr>'b) Template'!Print_Area</vt:lpstr>
      <vt:lpstr>'c) IUB reporting March 2024'!Print_Area</vt:lpstr>
      <vt:lpstr>'d) IUB reporting March 2025'!Print_Area</vt:lpstr>
      <vt:lpstr>'EXAMPLE COPY'!Print_Area</vt:lpstr>
    </vt:vector>
  </TitlesOfParts>
  <Manager/>
  <Company>Education Bradford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Janet.taylor</dc:creator>
  <cp:keywords/>
  <dc:description/>
  <cp:lastModifiedBy>Jonty Holden</cp:lastModifiedBy>
  <cp:revision/>
  <cp:lastPrinted>2025-07-08T10:43:24Z</cp:lastPrinted>
  <dcterms:created xsi:type="dcterms:W3CDTF">2005-02-15T13:39:22Z</dcterms:created>
  <dcterms:modified xsi:type="dcterms:W3CDTF">2025-09-29T16:50:08Z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-207755002</vt:i4>
  </property>
  <property fmtid="{D5CDD505-2E9C-101B-9397-08002B2CF9AE}" pid="3" name="_EmailSubject">
    <vt:lpwstr>budget template</vt:lpwstr>
  </property>
  <property fmtid="{D5CDD505-2E9C-101B-9397-08002B2CF9AE}" pid="4" name="_AuthorEmail">
    <vt:lpwstr>Andrew.Redding@bradford.gov.uk</vt:lpwstr>
  </property>
  <property fmtid="{D5CDD505-2E9C-101B-9397-08002B2CF9AE}" pid="5" name="_AuthorEmailDisplayName">
    <vt:lpwstr>Andrew Redding</vt:lpwstr>
  </property>
  <property fmtid="{D5CDD505-2E9C-101B-9397-08002B2CF9AE}" pid="6" name="_ReviewingToolsShownOnce">
    <vt:lpwstr/>
  </property>
  <property fmtid="{D5CDD505-2E9C-101B-9397-08002B2CF9AE}" pid="7" name="ContentTypeId">
    <vt:lpwstr>0x010100F17F14F15A7C6E4E94B433EBEA75847E</vt:lpwstr>
  </property>
  <property fmtid="{D5CDD505-2E9C-101B-9397-08002B2CF9AE}" pid="8" name="MediaServiceImageTags">
    <vt:lpwstr/>
  </property>
  <property fmtid="{D5CDD505-2E9C-101B-9397-08002B2CF9AE}" pid="9" name="Posted0">
    <vt:bool>false</vt:bool>
  </property>
  <property fmtid="{D5CDD505-2E9C-101B-9397-08002B2CF9AE}" pid="10" name="Posted">
    <vt:bool>true</vt:bool>
  </property>
</Properties>
</file>