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cccandpcc.sharepoint.com/sites/CCCFinanceTeam/Shared Documents/CCC Finance Team – Work/Schools/SSCT/2025-26/Approved Budgets 2025-2028/"/>
    </mc:Choice>
  </mc:AlternateContent>
  <xr:revisionPtr revIDLastSave="91" documentId="8_{0C7D6DE3-17D5-469B-8C96-D48B66BC6C4F}" xr6:coauthVersionLast="47" xr6:coauthVersionMax="47" xr10:uidLastSave="{766B35A0-6FB7-438E-8CF9-68B7CD8D1120}"/>
  <workbookProtection workbookAlgorithmName="SHA-512" workbookHashValue="9/6dbHT6VMUCWnOj5jU9WchVj7oIy2weLo5CCmzafiEj48/d+uHnNe0luDdij/DxSlZ0GgXkT4RD5+h8jSsA7A==" workbookSaltValue="M7mRZwGUT1byW1c/ck8suA==" workbookSpinCount="100000" lockStructure="1"/>
  <bookViews>
    <workbookView xWindow="28680" yWindow="-45" windowWidth="38640" windowHeight="15720" tabRatio="748" activeTab="3" xr2:uid="{00000000-000D-0000-FFFF-FFFF00000000}"/>
  </bookViews>
  <sheets>
    <sheet name="Instructions" sheetId="23" r:id="rId1"/>
    <sheet name="Letter PLEASE READ" sheetId="7" r:id="rId2"/>
    <sheet name="a) Governor Authorisation" sheetId="2" state="hidden" r:id="rId3"/>
    <sheet name="b) Budget Template" sheetId="1" r:id="rId4"/>
    <sheet name="Budget Analysis Report (Table)" sheetId="19" r:id="rId5"/>
    <sheet name="Deficit Business Case" sheetId="20" r:id="rId6"/>
    <sheet name="&quot;Alerts&quot;" sheetId="8" r:id="rId7"/>
    <sheet name="Sheet2" sheetId="18" state="veryHidden" r:id="rId8"/>
    <sheet name="Pupil Nos" sheetId="21" state="hidden" r:id="rId9"/>
    <sheet name="c) IUB reporting March 2024" sheetId="13" state="veryHidden" r:id="rId10"/>
    <sheet name="d) IUB reporting March 2025" sheetId="14" state="veryHidden" r:id="rId11"/>
    <sheet name="ICFP" sheetId="16" state="veryHidden" r:id="rId12"/>
    <sheet name="SSCT" sheetId="3" r:id="rId13"/>
    <sheet name="Sheet1" sheetId="22" state="hidden" r:id="rId14"/>
    <sheet name="Data - IUB Limits March 2025" sheetId="15" state="veryHidden" r:id="rId15"/>
    <sheet name="Data - CFR2425" sheetId="12" state="hidden" r:id="rId16"/>
  </sheets>
  <definedNames>
    <definedName name="OLE_LINK1" localSheetId="1">'Letter PLEASE READ'!$B$1</definedName>
    <definedName name="_xlnm.Print_Area" localSheetId="6">'"Alerts"'!$A$1:$H$34</definedName>
    <definedName name="_xlnm.Print_Area" localSheetId="2">'a) Governor Authorisation'!$A$1:$I$55</definedName>
    <definedName name="_xlnm.Print_Area" localSheetId="3">'b) Budget Template'!$A$1:$J$135</definedName>
    <definedName name="_xlnm.Print_Area" localSheetId="4">'Budget Analysis Report (Table)'!$A$1:$I$280</definedName>
    <definedName name="_xlnm.Print_Area" localSheetId="9">'c) IUB reporting March 2024'!$A$1:$J$39</definedName>
    <definedName name="_xlnm.Print_Area" localSheetId="10">'d) IUB reporting March 2025'!$A$1:$J$44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3" i="1" l="1"/>
  <c r="G123" i="1"/>
  <c r="E123" i="1"/>
  <c r="I122" i="1"/>
  <c r="G122" i="1"/>
  <c r="E122" i="1"/>
  <c r="I121" i="1"/>
  <c r="G121" i="1"/>
  <c r="E121" i="1"/>
  <c r="I116" i="1"/>
  <c r="G116" i="1"/>
  <c r="E116" i="1"/>
  <c r="I115" i="1"/>
  <c r="G115" i="1"/>
  <c r="E115" i="1"/>
  <c r="I114" i="1"/>
  <c r="G114" i="1"/>
  <c r="E114" i="1"/>
  <c r="I84" i="1"/>
  <c r="G84" i="1"/>
  <c r="E84" i="1"/>
  <c r="I83" i="1"/>
  <c r="G83" i="1"/>
  <c r="E83" i="1"/>
  <c r="I78" i="1"/>
  <c r="G78" i="1"/>
  <c r="E78" i="1"/>
  <c r="I77" i="1"/>
  <c r="G77" i="1"/>
  <c r="E77" i="1"/>
  <c r="I65" i="1"/>
  <c r="G65" i="1"/>
  <c r="E65" i="1"/>
  <c r="I64" i="1"/>
  <c r="G64" i="1"/>
  <c r="E64" i="1"/>
  <c r="I63" i="1"/>
  <c r="G63" i="1"/>
  <c r="E63" i="1"/>
  <c r="I62" i="1"/>
  <c r="G62" i="1"/>
  <c r="E62" i="1"/>
  <c r="I61" i="1"/>
  <c r="G61" i="1"/>
  <c r="E61" i="1"/>
  <c r="I60" i="1"/>
  <c r="G60" i="1"/>
  <c r="E60" i="1"/>
  <c r="I59" i="1"/>
  <c r="G59" i="1"/>
  <c r="E59" i="1"/>
  <c r="I58" i="1"/>
  <c r="G58" i="1"/>
  <c r="E58" i="1"/>
  <c r="I57" i="1"/>
  <c r="G57" i="1"/>
  <c r="E57" i="1"/>
  <c r="I56" i="1"/>
  <c r="G56" i="1"/>
  <c r="E56" i="1"/>
  <c r="I55" i="1"/>
  <c r="G55" i="1"/>
  <c r="E55" i="1"/>
  <c r="I53" i="1"/>
  <c r="G53" i="1"/>
  <c r="E53" i="1"/>
  <c r="I52" i="1"/>
  <c r="G52" i="1"/>
  <c r="E52" i="1"/>
  <c r="I51" i="1"/>
  <c r="G51" i="1"/>
  <c r="E51" i="1"/>
  <c r="I50" i="1"/>
  <c r="G50" i="1"/>
  <c r="E50" i="1"/>
  <c r="I49" i="1"/>
  <c r="G49" i="1"/>
  <c r="E49" i="1"/>
  <c r="I48" i="1"/>
  <c r="G48" i="1"/>
  <c r="E48" i="1"/>
  <c r="I47" i="1"/>
  <c r="G47" i="1"/>
  <c r="E47" i="1"/>
  <c r="I46" i="1"/>
  <c r="G46" i="1"/>
  <c r="E46" i="1"/>
  <c r="I45" i="1"/>
  <c r="G45" i="1"/>
  <c r="E45" i="1"/>
  <c r="I44" i="1"/>
  <c r="G44" i="1"/>
  <c r="E44" i="1"/>
  <c r="I43" i="1"/>
  <c r="G43" i="1"/>
  <c r="E43" i="1"/>
  <c r="I42" i="1"/>
  <c r="G42" i="1"/>
  <c r="E42" i="1"/>
  <c r="I41" i="1"/>
  <c r="G41" i="1"/>
  <c r="E41" i="1"/>
  <c r="I40" i="1"/>
  <c r="G40" i="1"/>
  <c r="E40" i="1"/>
  <c r="I39" i="1"/>
  <c r="G39" i="1"/>
  <c r="E39" i="1"/>
  <c r="I38" i="1"/>
  <c r="G38" i="1"/>
  <c r="E38" i="1"/>
  <c r="I37" i="1"/>
  <c r="G37" i="1"/>
  <c r="E37" i="1"/>
  <c r="I36" i="1"/>
  <c r="G36" i="1"/>
  <c r="E36" i="1"/>
  <c r="I35" i="1"/>
  <c r="G35" i="1"/>
  <c r="E35" i="1"/>
  <c r="I30" i="1"/>
  <c r="G30" i="1"/>
  <c r="E30" i="1"/>
  <c r="I29" i="1"/>
  <c r="G29" i="1"/>
  <c r="E29" i="1"/>
  <c r="I28" i="1"/>
  <c r="G28" i="1"/>
  <c r="E28" i="1"/>
  <c r="I27" i="1"/>
  <c r="G27" i="1"/>
  <c r="E27" i="1"/>
  <c r="I26" i="1"/>
  <c r="G26" i="1"/>
  <c r="E26" i="1"/>
  <c r="I25" i="1"/>
  <c r="I31" i="1" s="1"/>
  <c r="G25" i="1"/>
  <c r="E25" i="1"/>
  <c r="E31" i="1" s="1"/>
  <c r="I24" i="1"/>
  <c r="G24" i="1"/>
  <c r="E24" i="1"/>
  <c r="I23" i="1"/>
  <c r="G23" i="1"/>
  <c r="E23" i="1"/>
  <c r="I22" i="1"/>
  <c r="G22" i="1"/>
  <c r="E22" i="1"/>
  <c r="I21" i="1"/>
  <c r="G21" i="1"/>
  <c r="E21" i="1"/>
  <c r="I20" i="1"/>
  <c r="G20" i="1"/>
  <c r="E20" i="1"/>
  <c r="I19" i="1"/>
  <c r="G19" i="1"/>
  <c r="E19" i="1"/>
  <c r="I18" i="1"/>
  <c r="G18" i="1"/>
  <c r="E18" i="1"/>
  <c r="I17" i="1"/>
  <c r="G17" i="1"/>
  <c r="E17" i="1"/>
  <c r="I16" i="1"/>
  <c r="G16" i="1"/>
  <c r="E16" i="1"/>
  <c r="I15" i="1"/>
  <c r="G15" i="1"/>
  <c r="E15" i="1"/>
  <c r="I14" i="1"/>
  <c r="G14" i="1"/>
  <c r="E14" i="1"/>
  <c r="I13" i="1"/>
  <c r="G13" i="1"/>
  <c r="E13" i="1"/>
  <c r="I12" i="1"/>
  <c r="G12" i="1"/>
  <c r="E12" i="1"/>
  <c r="I124" i="1"/>
  <c r="G124" i="1"/>
  <c r="I3" i="1"/>
  <c r="C71" i="1"/>
  <c r="C90" i="1"/>
  <c r="I54" i="1"/>
  <c r="G54" i="1"/>
  <c r="E124" i="1"/>
  <c r="E54" i="1"/>
  <c r="BI5" i="12"/>
  <c r="BW5" i="12"/>
  <c r="BI6" i="12"/>
  <c r="BS6" i="12"/>
  <c r="BW6" i="12"/>
  <c r="CB6" i="12"/>
  <c r="BS7" i="12"/>
  <c r="BW7" i="12"/>
  <c r="BI8" i="12"/>
  <c r="BS8" i="12"/>
  <c r="BW8" i="12"/>
  <c r="CB8" i="12"/>
  <c r="BS9" i="12"/>
  <c r="BW9" i="12"/>
  <c r="BI10" i="12"/>
  <c r="BS10" i="12"/>
  <c r="BW10" i="12"/>
  <c r="CB10" i="12"/>
  <c r="BS11" i="12"/>
  <c r="BW11" i="12"/>
  <c r="BI12" i="12"/>
  <c r="BS12" i="12"/>
  <c r="BW12" i="12"/>
  <c r="CB12" i="12"/>
  <c r="BS13" i="12"/>
  <c r="BW13" i="12"/>
  <c r="BI14" i="12"/>
  <c r="BI15" i="12"/>
  <c r="BS15" i="12"/>
  <c r="BW15" i="12"/>
  <c r="BS16" i="12"/>
  <c r="BI17" i="12"/>
  <c r="BL18" i="12"/>
  <c r="BW18" i="12"/>
  <c r="BL19" i="12"/>
  <c r="CB19" i="12"/>
  <c r="BW20" i="12"/>
  <c r="BL21" i="12"/>
  <c r="CB21" i="12"/>
  <c r="BI23" i="12"/>
  <c r="BS23" i="12"/>
  <c r="BI24" i="12"/>
  <c r="BS24" i="12"/>
  <c r="BW24" i="12"/>
  <c r="BS26" i="12"/>
  <c r="BW26" i="12"/>
  <c r="BI27" i="12"/>
  <c r="BI28" i="12"/>
  <c r="BW28" i="12"/>
  <c r="BI29" i="12"/>
  <c r="BW29" i="12"/>
  <c r="BC30" i="12"/>
  <c r="BI30" i="12"/>
  <c r="BL30" i="12"/>
  <c r="BS30" i="12"/>
  <c r="BI31" i="12"/>
  <c r="BL31" i="12"/>
  <c r="BW31" i="12"/>
  <c r="BI32" i="12"/>
  <c r="BL32" i="12"/>
  <c r="BS32" i="12"/>
  <c r="CB32" i="12"/>
  <c r="BI33" i="12"/>
  <c r="BL33" i="12"/>
  <c r="BL34" i="12"/>
  <c r="BS34" i="12"/>
  <c r="BI35" i="12"/>
  <c r="BL35" i="12"/>
  <c r="BM35" i="12"/>
  <c r="BO35" i="12"/>
  <c r="BS35" i="12"/>
  <c r="BW35" i="12"/>
  <c r="BI36" i="12"/>
  <c r="BM36" i="12"/>
  <c r="BO36" i="12"/>
  <c r="BL36" i="12"/>
  <c r="BS36" i="12"/>
  <c r="CB36" i="12"/>
  <c r="BI37" i="12"/>
  <c r="BS37" i="12"/>
  <c r="BI38" i="12"/>
  <c r="BL39" i="12"/>
  <c r="BS39" i="12"/>
  <c r="BW39" i="12"/>
  <c r="CC39" i="12"/>
  <c r="CE39" i="12"/>
  <c r="CB39" i="12"/>
  <c r="BI40" i="12"/>
  <c r="BM40" i="12"/>
  <c r="BO40" i="12"/>
  <c r="BL40" i="12"/>
  <c r="BS40" i="12"/>
  <c r="BI41" i="12"/>
  <c r="BM41" i="12"/>
  <c r="BO41" i="12"/>
  <c r="BL41" i="12"/>
  <c r="BS41" i="12"/>
  <c r="BS42" i="12"/>
  <c r="BI43" i="12"/>
  <c r="BS43" i="12"/>
  <c r="BW43" i="12"/>
  <c r="CC43" i="12"/>
  <c r="CE43" i="12"/>
  <c r="CB43" i="12"/>
  <c r="BC44" i="12"/>
  <c r="BS44" i="12"/>
  <c r="BW44" i="12"/>
  <c r="BI45" i="12"/>
  <c r="BL46" i="12"/>
  <c r="BS46" i="12"/>
  <c r="BW46" i="12"/>
  <c r="CC46" i="12"/>
  <c r="CE46" i="12"/>
  <c r="CB46" i="12"/>
  <c r="BI47" i="12"/>
  <c r="BL47" i="12"/>
  <c r="BM47" i="12"/>
  <c r="BO47" i="12"/>
  <c r="BS47" i="12"/>
  <c r="BW47" i="12"/>
  <c r="BL48" i="12"/>
  <c r="BC49" i="12"/>
  <c r="BI50" i="12"/>
  <c r="BM50" i="12"/>
  <c r="BL50" i="12"/>
  <c r="BS50" i="12"/>
  <c r="BW51" i="12"/>
  <c r="BL52" i="12"/>
  <c r="BW52" i="12"/>
  <c r="BL53" i="12"/>
  <c r="BW53" i="12"/>
  <c r="BL54" i="12"/>
  <c r="CB54" i="12"/>
  <c r="BI55" i="12"/>
  <c r="BW55" i="12"/>
  <c r="BI56" i="12"/>
  <c r="BM56" i="12"/>
  <c r="BO56" i="12"/>
  <c r="BL56" i="12"/>
  <c r="BS56" i="12"/>
  <c r="BW56" i="12"/>
  <c r="BI57" i="12"/>
  <c r="BL57" i="12"/>
  <c r="BS57" i="12"/>
  <c r="BW57" i="12"/>
  <c r="BI58" i="12"/>
  <c r="BM58" i="12"/>
  <c r="BO58" i="12"/>
  <c r="BL58" i="12"/>
  <c r="BW58" i="12"/>
  <c r="BI59" i="12"/>
  <c r="BM59" i="12"/>
  <c r="BO59" i="12"/>
  <c r="BL59" i="12"/>
  <c r="BW59" i="12"/>
  <c r="BI60" i="12"/>
  <c r="BW60" i="12"/>
  <c r="BI61" i="12"/>
  <c r="BW61" i="12"/>
  <c r="CB61" i="12"/>
  <c r="BI62" i="12"/>
  <c r="BL62" i="12"/>
  <c r="CB62" i="12"/>
  <c r="BI63" i="12"/>
  <c r="BW63" i="12"/>
  <c r="BI64" i="12"/>
  <c r="BM64" i="12"/>
  <c r="BO64" i="12"/>
  <c r="BL64" i="12"/>
  <c r="BS64" i="12"/>
  <c r="BW64" i="12"/>
  <c r="CB64" i="12"/>
  <c r="BI65" i="12"/>
  <c r="BL65" i="12"/>
  <c r="BS65" i="12"/>
  <c r="BW65" i="12"/>
  <c r="BI66" i="12"/>
  <c r="BM66" i="12"/>
  <c r="BO66" i="12"/>
  <c r="BL66" i="12"/>
  <c r="BW66" i="12"/>
  <c r="BL67" i="12"/>
  <c r="BI68" i="12"/>
  <c r="BL68" i="12"/>
  <c r="BW68" i="12"/>
  <c r="BL69" i="12"/>
  <c r="BI70" i="12"/>
  <c r="BW70" i="12"/>
  <c r="BI71" i="12"/>
  <c r="BW71" i="12"/>
  <c r="W72" i="12"/>
  <c r="BI72" i="12"/>
  <c r="BM72" i="12"/>
  <c r="BL72" i="12"/>
  <c r="BO72" i="12"/>
  <c r="BW72" i="12"/>
  <c r="BW73" i="12"/>
  <c r="BI74" i="12"/>
  <c r="BM74" i="12"/>
  <c r="BO74" i="12"/>
  <c r="BL74" i="12"/>
  <c r="BW74" i="12"/>
  <c r="BI75" i="12"/>
  <c r="BM75" i="12"/>
  <c r="BL75" i="12"/>
  <c r="BS75" i="12"/>
  <c r="CB75" i="12"/>
  <c r="BI76" i="12"/>
  <c r="BL76" i="12"/>
  <c r="BS76" i="12"/>
  <c r="BW76" i="12"/>
  <c r="BI77" i="12"/>
  <c r="BS77" i="12"/>
  <c r="CB77" i="12"/>
  <c r="BI78" i="12"/>
  <c r="BL78" i="12"/>
  <c r="BS78" i="12"/>
  <c r="BW78" i="12"/>
  <c r="BI79" i="12"/>
  <c r="BM79" i="12"/>
  <c r="BL79" i="12"/>
  <c r="BS79" i="12"/>
  <c r="CB79" i="12"/>
  <c r="BI80" i="12"/>
  <c r="BS80" i="12"/>
  <c r="BW80" i="12"/>
  <c r="BI81" i="12"/>
  <c r="BS81" i="12"/>
  <c r="CB81" i="12"/>
  <c r="BI82" i="12"/>
  <c r="BS82" i="12"/>
  <c r="BW82" i="12"/>
  <c r="BI83" i="12"/>
  <c r="BS83" i="12"/>
  <c r="CB83" i="12"/>
  <c r="BI84" i="12"/>
  <c r="BS84" i="12"/>
  <c r="BW84" i="12"/>
  <c r="BI85" i="12"/>
  <c r="BS85" i="12"/>
  <c r="CB85" i="12"/>
  <c r="BS86" i="12"/>
  <c r="BL88" i="12"/>
  <c r="BS88" i="12"/>
  <c r="BL89" i="12"/>
  <c r="BS90" i="12"/>
  <c r="BW90" i="12"/>
  <c r="BS91" i="12"/>
  <c r="BI92" i="12"/>
  <c r="BL92" i="12"/>
  <c r="BS92" i="12"/>
  <c r="BS93" i="12"/>
  <c r="W94" i="12"/>
  <c r="BI94" i="12"/>
  <c r="BS94" i="12"/>
  <c r="BI95" i="12"/>
  <c r="BS95" i="12"/>
  <c r="BW95" i="12"/>
  <c r="BW96" i="12"/>
  <c r="BS97" i="12"/>
  <c r="BW97" i="12"/>
  <c r="BS98" i="12"/>
  <c r="BI99" i="12"/>
  <c r="BL99" i="12"/>
  <c r="BS99" i="12"/>
  <c r="BW99" i="12"/>
  <c r="BI100" i="12"/>
  <c r="BW100" i="12"/>
  <c r="BI101" i="12"/>
  <c r="BL101" i="12"/>
  <c r="BS101" i="12"/>
  <c r="BW101" i="12"/>
  <c r="BI102" i="12"/>
  <c r="BW102" i="12"/>
  <c r="CC102" i="12"/>
  <c r="CE102" i="12"/>
  <c r="CB102" i="12"/>
  <c r="BL103" i="12"/>
  <c r="BS103" i="12"/>
  <c r="BW103" i="12"/>
  <c r="BI104" i="12"/>
  <c r="BW104" i="12"/>
  <c r="BL105" i="12"/>
  <c r="BW105" i="12"/>
  <c r="BW106" i="12"/>
  <c r="BW107" i="12"/>
  <c r="BS108" i="12"/>
  <c r="BW108" i="12"/>
  <c r="BW109" i="12"/>
  <c r="BS110" i="12"/>
  <c r="BW110" i="12"/>
  <c r="BW111" i="12"/>
  <c r="BS112" i="12"/>
  <c r="BW112" i="12"/>
  <c r="BW113" i="12"/>
  <c r="BS114" i="12"/>
  <c r="BW114" i="12"/>
  <c r="BW115" i="12"/>
  <c r="BS116" i="12"/>
  <c r="BW116" i="12"/>
  <c r="BW117" i="12"/>
  <c r="BS118" i="12"/>
  <c r="BW118" i="12"/>
  <c r="BI119" i="12"/>
  <c r="BW119" i="12"/>
  <c r="BI120" i="12"/>
  <c r="BS120" i="12"/>
  <c r="BW120" i="12"/>
  <c r="BI121" i="12"/>
  <c r="BL121" i="12"/>
  <c r="BW121" i="12"/>
  <c r="BI122" i="12"/>
  <c r="BW122" i="12"/>
  <c r="BI123" i="12"/>
  <c r="BL123" i="12"/>
  <c r="BS123" i="12"/>
  <c r="BW123" i="12"/>
  <c r="BW124" i="12"/>
  <c r="BI125" i="12"/>
  <c r="BM125" i="12"/>
  <c r="BL125" i="12"/>
  <c r="BS125" i="12"/>
  <c r="BO125" i="12"/>
  <c r="W122" i="12"/>
  <c r="BC118" i="12"/>
  <c r="BS117" i="12"/>
  <c r="BW125" i="12"/>
  <c r="CC125" i="12"/>
  <c r="CE125" i="12"/>
  <c r="BI124" i="12"/>
  <c r="BM124" i="12"/>
  <c r="BO124" i="12"/>
  <c r="W124" i="12"/>
  <c r="BD124" i="12"/>
  <c r="BF124" i="12"/>
  <c r="BC123" i="12"/>
  <c r="BS122" i="12"/>
  <c r="BC122" i="12"/>
  <c r="CB120" i="12"/>
  <c r="BL118" i="12"/>
  <c r="BL116" i="12"/>
  <c r="BL114" i="12"/>
  <c r="BL112" i="12"/>
  <c r="W111" i="12"/>
  <c r="BL110" i="12"/>
  <c r="W109" i="12"/>
  <c r="BL108" i="12"/>
  <c r="W107" i="12"/>
  <c r="BL106" i="12"/>
  <c r="BM106" i="12"/>
  <c r="BO106" i="12"/>
  <c r="BL104" i="12"/>
  <c r="BM104" i="12"/>
  <c r="BO104" i="12"/>
  <c r="BS38" i="12"/>
  <c r="BS33" i="12"/>
  <c r="W31" i="12"/>
  <c r="BD31" i="12"/>
  <c r="BM30" i="12"/>
  <c r="BO30" i="12"/>
  <c r="W86" i="12"/>
  <c r="BS124" i="12"/>
  <c r="W119" i="12"/>
  <c r="BI118" i="12"/>
  <c r="BM118" i="12"/>
  <c r="BO118" i="12"/>
  <c r="BI116" i="12"/>
  <c r="BM116" i="12"/>
  <c r="BO116" i="12"/>
  <c r="BI114" i="12"/>
  <c r="BI112" i="12"/>
  <c r="BI110" i="12"/>
  <c r="BI108" i="12"/>
  <c r="BI106" i="12"/>
  <c r="BS87" i="12"/>
  <c r="BC86" i="12"/>
  <c r="BD86" i="12"/>
  <c r="BF86" i="12"/>
  <c r="BC54" i="12"/>
  <c r="BM39" i="12"/>
  <c r="BO39" i="12"/>
  <c r="BM123" i="12"/>
  <c r="BS106" i="12"/>
  <c r="BS104" i="12"/>
  <c r="BS102" i="12"/>
  <c r="BC94" i="12"/>
  <c r="BD94" i="12"/>
  <c r="BF94" i="12"/>
  <c r="BC56" i="12"/>
  <c r="BW48" i="12"/>
  <c r="W30" i="12"/>
  <c r="BM121" i="12"/>
  <c r="BO121" i="12"/>
  <c r="W120" i="12"/>
  <c r="CB125" i="12"/>
  <c r="W121" i="12"/>
  <c r="BD121" i="12"/>
  <c r="BF121" i="12"/>
  <c r="BL115" i="12"/>
  <c r="BL113" i="12"/>
  <c r="BL111" i="12"/>
  <c r="W110" i="12"/>
  <c r="BL109" i="12"/>
  <c r="W108" i="12"/>
  <c r="BL107" i="12"/>
  <c r="W106" i="12"/>
  <c r="BD106" i="12"/>
  <c r="BF106" i="12"/>
  <c r="W104" i="12"/>
  <c r="W102" i="12"/>
  <c r="BD102" i="12"/>
  <c r="BF102" i="12"/>
  <c r="BS89" i="12"/>
  <c r="BC72" i="12"/>
  <c r="BW67" i="12"/>
  <c r="BW62" i="12"/>
  <c r="CC62" i="12"/>
  <c r="CE62" i="12"/>
  <c r="W44" i="12"/>
  <c r="BD44" i="12"/>
  <c r="BF44" i="12"/>
  <c r="W46" i="12"/>
  <c r="W43" i="12"/>
  <c r="W125" i="12"/>
  <c r="BD125" i="12"/>
  <c r="BL117" i="12"/>
  <c r="BC125" i="12"/>
  <c r="W123" i="12"/>
  <c r="BL122" i="12"/>
  <c r="BM122" i="12"/>
  <c r="BO122" i="12"/>
  <c r="CC78" i="12"/>
  <c r="CE78" i="12"/>
  <c r="W78" i="12"/>
  <c r="BD78" i="12"/>
  <c r="BF78" i="12"/>
  <c r="CC64" i="12"/>
  <c r="CE64" i="12"/>
  <c r="W54" i="12"/>
  <c r="W49" i="12"/>
  <c r="BC43" i="12"/>
  <c r="BM100" i="12"/>
  <c r="BO100" i="12"/>
  <c r="BC119" i="12"/>
  <c r="BD119" i="12"/>
  <c r="BF119" i="12"/>
  <c r="BS121" i="12"/>
  <c r="BC121" i="12"/>
  <c r="BL124" i="12"/>
  <c r="BC124" i="12"/>
  <c r="BC120" i="12"/>
  <c r="BS119" i="12"/>
  <c r="CC90" i="12"/>
  <c r="CE90" i="12"/>
  <c r="W80" i="12"/>
  <c r="BD80" i="12"/>
  <c r="BF80" i="12"/>
  <c r="BS74" i="12"/>
  <c r="BW69" i="12"/>
  <c r="BS53" i="12"/>
  <c r="W42" i="12"/>
  <c r="BM18" i="12"/>
  <c r="CB115" i="12"/>
  <c r="BS115" i="12"/>
  <c r="BS113" i="12"/>
  <c r="BS111" i="12"/>
  <c r="BS109" i="12"/>
  <c r="BC108" i="12"/>
  <c r="BS107" i="12"/>
  <c r="BC106" i="12"/>
  <c r="BS105" i="12"/>
  <c r="BC104" i="12"/>
  <c r="BS45" i="12"/>
  <c r="BC42" i="12"/>
  <c r="BD42" i="12"/>
  <c r="BF42" i="12"/>
  <c r="CC20" i="12"/>
  <c r="CE20" i="12"/>
  <c r="BS100" i="12"/>
  <c r="BL90" i="12"/>
  <c r="BC90" i="12"/>
  <c r="W74" i="12"/>
  <c r="BS72" i="12"/>
  <c r="W70" i="12"/>
  <c r="BD70" i="12"/>
  <c r="BF70" i="12"/>
  <c r="W68" i="12"/>
  <c r="W63" i="12"/>
  <c r="BS61" i="12"/>
  <c r="BC61" i="12"/>
  <c r="CB58" i="12"/>
  <c r="W55" i="12"/>
  <c r="BW54" i="12"/>
  <c r="CC54" i="12"/>
  <c r="CE54" i="12"/>
  <c r="CB53" i="12"/>
  <c r="CC53" i="12"/>
  <c r="CE53" i="12"/>
  <c r="CB45" i="12"/>
  <c r="BW42" i="12"/>
  <c r="CB38" i="12"/>
  <c r="BW34" i="12"/>
  <c r="CB33" i="12"/>
  <c r="W33" i="12"/>
  <c r="BW32" i="12"/>
  <c r="BW30" i="12"/>
  <c r="BS28" i="12"/>
  <c r="BW27" i="12"/>
  <c r="BW25" i="12"/>
  <c r="BC25" i="12"/>
  <c r="BS21" i="12"/>
  <c r="BI21" i="12"/>
  <c r="BM21" i="12"/>
  <c r="BO21" i="12"/>
  <c r="BS19" i="12"/>
  <c r="BI19" i="12"/>
  <c r="BM19" i="12"/>
  <c r="CB17" i="12"/>
  <c r="BL16" i="12"/>
  <c r="W16" i="12"/>
  <c r="CB100" i="12"/>
  <c r="W96" i="12"/>
  <c r="CB92" i="12"/>
  <c r="BW91" i="12"/>
  <c r="W91" i="12"/>
  <c r="BD91" i="12"/>
  <c r="BF91" i="12"/>
  <c r="CB90" i="12"/>
  <c r="BI90" i="12"/>
  <c r="BI88" i="12"/>
  <c r="BM88" i="12"/>
  <c r="BO88" i="12"/>
  <c r="BI86" i="12"/>
  <c r="BM86" i="12"/>
  <c r="BO86" i="12"/>
  <c r="BL84" i="12"/>
  <c r="BM84" i="12"/>
  <c r="BO84" i="12"/>
  <c r="BL82" i="12"/>
  <c r="BM82" i="12"/>
  <c r="BO82" i="12"/>
  <c r="BL80" i="12"/>
  <c r="BC80" i="12"/>
  <c r="BC78" i="12"/>
  <c r="BC76" i="12"/>
  <c r="BI69" i="12"/>
  <c r="BM69" i="12"/>
  <c r="BO69" i="12"/>
  <c r="BI67" i="12"/>
  <c r="BM67" i="12"/>
  <c r="BO67" i="12"/>
  <c r="BL60" i="12"/>
  <c r="BM60" i="12"/>
  <c r="BO60" i="12"/>
  <c r="BS59" i="12"/>
  <c r="CB56" i="12"/>
  <c r="CC56" i="12"/>
  <c r="CE56" i="12"/>
  <c r="BS54" i="12"/>
  <c r="BI52" i="12"/>
  <c r="CB50" i="12"/>
  <c r="BI42" i="12"/>
  <c r="CB41" i="12"/>
  <c r="BW37" i="12"/>
  <c r="BL37" i="12"/>
  <c r="BM37" i="12"/>
  <c r="BO37" i="12"/>
  <c r="BI34" i="12"/>
  <c r="BM34" i="12"/>
  <c r="BO34" i="12"/>
  <c r="BI25" i="12"/>
  <c r="BL22" i="12"/>
  <c r="BL20" i="12"/>
  <c r="BI16" i="12"/>
  <c r="BM16" i="12"/>
  <c r="BO16" i="12"/>
  <c r="CE14" i="12"/>
  <c r="BL5" i="12"/>
  <c r="W5" i="12"/>
  <c r="BI117" i="12"/>
  <c r="BM117" i="12"/>
  <c r="BO117" i="12"/>
  <c r="BI115" i="12"/>
  <c r="BM115" i="12"/>
  <c r="BO115" i="12"/>
  <c r="BI113" i="12"/>
  <c r="BM113" i="12"/>
  <c r="BO113" i="12"/>
  <c r="BI111" i="12"/>
  <c r="BM111" i="12"/>
  <c r="BO111" i="12"/>
  <c r="BI109" i="12"/>
  <c r="BM109" i="12"/>
  <c r="BO109" i="12"/>
  <c r="BI107" i="12"/>
  <c r="BI105" i="12"/>
  <c r="BM105" i="12"/>
  <c r="BO105" i="12"/>
  <c r="BI103" i="12"/>
  <c r="BM103" i="12"/>
  <c r="BO103" i="12"/>
  <c r="BC103" i="12"/>
  <c r="BI97" i="12"/>
  <c r="BW93" i="12"/>
  <c r="BC91" i="12"/>
  <c r="BW89" i="12"/>
  <c r="CB88" i="12"/>
  <c r="BW87" i="12"/>
  <c r="W87" i="12"/>
  <c r="BD87" i="12"/>
  <c r="BF87" i="12"/>
  <c r="CB86" i="12"/>
  <c r="BI73" i="12"/>
  <c r="BL70" i="12"/>
  <c r="BM70" i="12"/>
  <c r="BO70" i="12"/>
  <c r="BS69" i="12"/>
  <c r="BS67" i="12"/>
  <c r="BL63" i="12"/>
  <c r="BS62" i="12"/>
  <c r="CB59" i="12"/>
  <c r="CC59" i="12"/>
  <c r="CE59" i="12"/>
  <c r="BL55" i="12"/>
  <c r="BW49" i="12"/>
  <c r="BI46" i="12"/>
  <c r="BM46" i="12"/>
  <c r="BO46" i="12"/>
  <c r="CB42" i="12"/>
  <c r="BW40" i="12"/>
  <c r="BI39" i="12"/>
  <c r="CB34" i="12"/>
  <c r="CC34" i="12"/>
  <c r="CE34" i="12"/>
  <c r="CB30" i="12"/>
  <c r="BS29" i="12"/>
  <c r="BS27" i="12"/>
  <c r="BF25" i="12"/>
  <c r="W25" i="12"/>
  <c r="BD25" i="12"/>
  <c r="BL24" i="12"/>
  <c r="CB23" i="12"/>
  <c r="BW22" i="12"/>
  <c r="BO19" i="12"/>
  <c r="BI18" i="12"/>
  <c r="CB16" i="12"/>
  <c r="CB14" i="12"/>
  <c r="BS14" i="12"/>
  <c r="BL13" i="12"/>
  <c r="BM13" i="12"/>
  <c r="BO13" i="12"/>
  <c r="BL11" i="12"/>
  <c r="BL9" i="12"/>
  <c r="BL7" i="12"/>
  <c r="BM7" i="12"/>
  <c r="BO7" i="12"/>
  <c r="CB95" i="12"/>
  <c r="BC87" i="12"/>
  <c r="BM80" i="12"/>
  <c r="BO80" i="12"/>
  <c r="BO75" i="12"/>
  <c r="W75" i="12"/>
  <c r="BD75" i="12"/>
  <c r="BF75" i="12"/>
  <c r="BC74" i="12"/>
  <c r="W69" i="12"/>
  <c r="W67" i="12"/>
  <c r="BM63" i="12"/>
  <c r="BO63" i="12"/>
  <c r="W59" i="12"/>
  <c r="BM55" i="12"/>
  <c r="BO55" i="12"/>
  <c r="BC51" i="12"/>
  <c r="W50" i="12"/>
  <c r="BI22" i="12"/>
  <c r="BM22" i="12"/>
  <c r="BO22" i="12"/>
  <c r="BI20" i="12"/>
  <c r="BS18" i="12"/>
  <c r="BL17" i="12"/>
  <c r="BL15" i="12"/>
  <c r="W15" i="12"/>
  <c r="BC11" i="12"/>
  <c r="BC9" i="12"/>
  <c r="BC7" i="12"/>
  <c r="BM5" i="12"/>
  <c r="BO5" i="12"/>
  <c r="CB103" i="12"/>
  <c r="CC103" i="12"/>
  <c r="CE103" i="12"/>
  <c r="BL102" i="12"/>
  <c r="BM102" i="12"/>
  <c r="BO102" i="12"/>
  <c r="CB101" i="12"/>
  <c r="BL100" i="12"/>
  <c r="BW98" i="12"/>
  <c r="BL98" i="12"/>
  <c r="W97" i="12"/>
  <c r="BL96" i="12"/>
  <c r="BC96" i="12"/>
  <c r="BI93" i="12"/>
  <c r="W92" i="12"/>
  <c r="BI91" i="12"/>
  <c r="BW85" i="12"/>
  <c r="CC85" i="12"/>
  <c r="CB84" i="12"/>
  <c r="BW83" i="12"/>
  <c r="CB82" i="12"/>
  <c r="CC82" i="12"/>
  <c r="CE82" i="12"/>
  <c r="BW81" i="12"/>
  <c r="CC81" i="12"/>
  <c r="CE81" i="12"/>
  <c r="W81" i="12"/>
  <c r="CB80" i="12"/>
  <c r="CC80" i="12"/>
  <c r="CE80" i="12"/>
  <c r="BW79" i="12"/>
  <c r="W79" i="12"/>
  <c r="CB78" i="12"/>
  <c r="BW77" i="12"/>
  <c r="BL77" i="12"/>
  <c r="W77" i="12"/>
  <c r="BD77" i="12"/>
  <c r="BF77" i="12"/>
  <c r="CB76" i="12"/>
  <c r="CC76" i="12"/>
  <c r="CE76" i="12"/>
  <c r="W76" i="12"/>
  <c r="BD76" i="12"/>
  <c r="BF76" i="12"/>
  <c r="BW75" i="12"/>
  <c r="CC75" i="12"/>
  <c r="BC75" i="12"/>
  <c r="BS73" i="12"/>
  <c r="W73" i="12"/>
  <c r="BL71" i="12"/>
  <c r="BM71" i="12"/>
  <c r="BO71" i="12"/>
  <c r="CB70" i="12"/>
  <c r="BS70" i="12"/>
  <c r="W62" i="12"/>
  <c r="BL61" i="12"/>
  <c r="BS60" i="12"/>
  <c r="BC60" i="12"/>
  <c r="CB57" i="12"/>
  <c r="W52" i="12"/>
  <c r="BO50" i="12"/>
  <c r="BS49" i="12"/>
  <c r="BS48" i="12"/>
  <c r="BW45" i="12"/>
  <c r="BL45" i="12"/>
  <c r="CB44" i="12"/>
  <c r="CC44" i="12"/>
  <c r="CE44" i="12"/>
  <c r="BI44" i="12"/>
  <c r="BW38" i="12"/>
  <c r="CC38" i="12"/>
  <c r="CE38" i="12"/>
  <c r="BL38" i="12"/>
  <c r="BM38" i="12"/>
  <c r="BO38" i="12"/>
  <c r="CB37" i="12"/>
  <c r="BW33" i="12"/>
  <c r="CC33" i="12"/>
  <c r="CE33" i="12"/>
  <c r="BC33" i="12"/>
  <c r="BC31" i="12"/>
  <c r="BL26" i="12"/>
  <c r="BS25" i="12"/>
  <c r="BM24" i="12"/>
  <c r="BO24" i="12"/>
  <c r="BS22" i="12"/>
  <c r="BW21" i="12"/>
  <c r="CC21" i="12"/>
  <c r="CE21" i="12"/>
  <c r="CB20" i="12"/>
  <c r="BS20" i="12"/>
  <c r="BW19" i="12"/>
  <c r="CC19" i="12"/>
  <c r="CB18" i="12"/>
  <c r="CC18" i="12"/>
  <c r="CE18" i="12"/>
  <c r="BI13" i="12"/>
  <c r="BI11" i="12"/>
  <c r="BI9" i="12"/>
  <c r="BI7" i="12"/>
  <c r="BS5" i="12"/>
  <c r="W101" i="12"/>
  <c r="CB99" i="12"/>
  <c r="CC99" i="12"/>
  <c r="CE99" i="12"/>
  <c r="W99" i="12"/>
  <c r="BI96" i="12"/>
  <c r="BW94" i="12"/>
  <c r="BW92" i="12"/>
  <c r="BC92" i="12"/>
  <c r="CB91" i="12"/>
  <c r="BI89" i="12"/>
  <c r="BM89" i="12"/>
  <c r="BO89" i="12"/>
  <c r="W88" i="12"/>
  <c r="BD88" i="12"/>
  <c r="BF88" i="12"/>
  <c r="BI87" i="12"/>
  <c r="BL85" i="12"/>
  <c r="BL83" i="12"/>
  <c r="BM83" i="12"/>
  <c r="BO83" i="12"/>
  <c r="BL81" i="12"/>
  <c r="BC79" i="12"/>
  <c r="BC77" i="12"/>
  <c r="CB74" i="12"/>
  <c r="CC74" i="12"/>
  <c r="CE74" i="12"/>
  <c r="BC73" i="12"/>
  <c r="BC64" i="12"/>
  <c r="BS63" i="12"/>
  <c r="CB60" i="12"/>
  <c r="BS55" i="12"/>
  <c r="BS51" i="12"/>
  <c r="BW50" i="12"/>
  <c r="CC50" i="12"/>
  <c r="CE50" i="12"/>
  <c r="W48" i="12"/>
  <c r="CB40" i="12"/>
  <c r="BW36" i="12"/>
  <c r="CC36" i="12"/>
  <c r="CE36" i="12"/>
  <c r="BM31" i="12"/>
  <c r="W27" i="12"/>
  <c r="BI26" i="12"/>
  <c r="BM26" i="12"/>
  <c r="BO26" i="12"/>
  <c r="BC26" i="12"/>
  <c r="CB22" i="12"/>
  <c r="BM17" i="12"/>
  <c r="BO17" i="12"/>
  <c r="BM15" i="12"/>
  <c r="BO15" i="12"/>
  <c r="CB13" i="12"/>
  <c r="CC13" i="12"/>
  <c r="CE13" i="12"/>
  <c r="CB11" i="12"/>
  <c r="CC10" i="12"/>
  <c r="CB9" i="12"/>
  <c r="CC8" i="12"/>
  <c r="CB7" i="12"/>
  <c r="CC7" i="12"/>
  <c r="CE7" i="12"/>
  <c r="CB5" i="12"/>
  <c r="CC5" i="12"/>
  <c r="CE5" i="12"/>
  <c r="W90" i="12"/>
  <c r="BD90" i="12"/>
  <c r="BF90" i="12"/>
  <c r="CB89" i="12"/>
  <c r="BW88" i="12"/>
  <c r="CC88" i="12"/>
  <c r="CE88" i="12"/>
  <c r="BC88" i="12"/>
  <c r="CB87" i="12"/>
  <c r="BW86" i="12"/>
  <c r="BC69" i="12"/>
  <c r="BD69" i="12"/>
  <c r="BF69" i="12"/>
  <c r="BS68" i="12"/>
  <c r="BC67" i="12"/>
  <c r="BS66" i="12"/>
  <c r="W60" i="12"/>
  <c r="BS58" i="12"/>
  <c r="BC58" i="12"/>
  <c r="CB55" i="12"/>
  <c r="CC55" i="12"/>
  <c r="CE55" i="12"/>
  <c r="BC48" i="12"/>
  <c r="CB47" i="12"/>
  <c r="CC47" i="12"/>
  <c r="CE47" i="12"/>
  <c r="BM45" i="12"/>
  <c r="BO45" i="12"/>
  <c r="BW41" i="12"/>
  <c r="CB35" i="12"/>
  <c r="CC35" i="12"/>
  <c r="CE35" i="12"/>
  <c r="BM33" i="12"/>
  <c r="BO33" i="12"/>
  <c r="BC27" i="12"/>
  <c r="CB24" i="12"/>
  <c r="CC24" i="12"/>
  <c r="CE24" i="12"/>
  <c r="BW23" i="12"/>
  <c r="BL23" i="12"/>
  <c r="BM23" i="12"/>
  <c r="BO23" i="12"/>
  <c r="BS17" i="12"/>
  <c r="BW16" i="12"/>
  <c r="CC16" i="12"/>
  <c r="CB15" i="12"/>
  <c r="CC15" i="12"/>
  <c r="CE15" i="12"/>
  <c r="BW14" i="12"/>
  <c r="CC14" i="12"/>
  <c r="BL14" i="12"/>
  <c r="BM14" i="12"/>
  <c r="BO14" i="12"/>
  <c r="W14" i="12"/>
  <c r="BL12" i="12"/>
  <c r="BM12" i="12"/>
  <c r="BO12" i="12"/>
  <c r="W12" i="12"/>
  <c r="BD12" i="12"/>
  <c r="BF12" i="12"/>
  <c r="BL10" i="12"/>
  <c r="BM10" i="12"/>
  <c r="BO10" i="12"/>
  <c r="W10" i="12"/>
  <c r="BL8" i="12"/>
  <c r="BL6" i="12"/>
  <c r="BM6" i="12"/>
  <c r="BO6" i="12"/>
  <c r="W6" i="12"/>
  <c r="BF125" i="12"/>
  <c r="BD123" i="12"/>
  <c r="BF123" i="12"/>
  <c r="BO123" i="12"/>
  <c r="CB123" i="12"/>
  <c r="CC123" i="12"/>
  <c r="CE123" i="12"/>
  <c r="BL119" i="12"/>
  <c r="BM119" i="12"/>
  <c r="BO119" i="12"/>
  <c r="BC117" i="12"/>
  <c r="W115" i="12"/>
  <c r="BD115" i="12"/>
  <c r="BF115" i="12"/>
  <c r="BC114" i="12"/>
  <c r="CB113" i="12"/>
  <c r="CC113" i="12"/>
  <c r="CE113" i="12"/>
  <c r="W113" i="12"/>
  <c r="BC112" i="12"/>
  <c r="CB111" i="12"/>
  <c r="CC111" i="12"/>
  <c r="CE111" i="12"/>
  <c r="CC110" i="12"/>
  <c r="CE110" i="12"/>
  <c r="BC110" i="12"/>
  <c r="CB109" i="12"/>
  <c r="CC109" i="12"/>
  <c r="CE109" i="12"/>
  <c r="CB107" i="12"/>
  <c r="CB105" i="12"/>
  <c r="BC101" i="12"/>
  <c r="BC99" i="12"/>
  <c r="BD99" i="12"/>
  <c r="BF99" i="12"/>
  <c r="W98" i="12"/>
  <c r="BD98" i="12"/>
  <c r="BF98" i="12"/>
  <c r="BC95" i="12"/>
  <c r="CB119" i="12"/>
  <c r="CC119" i="12"/>
  <c r="CE119" i="12"/>
  <c r="CB116" i="12"/>
  <c r="W105" i="12"/>
  <c r="W103" i="12"/>
  <c r="BC98" i="12"/>
  <c r="BC93" i="12"/>
  <c r="W89" i="12"/>
  <c r="BC82" i="12"/>
  <c r="BM120" i="12"/>
  <c r="BO120" i="12"/>
  <c r="BC89" i="12"/>
  <c r="CB122" i="12"/>
  <c r="CC120" i="12"/>
  <c r="CE120" i="12"/>
  <c r="CB118" i="12"/>
  <c r="CC118" i="12"/>
  <c r="CE118" i="12"/>
  <c r="CB117" i="12"/>
  <c r="CC115" i="12"/>
  <c r="CE115" i="12"/>
  <c r="BM114" i="12"/>
  <c r="BO114" i="12"/>
  <c r="BM112" i="12"/>
  <c r="BO112" i="12"/>
  <c r="BM110" i="12"/>
  <c r="BO110" i="12"/>
  <c r="BM108" i="12"/>
  <c r="BO108" i="12"/>
  <c r="BC102" i="12"/>
  <c r="CC100" i="12"/>
  <c r="CE100" i="12"/>
  <c r="BI98" i="12"/>
  <c r="BM98" i="12"/>
  <c r="BO98" i="12"/>
  <c r="BD92" i="12"/>
  <c r="BF92" i="12"/>
  <c r="W85" i="12"/>
  <c r="W117" i="12"/>
  <c r="BC115" i="12"/>
  <c r="CB114" i="12"/>
  <c r="CC114" i="12"/>
  <c r="CE114" i="12"/>
  <c r="W114" i="12"/>
  <c r="BC113" i="12"/>
  <c r="CB112" i="12"/>
  <c r="CC112" i="12"/>
  <c r="CE112" i="12"/>
  <c r="W112" i="12"/>
  <c r="BD112" i="12"/>
  <c r="BF112" i="12"/>
  <c r="BC111" i="12"/>
  <c r="CB110" i="12"/>
  <c r="BC109" i="12"/>
  <c r="BD109" i="12"/>
  <c r="BF109" i="12"/>
  <c r="CB108" i="12"/>
  <c r="CC108" i="12"/>
  <c r="CE108" i="12"/>
  <c r="CC107" i="12"/>
  <c r="CE107" i="12"/>
  <c r="BC107" i="12"/>
  <c r="BD107" i="12"/>
  <c r="BF107" i="12"/>
  <c r="CB106" i="12"/>
  <c r="CC106" i="12"/>
  <c r="CE106" i="12"/>
  <c r="CC105" i="12"/>
  <c r="CE105" i="12"/>
  <c r="BC105" i="12"/>
  <c r="CB104" i="12"/>
  <c r="CC104" i="12"/>
  <c r="CE104" i="12"/>
  <c r="CC101" i="12"/>
  <c r="CE101" i="12"/>
  <c r="BC100" i="12"/>
  <c r="W116" i="12"/>
  <c r="CB124" i="12"/>
  <c r="CC124" i="12"/>
  <c r="CE124" i="12"/>
  <c r="CC116" i="12"/>
  <c r="CE116" i="12"/>
  <c r="BD110" i="12"/>
  <c r="BF110" i="12"/>
  <c r="BD108" i="12"/>
  <c r="BF108" i="12"/>
  <c r="BD104" i="12"/>
  <c r="BF104" i="12"/>
  <c r="BS96" i="12"/>
  <c r="CC122" i="12"/>
  <c r="CE122" i="12"/>
  <c r="CC117" i="12"/>
  <c r="CE117" i="12"/>
  <c r="CB121" i="12"/>
  <c r="CC121" i="12"/>
  <c r="CE121" i="12"/>
  <c r="BL120" i="12"/>
  <c r="W118" i="12"/>
  <c r="BD118" i="12"/>
  <c r="BF118" i="12"/>
  <c r="BC116" i="12"/>
  <c r="BM101" i="12"/>
  <c r="BO101" i="12"/>
  <c r="W100" i="12"/>
  <c r="BD100" i="12"/>
  <c r="BF100" i="12"/>
  <c r="BM99" i="12"/>
  <c r="BO99" i="12"/>
  <c r="BC97" i="12"/>
  <c r="BD97" i="12"/>
  <c r="BF97" i="12"/>
  <c r="W95" i="12"/>
  <c r="BD95" i="12"/>
  <c r="BF95" i="12"/>
  <c r="W93" i="12"/>
  <c r="BD93" i="12"/>
  <c r="BF93" i="12"/>
  <c r="BL95" i="12"/>
  <c r="BM95" i="12"/>
  <c r="BO95" i="12"/>
  <c r="W82" i="12"/>
  <c r="BM77" i="12"/>
  <c r="BO77" i="12"/>
  <c r="CE75" i="12"/>
  <c r="BL97" i="12"/>
  <c r="BM97" i="12"/>
  <c r="BO97" i="12"/>
  <c r="BL86" i="12"/>
  <c r="BC85" i="12"/>
  <c r="CC83" i="12"/>
  <c r="CB97" i="12"/>
  <c r="CC97" i="12"/>
  <c r="CE97" i="12"/>
  <c r="BL94" i="12"/>
  <c r="BM94" i="12"/>
  <c r="BO94" i="12"/>
  <c r="BM92" i="12"/>
  <c r="BO92" i="12"/>
  <c r="BL91" i="12"/>
  <c r="BL87" i="12"/>
  <c r="CE85" i="12"/>
  <c r="BM85" i="12"/>
  <c r="BO85" i="12"/>
  <c r="W83" i="12"/>
  <c r="BO81" i="12"/>
  <c r="CB94" i="12"/>
  <c r="CC94" i="12"/>
  <c r="CE94" i="12"/>
  <c r="BC83" i="12"/>
  <c r="BO79" i="12"/>
  <c r="BM78" i="12"/>
  <c r="BO78" i="12"/>
  <c r="BM76" i="12"/>
  <c r="BO76" i="12"/>
  <c r="CC95" i="12"/>
  <c r="CE95" i="12"/>
  <c r="BM91" i="12"/>
  <c r="BO91" i="12"/>
  <c r="CC84" i="12"/>
  <c r="CE84" i="12"/>
  <c r="CE83" i="12"/>
  <c r="CC79" i="12"/>
  <c r="CE79" i="12"/>
  <c r="CC77" i="12"/>
  <c r="CE77" i="12"/>
  <c r="CB96" i="12"/>
  <c r="CC96" i="12"/>
  <c r="CE96" i="12"/>
  <c r="BL93" i="12"/>
  <c r="W84" i="12"/>
  <c r="BC81" i="12"/>
  <c r="BD81" i="12"/>
  <c r="BF81" i="12"/>
  <c r="CB98" i="12"/>
  <c r="CC98" i="12"/>
  <c r="CE98" i="12"/>
  <c r="CB93" i="12"/>
  <c r="BC84" i="12"/>
  <c r="BM81" i="12"/>
  <c r="BD52" i="12"/>
  <c r="BF52" i="12"/>
  <c r="BC47" i="12"/>
  <c r="CB71" i="12"/>
  <c r="CC71" i="12"/>
  <c r="CE71" i="12"/>
  <c r="BS71" i="12"/>
  <c r="BM68" i="12"/>
  <c r="BO68" i="12"/>
  <c r="W65" i="12"/>
  <c r="CB63" i="12"/>
  <c r="BC63" i="12"/>
  <c r="BD63" i="12"/>
  <c r="BF63" i="12"/>
  <c r="BM61" i="12"/>
  <c r="BO61" i="12"/>
  <c r="W57" i="12"/>
  <c r="BC55" i="12"/>
  <c r="CB68" i="12"/>
  <c r="CB66" i="12"/>
  <c r="BD60" i="12"/>
  <c r="BF60" i="12"/>
  <c r="W51" i="12"/>
  <c r="BD51" i="12"/>
  <c r="BF51" i="12"/>
  <c r="W45" i="12"/>
  <c r="BM44" i="12"/>
  <c r="BO44" i="12"/>
  <c r="W35" i="12"/>
  <c r="BD72" i="12"/>
  <c r="BF72" i="12"/>
  <c r="BD68" i="12"/>
  <c r="BF68" i="12"/>
  <c r="CC57" i="12"/>
  <c r="CE57" i="12"/>
  <c r="BD55" i="12"/>
  <c r="BF55" i="12"/>
  <c r="BC52" i="12"/>
  <c r="BC45" i="12"/>
  <c r="BL73" i="12"/>
  <c r="W71" i="12"/>
  <c r="CC70" i="12"/>
  <c r="CE70" i="12"/>
  <c r="W66" i="12"/>
  <c r="BC65" i="12"/>
  <c r="BM62" i="12"/>
  <c r="BO62" i="12"/>
  <c r="CC60" i="12"/>
  <c r="CE60" i="12"/>
  <c r="W58" i="12"/>
  <c r="BD58" i="12"/>
  <c r="BF58" i="12"/>
  <c r="BC50" i="12"/>
  <c r="W47" i="12"/>
  <c r="BD43" i="12"/>
  <c r="BF43" i="12"/>
  <c r="CB73" i="12"/>
  <c r="CC73" i="12"/>
  <c r="CE73" i="12"/>
  <c r="BM65" i="12"/>
  <c r="BO65" i="12"/>
  <c r="CC63" i="12"/>
  <c r="CE63" i="12"/>
  <c r="W61" i="12"/>
  <c r="BD61" i="12"/>
  <c r="BF61" i="12"/>
  <c r="BC59" i="12"/>
  <c r="BD59" i="12"/>
  <c r="BF59" i="12"/>
  <c r="BM57" i="12"/>
  <c r="BO57" i="12"/>
  <c r="W53" i="12"/>
  <c r="BM52" i="12"/>
  <c r="BO52" i="12"/>
  <c r="BC70" i="12"/>
  <c r="CB69" i="12"/>
  <c r="CC69" i="12"/>
  <c r="CE69" i="12"/>
  <c r="CC68" i="12"/>
  <c r="CE68" i="12"/>
  <c r="BC68" i="12"/>
  <c r="CB67" i="12"/>
  <c r="CC67" i="12"/>
  <c r="CE67" i="12"/>
  <c r="CC66" i="12"/>
  <c r="CE66" i="12"/>
  <c r="W64" i="12"/>
  <c r="BC62" i="12"/>
  <c r="CC58" i="12"/>
  <c r="CE58" i="12"/>
  <c r="W56" i="12"/>
  <c r="BO53" i="12"/>
  <c r="BC53" i="12"/>
  <c r="BS52" i="12"/>
  <c r="CB72" i="12"/>
  <c r="CC72" i="12"/>
  <c r="CE72" i="12"/>
  <c r="BC71" i="12"/>
  <c r="BD67" i="12"/>
  <c r="BF67" i="12"/>
  <c r="BC66" i="12"/>
  <c r="CB65" i="12"/>
  <c r="CC65" i="12"/>
  <c r="CE65" i="12"/>
  <c r="CC61" i="12"/>
  <c r="CE61" i="12"/>
  <c r="BC57" i="12"/>
  <c r="CB52" i="12"/>
  <c r="CC52" i="12"/>
  <c r="CE52" i="12"/>
  <c r="BC46" i="12"/>
  <c r="BD46" i="12"/>
  <c r="BF46" i="12"/>
  <c r="W39" i="12"/>
  <c r="BI48" i="12"/>
  <c r="BM48" i="12"/>
  <c r="BO48" i="12"/>
  <c r="BC38" i="12"/>
  <c r="BC34" i="12"/>
  <c r="BD33" i="12"/>
  <c r="BF33" i="12"/>
  <c r="CC32" i="12"/>
  <c r="CE32" i="12"/>
  <c r="BC32" i="12"/>
  <c r="BC28" i="12"/>
  <c r="BI53" i="12"/>
  <c r="BM53" i="12"/>
  <c r="BL44" i="12"/>
  <c r="BC39" i="12"/>
  <c r="BC35" i="12"/>
  <c r="BM32" i="12"/>
  <c r="BO32" i="12"/>
  <c r="BO31" i="12"/>
  <c r="BC29" i="12"/>
  <c r="BI54" i="12"/>
  <c r="BM54" i="12"/>
  <c r="BO54" i="12"/>
  <c r="CB51" i="12"/>
  <c r="CC51" i="12"/>
  <c r="CE51" i="12"/>
  <c r="BL51" i="12"/>
  <c r="CB49" i="12"/>
  <c r="BL49" i="12"/>
  <c r="W40" i="12"/>
  <c r="W36" i="12"/>
  <c r="BC40" i="12"/>
  <c r="BC36" i="12"/>
  <c r="BM27" i="12"/>
  <c r="BO27" i="12"/>
  <c r="BI51" i="12"/>
  <c r="BI49" i="12"/>
  <c r="BM49" i="12"/>
  <c r="BO49" i="12"/>
  <c r="BL43" i="12"/>
  <c r="BM43" i="12"/>
  <c r="BO43" i="12"/>
  <c r="BL42" i="12"/>
  <c r="BM42" i="12"/>
  <c r="BO42" i="12"/>
  <c r="W41" i="12"/>
  <c r="W37" i="12"/>
  <c r="W32" i="12"/>
  <c r="W26" i="12"/>
  <c r="BD26" i="12"/>
  <c r="BF26" i="12"/>
  <c r="CB48" i="12"/>
  <c r="CC48" i="12"/>
  <c r="CE48" i="12"/>
  <c r="BC41" i="12"/>
  <c r="BC37" i="12"/>
  <c r="BD30" i="12"/>
  <c r="BF30" i="12"/>
  <c r="W29" i="12"/>
  <c r="W18" i="12"/>
  <c r="BD49" i="12"/>
  <c r="BF49" i="12"/>
  <c r="W38" i="12"/>
  <c r="W34" i="12"/>
  <c r="BD34" i="12"/>
  <c r="BF34" i="12"/>
  <c r="BS31" i="12"/>
  <c r="BF31" i="12"/>
  <c r="W28" i="12"/>
  <c r="CB27" i="12"/>
  <c r="CC27" i="12"/>
  <c r="CE27" i="12"/>
  <c r="BL27" i="12"/>
  <c r="BC24" i="12"/>
  <c r="W23" i="12"/>
  <c r="BC18" i="12"/>
  <c r="BC12" i="12"/>
  <c r="W7" i="12"/>
  <c r="BD7" i="12"/>
  <c r="BF7" i="12"/>
  <c r="BC23" i="12"/>
  <c r="W22" i="12"/>
  <c r="BD22" i="12"/>
  <c r="BF22" i="12"/>
  <c r="CE19" i="12"/>
  <c r="W19" i="12"/>
  <c r="CB25" i="12"/>
  <c r="CC25" i="12"/>
  <c r="CE25" i="12"/>
  <c r="BL25" i="12"/>
  <c r="BM25" i="12"/>
  <c r="BO25" i="12"/>
  <c r="W24" i="12"/>
  <c r="BC22" i="12"/>
  <c r="W21" i="12"/>
  <c r="BC19" i="12"/>
  <c r="BC15" i="12"/>
  <c r="BD15" i="12"/>
  <c r="BF15" i="12"/>
  <c r="W13" i="12"/>
  <c r="BD13" i="12"/>
  <c r="BF13" i="12"/>
  <c r="CC11" i="12"/>
  <c r="CE11" i="12"/>
  <c r="CE10" i="12"/>
  <c r="BC10" i="12"/>
  <c r="BD10" i="12"/>
  <c r="BF10" i="12"/>
  <c r="BC5" i="12"/>
  <c r="CB28" i="12"/>
  <c r="CC28" i="12"/>
  <c r="CE28" i="12"/>
  <c r="BL28" i="12"/>
  <c r="BM28" i="12"/>
  <c r="BO28" i="12"/>
  <c r="BC21" i="12"/>
  <c r="W20" i="12"/>
  <c r="BD20" i="12"/>
  <c r="BF20" i="12"/>
  <c r="BO18" i="12"/>
  <c r="BW17" i="12"/>
  <c r="CC17" i="12"/>
  <c r="CE17" i="12"/>
  <c r="CE16" i="12"/>
  <c r="BC13" i="12"/>
  <c r="W8" i="12"/>
  <c r="CC6" i="12"/>
  <c r="CE6" i="12"/>
  <c r="CB31" i="12"/>
  <c r="CC31" i="12"/>
  <c r="CE31" i="12"/>
  <c r="BC20" i="12"/>
  <c r="BD16" i="12"/>
  <c r="BF16" i="12"/>
  <c r="W11" i="12"/>
  <c r="BD11" i="12"/>
  <c r="BF11" i="12"/>
  <c r="CC9" i="12"/>
  <c r="CE9" i="12"/>
  <c r="CE8" i="12"/>
  <c r="BM8" i="12"/>
  <c r="BO8" i="12"/>
  <c r="BC8" i="12"/>
  <c r="CB26" i="12"/>
  <c r="CC26" i="12"/>
  <c r="CE26" i="12"/>
  <c r="W17" i="12"/>
  <c r="BC16" i="12"/>
  <c r="CC12" i="12"/>
  <c r="CE12" i="12"/>
  <c r="BD6" i="12"/>
  <c r="BF6" i="12"/>
  <c r="CB29" i="12"/>
  <c r="CC29" i="12"/>
  <c r="CE29" i="12"/>
  <c r="BL29" i="12"/>
  <c r="BM29" i="12"/>
  <c r="BO29" i="12"/>
  <c r="BC17" i="12"/>
  <c r="BC14" i="12"/>
  <c r="W9" i="12"/>
  <c r="BD9" i="12"/>
  <c r="BF9" i="12"/>
  <c r="BC6" i="12"/>
  <c r="BD8" i="12"/>
  <c r="BF8" i="12"/>
  <c r="CC86" i="12"/>
  <c r="CE86" i="12"/>
  <c r="BD50" i="12"/>
  <c r="BF50" i="12"/>
  <c r="BM73" i="12"/>
  <c r="BO73" i="12"/>
  <c r="BM93" i="12"/>
  <c r="BO93" i="12"/>
  <c r="BD82" i="12"/>
  <c r="BF82" i="12"/>
  <c r="BD101" i="12"/>
  <c r="BF101" i="12"/>
  <c r="BD73" i="12"/>
  <c r="BF73" i="12"/>
  <c r="BM20" i="12"/>
  <c r="BO20" i="12"/>
  <c r="CC87" i="12"/>
  <c r="CE87" i="12"/>
  <c r="BD74" i="12"/>
  <c r="BF74" i="12"/>
  <c r="BD120" i="12"/>
  <c r="BF120" i="12"/>
  <c r="CC30" i="12"/>
  <c r="CE30" i="12"/>
  <c r="BD96" i="12"/>
  <c r="BF96" i="12"/>
  <c r="BM51" i="12"/>
  <c r="BO51" i="12"/>
  <c r="CC49" i="12"/>
  <c r="CE49" i="12"/>
  <c r="BD62" i="12"/>
  <c r="BF62" i="12"/>
  <c r="BD65" i="12"/>
  <c r="BF65" i="12"/>
  <c r="BD111" i="12"/>
  <c r="BF111" i="12"/>
  <c r="BD117" i="12"/>
  <c r="BF117" i="12"/>
  <c r="BD89" i="12"/>
  <c r="BF89" i="12"/>
  <c r="CC92" i="12"/>
  <c r="CE92" i="12"/>
  <c r="CC40" i="12"/>
  <c r="CE40" i="12"/>
  <c r="BM107" i="12"/>
  <c r="BO107" i="12"/>
  <c r="CC22" i="12"/>
  <c r="CE22" i="12"/>
  <c r="BD14" i="12"/>
  <c r="BF14" i="12"/>
  <c r="BD64" i="12"/>
  <c r="BF64" i="12"/>
  <c r="BD53" i="12"/>
  <c r="BF53" i="12"/>
  <c r="BM87" i="12"/>
  <c r="BO87" i="12"/>
  <c r="BD27" i="12"/>
  <c r="BF27" i="12"/>
  <c r="BM9" i="12"/>
  <c r="BO9" i="12"/>
  <c r="BD79" i="12"/>
  <c r="BF79" i="12"/>
  <c r="CC42" i="12"/>
  <c r="CE42" i="12"/>
  <c r="CC89" i="12"/>
  <c r="CE89" i="12"/>
  <c r="BM90" i="12"/>
  <c r="BO90" i="12"/>
  <c r="BD122" i="12"/>
  <c r="BF122" i="12"/>
  <c r="BD48" i="12"/>
  <c r="BF48" i="12"/>
  <c r="BD56" i="12"/>
  <c r="BF56" i="12"/>
  <c r="BD5" i="12"/>
  <c r="BF5" i="12"/>
  <c r="BD28" i="12"/>
  <c r="BF28" i="12"/>
  <c r="CC93" i="12"/>
  <c r="CE93" i="12"/>
  <c r="CC41" i="12"/>
  <c r="CE41" i="12"/>
  <c r="BM96" i="12"/>
  <c r="BO96" i="12"/>
  <c r="CC45" i="12"/>
  <c r="CE45" i="12"/>
  <c r="BD54" i="12"/>
  <c r="BF54" i="12"/>
  <c r="BM11" i="12"/>
  <c r="BO11" i="12"/>
  <c r="BD103" i="12"/>
  <c r="BF103" i="12"/>
  <c r="CC23" i="12"/>
  <c r="CE23" i="12"/>
  <c r="CC37" i="12"/>
  <c r="CE37" i="12"/>
  <c r="CC91" i="12"/>
  <c r="CE91" i="12"/>
  <c r="BD17" i="12"/>
  <c r="BF17" i="12"/>
  <c r="BD23" i="12"/>
  <c r="BF23" i="12"/>
  <c r="BD18" i="12"/>
  <c r="BF18" i="12"/>
  <c r="BD37" i="12"/>
  <c r="BF37" i="12"/>
  <c r="BD83" i="12"/>
  <c r="BF83" i="12"/>
  <c r="BD105" i="12"/>
  <c r="BF105" i="12"/>
  <c r="BD41" i="12"/>
  <c r="BF41" i="12"/>
  <c r="BD116" i="12"/>
  <c r="BF116" i="12"/>
  <c r="BD21" i="12"/>
  <c r="BF21" i="12"/>
  <c r="BD36" i="12"/>
  <c r="BF36" i="12"/>
  <c r="BD47" i="12"/>
  <c r="BF47" i="12"/>
  <c r="BD66" i="12"/>
  <c r="BF66" i="12"/>
  <c r="BD35" i="12"/>
  <c r="BF35" i="12"/>
  <c r="BD85" i="12"/>
  <c r="BF85" i="12"/>
  <c r="BD38" i="12"/>
  <c r="BF38" i="12"/>
  <c r="BD29" i="12"/>
  <c r="BF29" i="12"/>
  <c r="BD40" i="12"/>
  <c r="BF40" i="12"/>
  <c r="BD24" i="12"/>
  <c r="BF24" i="12"/>
  <c r="BD19" i="12"/>
  <c r="BF19" i="12"/>
  <c r="BD39" i="12"/>
  <c r="BF39" i="12"/>
  <c r="BD71" i="12"/>
  <c r="BF71" i="12"/>
  <c r="BD57" i="12"/>
  <c r="BF57" i="12"/>
  <c r="BD84" i="12"/>
  <c r="BF84" i="12"/>
  <c r="BD114" i="12"/>
  <c r="BF114" i="12"/>
  <c r="BD113" i="12"/>
  <c r="BF113" i="12"/>
  <c r="BD32" i="12"/>
  <c r="BF32" i="12"/>
  <c r="BD45" i="12"/>
  <c r="BF45" i="12"/>
  <c r="BS4" i="12"/>
  <c r="CB4" i="12"/>
  <c r="BW4" i="12"/>
  <c r="CC4" i="12"/>
  <c r="CE4" i="12"/>
  <c r="BL4" i="12"/>
  <c r="W4" i="12"/>
  <c r="BC4" i="12"/>
  <c r="BI4" i="12"/>
  <c r="BM4" i="12"/>
  <c r="BO4" i="12"/>
  <c r="BD4" i="12"/>
  <c r="BF4" i="12"/>
  <c r="I4" i="1"/>
  <c r="E9" i="1"/>
  <c r="C3" i="1"/>
  <c r="C132" i="1"/>
  <c r="C84" i="1"/>
  <c r="C61" i="1"/>
  <c r="C53" i="1"/>
  <c r="C45" i="1"/>
  <c r="C37" i="1"/>
  <c r="C25" i="1"/>
  <c r="C17" i="1"/>
  <c r="C27" i="1"/>
  <c r="C124" i="1"/>
  <c r="C83" i="1"/>
  <c r="C60" i="1"/>
  <c r="C52" i="1"/>
  <c r="C44" i="1"/>
  <c r="C36" i="1"/>
  <c r="C24" i="1"/>
  <c r="C16" i="1"/>
  <c r="C55" i="1"/>
  <c r="C123" i="1"/>
  <c r="C78" i="1"/>
  <c r="C59" i="1"/>
  <c r="C51" i="1"/>
  <c r="C43" i="1"/>
  <c r="C35" i="1"/>
  <c r="C23" i="1"/>
  <c r="C15" i="1"/>
  <c r="C39" i="1"/>
  <c r="C122" i="1"/>
  <c r="C77" i="1"/>
  <c r="C58" i="1"/>
  <c r="C50" i="1"/>
  <c r="C42" i="1"/>
  <c r="C30" i="1"/>
  <c r="C22" i="1"/>
  <c r="C14" i="1"/>
  <c r="C64" i="1"/>
  <c r="C115" i="1"/>
  <c r="C121" i="1"/>
  <c r="C65" i="1"/>
  <c r="C57" i="1"/>
  <c r="C49" i="1"/>
  <c r="C41" i="1"/>
  <c r="C29" i="1"/>
  <c r="C21" i="1"/>
  <c r="C13" i="1"/>
  <c r="C116" i="1"/>
  <c r="C56" i="1"/>
  <c r="C48" i="1"/>
  <c r="C40" i="1"/>
  <c r="C28" i="1"/>
  <c r="C20" i="1"/>
  <c r="C12" i="1"/>
  <c r="C63" i="1"/>
  <c r="C19" i="1"/>
  <c r="C114" i="1"/>
  <c r="C128" i="1"/>
  <c r="C62" i="1"/>
  <c r="C54" i="1"/>
  <c r="C46" i="1"/>
  <c r="C38" i="1"/>
  <c r="C26" i="1"/>
  <c r="C18" i="1"/>
  <c r="C47" i="1"/>
  <c r="CE5" i="3"/>
  <c r="H48" i="2"/>
  <c r="G48" i="2"/>
  <c r="F48" i="2"/>
  <c r="G37" i="2"/>
  <c r="H37" i="2"/>
  <c r="F37" i="2"/>
  <c r="F2" i="12"/>
  <c r="G2" i="12"/>
  <c r="H2" i="12"/>
  <c r="I2" i="12"/>
  <c r="J2" i="12"/>
  <c r="K2" i="12"/>
  <c r="L2" i="12"/>
  <c r="M2" i="12"/>
  <c r="N2" i="12"/>
  <c r="O2" i="12"/>
  <c r="P2" i="12"/>
  <c r="Q2" i="12"/>
  <c r="R2" i="12"/>
  <c r="S2" i="12"/>
  <c r="T2" i="12"/>
  <c r="U2" i="12"/>
  <c r="V2" i="12"/>
  <c r="W2" i="12"/>
  <c r="X2" i="12"/>
  <c r="Y2" i="12"/>
  <c r="Z2" i="12"/>
  <c r="AA2" i="12"/>
  <c r="AB2" i="12"/>
  <c r="AC2" i="12"/>
  <c r="AD2" i="12"/>
  <c r="AE2" i="12"/>
  <c r="AF2" i="12"/>
  <c r="AG2" i="12"/>
  <c r="AH2" i="12"/>
  <c r="AI2" i="12"/>
  <c r="AJ2" i="12"/>
  <c r="AK2" i="12"/>
  <c r="AL2" i="12"/>
  <c r="AM2" i="12"/>
  <c r="AN2" i="12"/>
  <c r="AO2" i="12"/>
  <c r="AP2" i="12"/>
  <c r="AQ2" i="12"/>
  <c r="AR2" i="12"/>
  <c r="AS2" i="12"/>
  <c r="AT2" i="12"/>
  <c r="AU2" i="12"/>
  <c r="AV2" i="12"/>
  <c r="AW2" i="12"/>
  <c r="AX2" i="12"/>
  <c r="AY2" i="12"/>
  <c r="AZ2" i="12"/>
  <c r="BA2" i="12"/>
  <c r="BB2" i="12"/>
  <c r="BC2" i="12"/>
  <c r="BD2" i="12"/>
  <c r="BE2" i="12"/>
  <c r="BF2" i="12"/>
  <c r="BG2" i="12"/>
  <c r="BH2" i="12"/>
  <c r="BI2" i="12"/>
  <c r="BJ2" i="12"/>
  <c r="BK2" i="12"/>
  <c r="BL2" i="12"/>
  <c r="BM2" i="12"/>
  <c r="BN2" i="12"/>
  <c r="BO2" i="12"/>
  <c r="BP2" i="12"/>
  <c r="BQ2" i="12"/>
  <c r="BR2" i="12"/>
  <c r="BS2" i="12"/>
  <c r="BT2" i="12"/>
  <c r="BU2" i="12"/>
  <c r="BV2" i="12"/>
  <c r="BW2" i="12"/>
  <c r="BX2" i="12"/>
  <c r="BY2" i="12"/>
  <c r="BZ2" i="12"/>
  <c r="CA2" i="12"/>
  <c r="CB2" i="12"/>
  <c r="CC2" i="12"/>
  <c r="CD2" i="12"/>
  <c r="CE2" i="12"/>
  <c r="E2" i="12"/>
  <c r="BA6" i="3"/>
  <c r="BA5" i="3"/>
  <c r="BA4" i="3"/>
  <c r="W6" i="3"/>
  <c r="W5" i="3"/>
  <c r="W4" i="3"/>
  <c r="V6" i="3"/>
  <c r="V5" i="3"/>
  <c r="V4" i="3"/>
  <c r="U6" i="3"/>
  <c r="U5" i="3"/>
  <c r="U4" i="3"/>
  <c r="N6" i="3"/>
  <c r="N5" i="3"/>
  <c r="N4" i="3"/>
  <c r="K27" i="16"/>
  <c r="K29" i="16"/>
  <c r="K22" i="16"/>
  <c r="J27" i="16"/>
  <c r="J29" i="16"/>
  <c r="J22" i="16"/>
  <c r="I27" i="16"/>
  <c r="I29" i="16"/>
  <c r="I22" i="16"/>
  <c r="E35" i="14"/>
  <c r="E7" i="1"/>
  <c r="A1" i="14"/>
  <c r="A1" i="13"/>
  <c r="E137" i="1"/>
  <c r="E79" i="1"/>
  <c r="BK4" i="3"/>
  <c r="E85" i="1"/>
  <c r="F39" i="2"/>
  <c r="FW4" i="3"/>
  <c r="FV4" i="3"/>
  <c r="FU4" i="3"/>
  <c r="FT4" i="3"/>
  <c r="FS4" i="3"/>
  <c r="FR4" i="3"/>
  <c r="FQ4" i="3"/>
  <c r="FP4" i="3"/>
  <c r="FO4" i="3"/>
  <c r="FN4" i="3"/>
  <c r="FM4" i="3"/>
  <c r="FL4" i="3"/>
  <c r="FK4" i="3"/>
  <c r="FJ4" i="3"/>
  <c r="FI4" i="3"/>
  <c r="FH4" i="3"/>
  <c r="FG4" i="3"/>
  <c r="FF4" i="3"/>
  <c r="FE4" i="3"/>
  <c r="FD4" i="3"/>
  <c r="FC4" i="3"/>
  <c r="FB4" i="3"/>
  <c r="E37" i="13"/>
  <c r="EU4" i="3"/>
  <c r="E17" i="13"/>
  <c r="DA4" i="3"/>
  <c r="I125" i="1"/>
  <c r="CG6" i="3"/>
  <c r="G125" i="1"/>
  <c r="CG5" i="3"/>
  <c r="E125" i="1"/>
  <c r="F50" i="2"/>
  <c r="CL6" i="3"/>
  <c r="CF6" i="3"/>
  <c r="CE6" i="3"/>
  <c r="CD6" i="3"/>
  <c r="CC6" i="3"/>
  <c r="BZ6" i="3"/>
  <c r="BY6" i="3"/>
  <c r="G85" i="1"/>
  <c r="BN5" i="3"/>
  <c r="G79" i="1"/>
  <c r="BK5" i="3"/>
  <c r="I85" i="1"/>
  <c r="BN6" i="3"/>
  <c r="I79" i="1"/>
  <c r="H38" i="2"/>
  <c r="BR6" i="3"/>
  <c r="BM6" i="3"/>
  <c r="BL6" i="3"/>
  <c r="BJ6" i="3"/>
  <c r="BI6" i="3"/>
  <c r="I6" i="3"/>
  <c r="H6" i="3"/>
  <c r="G6" i="3"/>
  <c r="F6" i="3"/>
  <c r="C6" i="3"/>
  <c r="CL5" i="3"/>
  <c r="CF5" i="3"/>
  <c r="CD5" i="3"/>
  <c r="CC5" i="3"/>
  <c r="BZ5" i="3"/>
  <c r="BY5" i="3"/>
  <c r="BR5" i="3"/>
  <c r="BM5" i="3"/>
  <c r="BL5" i="3"/>
  <c r="BJ5" i="3"/>
  <c r="BI5" i="3"/>
  <c r="I5" i="3"/>
  <c r="H5" i="3"/>
  <c r="G5" i="3"/>
  <c r="F5" i="3"/>
  <c r="C5" i="3"/>
  <c r="EK4" i="3"/>
  <c r="EJ4" i="3"/>
  <c r="EI4" i="3"/>
  <c r="EH4" i="3"/>
  <c r="EG4" i="3"/>
  <c r="EF4" i="3"/>
  <c r="EC4" i="3"/>
  <c r="EE4" i="3"/>
  <c r="ED4" i="3"/>
  <c r="ET4" i="3"/>
  <c r="ES4" i="3"/>
  <c r="ER4" i="3"/>
  <c r="EQ4" i="3"/>
  <c r="EP4" i="3"/>
  <c r="EO4" i="3"/>
  <c r="EN4" i="3"/>
  <c r="EM4" i="3"/>
  <c r="EL4" i="3"/>
  <c r="EB4" i="3"/>
  <c r="EA4" i="3"/>
  <c r="DZ4" i="3"/>
  <c r="DY4" i="3"/>
  <c r="DX4" i="3"/>
  <c r="DW4" i="3"/>
  <c r="DV4" i="3"/>
  <c r="DU4" i="3"/>
  <c r="DT4" i="3"/>
  <c r="DS4" i="3"/>
  <c r="DR4" i="3"/>
  <c r="DQ4" i="3"/>
  <c r="DP4" i="3"/>
  <c r="DO4" i="3"/>
  <c r="DN4" i="3"/>
  <c r="DM4" i="3"/>
  <c r="DL4" i="3"/>
  <c r="DK4" i="3"/>
  <c r="DJ4" i="3"/>
  <c r="DI4" i="3"/>
  <c r="DH4" i="3"/>
  <c r="DG4" i="3"/>
  <c r="DF4" i="3"/>
  <c r="DE4" i="3"/>
  <c r="DD4" i="3"/>
  <c r="DC4" i="3"/>
  <c r="DB4" i="3"/>
  <c r="CZ4" i="3"/>
  <c r="CY4" i="3"/>
  <c r="CX4" i="3"/>
  <c r="CW4" i="3"/>
  <c r="CV4" i="3"/>
  <c r="CU4" i="3"/>
  <c r="CT4" i="3"/>
  <c r="CS4" i="3"/>
  <c r="CR4" i="3"/>
  <c r="CQ4" i="3"/>
  <c r="CP4" i="3"/>
  <c r="CO4" i="3"/>
  <c r="EX4" i="3"/>
  <c r="EY4" i="3"/>
  <c r="EZ4" i="3"/>
  <c r="EW4" i="3"/>
  <c r="EV4" i="3"/>
  <c r="BW4" i="3"/>
  <c r="BV4" i="3"/>
  <c r="BR4" i="3"/>
  <c r="CL4" i="3"/>
  <c r="BM4" i="3"/>
  <c r="BL4" i="3"/>
  <c r="BJ4" i="3"/>
  <c r="BI4" i="3"/>
  <c r="D7" i="8"/>
  <c r="H7" i="8"/>
  <c r="F7" i="8"/>
  <c r="I75" i="1"/>
  <c r="G75" i="1"/>
  <c r="E75" i="1"/>
  <c r="I68" i="1"/>
  <c r="G68" i="1"/>
  <c r="E68" i="1"/>
  <c r="I7" i="1"/>
  <c r="G7" i="1"/>
  <c r="G112" i="1"/>
  <c r="H112" i="1"/>
  <c r="I112" i="1"/>
  <c r="E112" i="1"/>
  <c r="I33" i="1"/>
  <c r="G33" i="1"/>
  <c r="E33" i="1"/>
  <c r="A1" i="8"/>
  <c r="F4" i="3"/>
  <c r="G4" i="3"/>
  <c r="H4" i="3"/>
  <c r="I4" i="3"/>
  <c r="J4" i="3"/>
  <c r="A4" i="2"/>
  <c r="CD4" i="3"/>
  <c r="CC4" i="3"/>
  <c r="CF4" i="3"/>
  <c r="CE4" i="3"/>
  <c r="BZ4" i="3"/>
  <c r="BY4" i="3"/>
  <c r="C4" i="3"/>
  <c r="D4" i="3"/>
  <c r="D5" i="3"/>
  <c r="D6" i="3"/>
  <c r="E4" i="3"/>
  <c r="E5" i="3"/>
  <c r="E6" i="3"/>
  <c r="J5" i="3"/>
  <c r="J1" i="14"/>
  <c r="F17" i="14"/>
  <c r="FY4" i="3"/>
  <c r="F38" i="2"/>
  <c r="H39" i="2"/>
  <c r="G50" i="2"/>
  <c r="CG4" i="3"/>
  <c r="H50" i="2"/>
  <c r="G39" i="2"/>
  <c r="G38" i="2"/>
  <c r="BX4" i="3"/>
  <c r="I89" i="1"/>
  <c r="H40" i="2"/>
  <c r="H7" i="2"/>
  <c r="B7" i="2"/>
  <c r="E89" i="1"/>
  <c r="G89" i="1"/>
  <c r="BO5" i="3"/>
  <c r="BK6" i="3"/>
  <c r="B4" i="3"/>
  <c r="B5" i="3"/>
  <c r="D66" i="15"/>
  <c r="BN4" i="3"/>
  <c r="B6" i="3"/>
  <c r="J6" i="3"/>
  <c r="H22" i="8"/>
  <c r="BO6" i="3"/>
  <c r="D22" i="8"/>
  <c r="BO4" i="3"/>
  <c r="F40" i="2"/>
  <c r="G40" i="2"/>
  <c r="F22" i="8"/>
  <c r="K4" i="3"/>
  <c r="G137" i="1"/>
  <c r="K5" i="3"/>
  <c r="I137" i="1"/>
  <c r="K6" i="3"/>
  <c r="D25" i="8"/>
  <c r="C31" i="1"/>
  <c r="L4" i="3"/>
  <c r="L5" i="3"/>
  <c r="F25" i="8"/>
  <c r="L6" i="3"/>
  <c r="M4" i="3"/>
  <c r="H25" i="8"/>
  <c r="M5" i="3"/>
  <c r="M6" i="3"/>
  <c r="O4" i="3"/>
  <c r="O5" i="3"/>
  <c r="O6" i="3"/>
  <c r="P4" i="3"/>
  <c r="P5" i="3"/>
  <c r="P6" i="3"/>
  <c r="Q4" i="3"/>
  <c r="Q5" i="3"/>
  <c r="Q6" i="3"/>
  <c r="R4" i="3"/>
  <c r="R5" i="3"/>
  <c r="R6" i="3"/>
  <c r="S4" i="3"/>
  <c r="S5" i="3"/>
  <c r="S6" i="3"/>
  <c r="T4" i="3"/>
  <c r="T5" i="3"/>
  <c r="T6" i="3"/>
  <c r="X4" i="3"/>
  <c r="Z4" i="3"/>
  <c r="X5" i="3"/>
  <c r="G31" i="1"/>
  <c r="Y5" i="3" s="1"/>
  <c r="Z5" i="3"/>
  <c r="X6" i="3"/>
  <c r="Z6" i="3"/>
  <c r="AA4" i="3"/>
  <c r="AA5" i="3"/>
  <c r="AA6" i="3"/>
  <c r="AB4" i="3"/>
  <c r="AB5" i="3"/>
  <c r="AB6" i="3"/>
  <c r="AC4" i="3"/>
  <c r="AC5" i="3"/>
  <c r="AC6" i="3"/>
  <c r="AD4" i="3"/>
  <c r="C66" i="1"/>
  <c r="C70" i="1"/>
  <c r="AD5" i="3"/>
  <c r="AD6" i="3"/>
  <c r="AE4" i="3"/>
  <c r="C72" i="1"/>
  <c r="AE5" i="3"/>
  <c r="C95" i="1"/>
  <c r="E71" i="1"/>
  <c r="F34" i="2"/>
  <c r="AE6" i="3"/>
  <c r="BG4" i="3"/>
  <c r="AF4" i="3"/>
  <c r="C79" i="1"/>
  <c r="AF5" i="3"/>
  <c r="AF6" i="3"/>
  <c r="AG4" i="3"/>
  <c r="C85" i="1"/>
  <c r="C89" i="1"/>
  <c r="AG5" i="3"/>
  <c r="AG6" i="3"/>
  <c r="AH4" i="3"/>
  <c r="C91" i="1"/>
  <c r="E90" i="1"/>
  <c r="AH5" i="3"/>
  <c r="C96" i="1"/>
  <c r="C98" i="1"/>
  <c r="C100" i="1"/>
  <c r="F41" i="2"/>
  <c r="AH6" i="3"/>
  <c r="BP4" i="3"/>
  <c r="E91" i="1"/>
  <c r="F42" i="2"/>
  <c r="AI4" i="3"/>
  <c r="G90" i="1"/>
  <c r="G41" i="2"/>
  <c r="BQ4" i="3"/>
  <c r="E96" i="1"/>
  <c r="BT4" i="3"/>
  <c r="AI5" i="3"/>
  <c r="BP5" i="3"/>
  <c r="G91" i="1"/>
  <c r="G42" i="2"/>
  <c r="AI6" i="3"/>
  <c r="BQ5" i="3"/>
  <c r="I90" i="1"/>
  <c r="H41" i="2"/>
  <c r="G96" i="1"/>
  <c r="BT5" i="3"/>
  <c r="AJ4" i="3"/>
  <c r="BP6" i="3"/>
  <c r="I91" i="1"/>
  <c r="H42" i="2"/>
  <c r="AJ5" i="3"/>
  <c r="I96" i="1"/>
  <c r="BT6" i="3"/>
  <c r="BQ6" i="3"/>
  <c r="AJ6" i="3"/>
  <c r="C117" i="1"/>
  <c r="AK4" i="3"/>
  <c r="AK5" i="3"/>
  <c r="AK6" i="3"/>
  <c r="AL4" i="3"/>
  <c r="AL5" i="3"/>
  <c r="C125" i="1"/>
  <c r="C127" i="1"/>
  <c r="AL6" i="3"/>
  <c r="AM4" i="3"/>
  <c r="AM5" i="3"/>
  <c r="C130" i="1"/>
  <c r="AM6" i="3"/>
  <c r="E128" i="1"/>
  <c r="F52" i="2"/>
  <c r="CI4" i="3"/>
  <c r="C134" i="1"/>
  <c r="AN4" i="3"/>
  <c r="AN5" i="3"/>
  <c r="AN6" i="3"/>
  <c r="AO4" i="3"/>
  <c r="AO5" i="3"/>
  <c r="AO6" i="3"/>
  <c r="AP4" i="3"/>
  <c r="AP5" i="3"/>
  <c r="AP6" i="3"/>
  <c r="AQ4" i="3"/>
  <c r="AQ5" i="3"/>
  <c r="AQ6" i="3"/>
  <c r="AR4" i="3"/>
  <c r="AR5" i="3"/>
  <c r="AR6" i="3"/>
  <c r="AS4" i="3"/>
  <c r="AS5" i="3"/>
  <c r="AS6" i="3"/>
  <c r="AT4" i="3"/>
  <c r="AT5" i="3"/>
  <c r="AT6" i="3"/>
  <c r="AU4" i="3"/>
  <c r="AU5" i="3"/>
  <c r="AU6" i="3"/>
  <c r="AV4" i="3"/>
  <c r="AV5" i="3"/>
  <c r="AV6" i="3"/>
  <c r="AW4" i="3"/>
  <c r="AW5" i="3"/>
  <c r="AW6" i="3"/>
  <c r="AX4" i="3"/>
  <c r="AX5" i="3"/>
  <c r="AX6" i="3"/>
  <c r="AY4" i="3"/>
  <c r="AY5" i="3"/>
  <c r="AY6" i="3"/>
  <c r="AZ4" i="3"/>
  <c r="AZ5" i="3"/>
  <c r="AZ6" i="3"/>
  <c r="BB4" i="3"/>
  <c r="BB5" i="3"/>
  <c r="BB6" i="3"/>
  <c r="BC4" i="3"/>
  <c r="BC5" i="3"/>
  <c r="BC6" i="3"/>
  <c r="BD4" i="3"/>
  <c r="E66" i="1"/>
  <c r="D14" i="8"/>
  <c r="K116" i="1"/>
  <c r="CA4" i="3"/>
  <c r="E117" i="1"/>
  <c r="BD5" i="3"/>
  <c r="G66" i="1"/>
  <c r="BE4" i="3"/>
  <c r="F32" i="2"/>
  <c r="H14" i="8"/>
  <c r="BD6" i="3"/>
  <c r="I66" i="1"/>
  <c r="G32" i="2"/>
  <c r="BE5" i="3"/>
  <c r="E127" i="1"/>
  <c r="F49" i="2"/>
  <c r="CB4" i="3"/>
  <c r="F14" i="8"/>
  <c r="CA5" i="3"/>
  <c r="G117" i="1"/>
  <c r="G49" i="2"/>
  <c r="CB5" i="3"/>
  <c r="G127" i="1"/>
  <c r="I117" i="1"/>
  <c r="CA6" i="3"/>
  <c r="F51" i="2"/>
  <c r="CH4" i="3"/>
  <c r="E130" i="1"/>
  <c r="F53" i="2"/>
  <c r="H32" i="2"/>
  <c r="BE6" i="3"/>
  <c r="G128" i="1"/>
  <c r="E132" i="1"/>
  <c r="CJ4" i="3"/>
  <c r="I127" i="1"/>
  <c r="CB6" i="3"/>
  <c r="H49" i="2"/>
  <c r="CH5" i="3"/>
  <c r="G51" i="2"/>
  <c r="G130" i="1"/>
  <c r="G53" i="2"/>
  <c r="G52" i="2"/>
  <c r="CK4" i="3"/>
  <c r="E134" i="1"/>
  <c r="CM4" i="3"/>
  <c r="CH6" i="3"/>
  <c r="H51" i="2"/>
  <c r="CI5" i="3"/>
  <c r="G132" i="1"/>
  <c r="CK5" i="3"/>
  <c r="I128" i="1"/>
  <c r="H52" i="2"/>
  <c r="CJ5" i="3"/>
  <c r="I130" i="1"/>
  <c r="H53" i="2"/>
  <c r="CI6" i="3"/>
  <c r="G134" i="1"/>
  <c r="CM5" i="3"/>
  <c r="I132" i="1"/>
  <c r="I134" i="1"/>
  <c r="CM6" i="3"/>
  <c r="CJ6" i="3"/>
  <c r="CK6" i="3"/>
  <c r="H31" i="2" l="1"/>
  <c r="Y6" i="3"/>
  <c r="I70" i="1"/>
  <c r="Y4" i="3"/>
  <c r="F31" i="2"/>
  <c r="E70" i="1"/>
  <c r="G70" i="1"/>
  <c r="G31" i="2"/>
  <c r="BF5" i="3" l="1"/>
  <c r="G33" i="2"/>
  <c r="F18" i="8"/>
  <c r="E72" i="1"/>
  <c r="BF4" i="3"/>
  <c r="F33" i="2"/>
  <c r="D18" i="8"/>
  <c r="BF6" i="3"/>
  <c r="H33" i="2"/>
  <c r="H18" i="8"/>
  <c r="E95" i="1" l="1"/>
  <c r="F35" i="2"/>
  <c r="F44" i="2" s="1"/>
  <c r="G71" i="1"/>
  <c r="BH4" i="3"/>
  <c r="BS4" i="3" l="1"/>
  <c r="E98" i="1"/>
  <c r="G34" i="2"/>
  <c r="BG5" i="3"/>
  <c r="G72" i="1"/>
  <c r="I71" i="1" l="1"/>
  <c r="BH5" i="3"/>
  <c r="G35" i="2"/>
  <c r="G44" i="2" s="1"/>
  <c r="G95" i="1"/>
  <c r="F15" i="14"/>
  <c r="E100" i="1"/>
  <c r="BU4" i="3"/>
  <c r="D32" i="8"/>
  <c r="D29" i="8"/>
  <c r="F20" i="14" l="1"/>
  <c r="FZ4" i="3" s="1"/>
  <c r="FX4" i="3"/>
  <c r="H34" i="2"/>
  <c r="BG6" i="3"/>
  <c r="I72" i="1"/>
  <c r="G98" i="1"/>
  <c r="BS5" i="3"/>
  <c r="BH6" i="3" l="1"/>
  <c r="I95" i="1"/>
  <c r="H35" i="2"/>
  <c r="H44" i="2" s="1"/>
  <c r="BU5" i="3"/>
  <c r="F32" i="8"/>
  <c r="G100" i="1"/>
  <c r="F29" i="8"/>
  <c r="BS6" i="3" l="1"/>
  <c r="I98" i="1"/>
  <c r="BU6" i="3" l="1"/>
  <c r="H32" i="8"/>
  <c r="H29" i="8"/>
  <c r="I1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andrew.redding</author>
    <author>dawn.brennan</author>
    <author>Stephanie Kirbyshire</author>
    <author>tc={352A21F1-37D1-41FD-9D47-502AF30497B1}</author>
    <author>tc={F371C9E9-5F44-4C11-950F-2825FC27FB03}</author>
  </authors>
  <commentList>
    <comment ref="C7" authorId="0" shapeId="0" xr:uid="{00000000-0006-0000-0300-000001000000}">
      <text>
        <r>
          <rPr>
            <sz val="8"/>
            <color indexed="81"/>
            <rFont val="Tahoma"/>
            <family val="2"/>
          </rPr>
          <t>Included for reference / comparison
You can overtype the pre-populated figures with your actual outturn once this is known</t>
        </r>
      </text>
    </comment>
    <comment ref="C33" authorId="0" shapeId="0" xr:uid="{ACD4FB3D-CBE1-469A-840B-E535BF58FD14}">
      <text>
        <r>
          <rPr>
            <sz val="8"/>
            <color indexed="81"/>
            <rFont val="Tahoma"/>
            <family val="2"/>
          </rPr>
          <t>Included for reference / comparison
You can overtype the pre-populated figures with your actual outturn once this is known</t>
        </r>
      </text>
    </comment>
    <comment ref="C68" authorId="0" shapeId="0" xr:uid="{AAD75372-1203-492D-AC51-CFF1D63E6A88}">
      <text>
        <r>
          <rPr>
            <sz val="8"/>
            <color indexed="81"/>
            <rFont val="Tahoma"/>
            <family val="2"/>
          </rPr>
          <t>Included for reference / comparison
You can overtype the pre-populated figures with your actual outturn once this is known</t>
        </r>
      </text>
    </comment>
    <comment ref="C75" authorId="0" shapeId="0" xr:uid="{78B5FA46-1913-42F9-A1D7-D7AA52F786EC}">
      <text>
        <r>
          <rPr>
            <sz val="8"/>
            <color indexed="81"/>
            <rFont val="Tahoma"/>
            <family val="2"/>
          </rPr>
          <t>Included for reference / comparison
You can overtype the pre-populated figures with your actual outturn once this is known</t>
        </r>
      </text>
    </comment>
    <comment ref="E107" authorId="1" shapeId="0" xr:uid="{00000000-0006-0000-0300-000005000000}">
      <text>
        <r>
          <rPr>
            <sz val="8"/>
            <color indexed="81"/>
            <rFont val="Tahoma"/>
            <family val="2"/>
          </rPr>
          <t>You should enter your capital brought forward balance from the Council's ledger</t>
        </r>
      </text>
    </comment>
    <comment ref="E108" authorId="1" shapeId="0" xr:uid="{00000000-0006-0000-0300-000006000000}">
      <text>
        <r>
          <rPr>
            <sz val="8"/>
            <color indexed="81"/>
            <rFont val="Tahoma"/>
            <family val="2"/>
          </rPr>
          <t>This is the new Capital allocation you have been notified of for the 2017-18 Financial Year</t>
        </r>
      </text>
    </comment>
    <comment ref="C112" authorId="0" shapeId="0" xr:uid="{A8D763BB-F1FA-4832-BBD2-C9FC93A68491}">
      <text>
        <r>
          <rPr>
            <sz val="8"/>
            <color indexed="81"/>
            <rFont val="Tahoma"/>
            <family val="2"/>
          </rPr>
          <t>Included for reference / comparison
You can overtype the pre-populated figures with your actual outturn once this is known</t>
        </r>
      </text>
    </comment>
    <comment ref="E137" authorId="1" shapeId="0" xr:uid="{00000000-0006-0000-0300-000009000000}">
      <text>
        <r>
          <rPr>
            <sz val="8"/>
            <color indexed="81"/>
            <rFont val="Tahoma"/>
            <family val="2"/>
          </rPr>
          <t>This is the sum total of the Capital you have available to draw down minus the figure in CI01.</t>
        </r>
      </text>
    </comment>
    <comment ref="G137" authorId="1" shapeId="0" xr:uid="{00000000-0006-0000-0300-00000A000000}">
      <text>
        <r>
          <rPr>
            <sz val="8"/>
            <color indexed="81"/>
            <rFont val="Tahoma"/>
            <family val="2"/>
          </rPr>
          <t>This is the sum total of the Capital you have available to draw down minus the figure in CI01.</t>
        </r>
      </text>
    </comment>
    <comment ref="I137" authorId="1" shapeId="0" xr:uid="{00000000-0006-0000-0300-00000B000000}">
      <text>
        <r>
          <rPr>
            <sz val="8"/>
            <color indexed="81"/>
            <rFont val="Tahoma"/>
            <family val="2"/>
          </rPr>
          <t>This is the sum total of the Capital you have available to draw down minus the figure in CI01.</t>
        </r>
      </text>
    </comment>
    <comment ref="A277" authorId="2" shapeId="0" xr:uid="{0E0CD8F2-3F7B-4E06-9025-04EB468AD3D3}">
      <text>
        <r>
          <rPr>
            <b/>
            <sz val="9"/>
            <color indexed="81"/>
            <rFont val="Tahoma"/>
            <family val="2"/>
          </rPr>
          <t>Stephanie Kirbyshire:</t>
        </r>
        <r>
          <rPr>
            <sz val="9"/>
            <color indexed="81"/>
            <rFont val="Tahoma"/>
            <family val="2"/>
          </rPr>
          <t xml:space="preserve">
Changed from …and Preschool in Oct 24 at GP's request.
</t>
        </r>
      </text>
    </comment>
    <comment ref="A293" authorId="3" shapeId="0" xr:uid="{352A21F1-37D1-41FD-9D47-502AF30497B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299" authorId="4" shapeId="0" xr:uid="{F371C9E9-5F44-4C11-950F-2825FC27FB03}">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tc={9BB4B8C0-465F-4E49-91D4-7606CC67E545}</author>
  </authors>
  <commentList>
    <comment ref="A1" authorId="0" shapeId="0" xr:uid="{9BB4B8C0-465F-4E49-91D4-7606CC67E545}">
      <text>
        <t>[Threaded comment]
Your version of Excel allows you to read this threaded comment; however, any edits to it will get removed if the file is opened in a newer version of Excel. Learn more: https://go.microsoft.com/fwlink/?linkid=870924
Comment:
    Paste Report Here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Stephanie Kirbyshire</author>
    <author>tc={DB89B573-C5DE-41CE-BD3B-15AE540D74BD}</author>
    <author>tc={9E567366-9991-4FB1-BA65-9A6B929DA0D2}</author>
  </authors>
  <commentList>
    <comment ref="C89" authorId="0" shapeId="0" xr:uid="{286C21D0-F13C-4BF6-B43A-E7B818067CF3}">
      <text>
        <r>
          <rPr>
            <b/>
            <sz val="9"/>
            <color indexed="81"/>
            <rFont val="Tahoma"/>
            <family val="2"/>
          </rPr>
          <t>Stephanie Kirbyshire:</t>
        </r>
        <r>
          <rPr>
            <sz val="9"/>
            <color indexed="81"/>
            <rFont val="Tahoma"/>
            <family val="2"/>
          </rPr>
          <t xml:space="preserve">
Changed from …and Preschool in Oct 24 at GP's request.
</t>
        </r>
      </text>
    </comment>
    <comment ref="C105" authorId="1" shapeId="0" xr:uid="{DB89B573-C5DE-41CE-BD3B-15AE540D74BD}">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1" authorId="2" shapeId="0" xr:uid="{9E567366-9991-4FB1-BA65-9A6B929DA0D2}">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Stephanie Kirbyshire</author>
    <author>tc={2EA8F5A5-69A8-4FF6-B302-BB1E74614C1E}</author>
    <author>tc={B2DCBE43-94E7-4625-BB85-CD9B076430DA}</author>
  </authors>
  <commentList>
    <comment ref="B89" authorId="0" shapeId="0" xr:uid="{2D884D6D-9637-4876-964C-1B14A5D8C460}">
      <text>
        <r>
          <rPr>
            <b/>
            <sz val="9"/>
            <color indexed="81"/>
            <rFont val="Tahoma"/>
            <family val="2"/>
          </rPr>
          <t>Stephanie Kirbyshire:</t>
        </r>
        <r>
          <rPr>
            <sz val="9"/>
            <color indexed="81"/>
            <rFont val="Tahoma"/>
            <family val="2"/>
          </rPr>
          <t xml:space="preserve">
Changed from …and Preschool in Oct 24 at GP's request.
</t>
        </r>
      </text>
    </comment>
    <comment ref="B105" authorId="1" shapeId="0" xr:uid="{2EA8F5A5-69A8-4FF6-B302-BB1E74614C1E}">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B111" authorId="2" shapeId="0" xr:uid="{B2DCBE43-94E7-4625-BB85-CD9B076430DA}">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sharedStrings.xml><?xml version="1.0" encoding="utf-8"?>
<sst xmlns="http://schemas.openxmlformats.org/spreadsheetml/2006/main" count="1668" uniqueCount="814">
  <si>
    <t>Once downloaded, please copy and paste that report into the Budget Analysis Report sheet in this workbook.</t>
  </si>
  <si>
    <t>Paste it into cell A1</t>
  </si>
  <si>
    <t>Further Guidance can be found in the document below.</t>
  </si>
  <si>
    <t>To download your report, navigate to the Reporting module of SBS and run the Budget Analysis Report</t>
  </si>
  <si>
    <t>Using the Export button in the top right, download an Excel (Table) version of the report</t>
  </si>
  <si>
    <t>Copy all of the data from the export and paste this into Cell A1 of the Budget Analysis Report (Table) Worksheet</t>
  </si>
  <si>
    <t>Please complete this form and return it by e-mail to SSCT</t>
  </si>
  <si>
    <t>Governing Board Authorisation of the School's Budget</t>
  </si>
  <si>
    <t>School:</t>
  </si>
  <si>
    <t>DfE Number</t>
  </si>
  <si>
    <t>1) Has the Governing Board authorised a 3 year budget?</t>
  </si>
  <si>
    <t>3 YEAR</t>
  </si>
  <si>
    <t>2) Are sheets a, b,c and d within this budget return fully completed?</t>
  </si>
  <si>
    <t>CHOOSE</t>
  </si>
  <si>
    <t>(please check and change the box on the right to 'YES')</t>
  </si>
  <si>
    <t>2) By Recording YES in the Box to the right (see drop down)</t>
  </si>
  <si>
    <t>You are confirming that this 3 Year Budget has been appropriately authorised by the Governing Board</t>
  </si>
  <si>
    <t>Please provide details below - overtype  the yellow fields</t>
  </si>
  <si>
    <t>We would normally expect that the peron authorising this return to be the Chair of Governors</t>
  </si>
  <si>
    <t>Name of Person Authorising this Return</t>
  </si>
  <si>
    <t>Position of Person Authorising this Return</t>
  </si>
  <si>
    <t>Date Authorised</t>
  </si>
  <si>
    <t>BUDGET SUMMARY</t>
  </si>
  <si>
    <t>a) SCHOOL'S REVENUE BUDGET</t>
  </si>
  <si>
    <t>2025/26</t>
  </si>
  <si>
    <t>2026/27</t>
  </si>
  <si>
    <t>2027/28</t>
  </si>
  <si>
    <t>Total Income</t>
  </si>
  <si>
    <t>Total Expenditure</t>
  </si>
  <si>
    <t>In year Surplus/(Deficit)</t>
  </si>
  <si>
    <t>Estimated Brought Forward Balance</t>
  </si>
  <si>
    <t>FORECASTED CARRY FORWARD BALANCE AT THE END OF EACH YEAR (BO1 + BO2)</t>
  </si>
  <si>
    <t>b) COMMUNITY FOCUSED ACTIVITIES REVENUE BUDGET</t>
  </si>
  <si>
    <t>In Year Surplus / Deficit</t>
  </si>
  <si>
    <t>FORECASTED CARRY FORWARD BALANCE AT THE END OF EACH YEAR (BO6)</t>
  </si>
  <si>
    <t>FORECAST OF TOTAL SCHOOL REVENUE CARRY FORWARD BALANCES AT THE END OF EACH YEAR</t>
  </si>
  <si>
    <t>c) SCHOOL'S CAPITAL BUDGET</t>
  </si>
  <si>
    <t>Total Capital Income</t>
  </si>
  <si>
    <t>Total Capital Expenditure</t>
  </si>
  <si>
    <t>In year Capital Surplus/(Deficit)</t>
  </si>
  <si>
    <t>Estimated Capital Brought Forward Balance</t>
  </si>
  <si>
    <t>FORECASTED CAPITAL BALANCE TO CARRY FORWARD AT THE END OF EACH YEAR</t>
  </si>
  <si>
    <t>1 YEAR</t>
  </si>
  <si>
    <t>YES</t>
  </si>
  <si>
    <t>NO</t>
  </si>
  <si>
    <t>CENTRALLY FUNDED</t>
  </si>
  <si>
    <t>SELF FUNDED</t>
  </si>
  <si>
    <t>Please Click on Arrow to Choose School</t>
  </si>
  <si>
    <t>Unit4 CostC</t>
  </si>
  <si>
    <t>2012/2013</t>
  </si>
  <si>
    <t>2024/25 Latest Forecast or Actual Outturn</t>
  </si>
  <si>
    <t>Pupil Numbers</t>
  </si>
  <si>
    <t>CFR</t>
  </si>
  <si>
    <t>TOTAL INCOME</t>
  </si>
  <si>
    <t>£</t>
  </si>
  <si>
    <t>I01</t>
  </si>
  <si>
    <t>Funds Delegated by the Local Authority</t>
  </si>
  <si>
    <t>: Delegated Funds</t>
  </si>
  <si>
    <t>I02</t>
  </si>
  <si>
    <t>Funding for 6th Form Students</t>
  </si>
  <si>
    <t>: Sixth-Form Funding</t>
  </si>
  <si>
    <t>I03</t>
  </si>
  <si>
    <t>SEN Funding</t>
  </si>
  <si>
    <t>: High Needs Funding</t>
  </si>
  <si>
    <t>I04</t>
  </si>
  <si>
    <t>Funding for Minority Ethnic Pupils</t>
  </si>
  <si>
    <t>: Funding for Minority Ethnic Pupils</t>
  </si>
  <si>
    <t>I05</t>
  </si>
  <si>
    <t>Pupil Premium</t>
  </si>
  <si>
    <t>: Pupil Premium</t>
  </si>
  <si>
    <t>I06</t>
  </si>
  <si>
    <t>Other Government Grants</t>
  </si>
  <si>
    <t>: Other Government Grants</t>
  </si>
  <si>
    <t>I07</t>
  </si>
  <si>
    <t xml:space="preserve">Other Grants &amp; Payments </t>
  </si>
  <si>
    <t>: Other Grants</t>
  </si>
  <si>
    <t>I08A</t>
  </si>
  <si>
    <t>Income from Letting Premises</t>
  </si>
  <si>
    <t>: Lettings Income</t>
  </si>
  <si>
    <t>I08B</t>
  </si>
  <si>
    <t>Other Income from Facilities and Services</t>
  </si>
  <si>
    <t>: Facilities &amp; Services Income</t>
  </si>
  <si>
    <t>I09</t>
  </si>
  <si>
    <t>Income From Catering</t>
  </si>
  <si>
    <t>: Catering Income</t>
  </si>
  <si>
    <t>I10</t>
  </si>
  <si>
    <t>Receipts from Supply Teachers Insurance Claims</t>
  </si>
  <si>
    <t>: Supply Teacher Insurance Claims</t>
  </si>
  <si>
    <t>I11</t>
  </si>
  <si>
    <t>Receipts from Other Insurance Claims</t>
  </si>
  <si>
    <t>: Other Insurance Claims</t>
  </si>
  <si>
    <t>I12</t>
  </si>
  <si>
    <t>Income from Contributions to Visits etc.</t>
  </si>
  <si>
    <t>: Contributions to visits</t>
  </si>
  <si>
    <t>I13</t>
  </si>
  <si>
    <t>Donations and/or Private Funds</t>
  </si>
  <si>
    <t>I15</t>
  </si>
  <si>
    <t>Pupil Focused Extended School Funding and/or Grants</t>
  </si>
  <si>
    <t>I18A</t>
  </si>
  <si>
    <t>: COVID Job Retention Scheme</t>
  </si>
  <si>
    <t>I18B</t>
  </si>
  <si>
    <t>: COVID Reimbursment</t>
  </si>
  <si>
    <t>I18C</t>
  </si>
  <si>
    <t>: COVID Catch Up Grants</t>
  </si>
  <si>
    <t>I18D</t>
  </si>
  <si>
    <t>: Additional Grants</t>
  </si>
  <si>
    <t>TOTAL EXPENDITURE</t>
  </si>
  <si>
    <t>E01</t>
  </si>
  <si>
    <t>Teaching Staff</t>
  </si>
  <si>
    <t>: Teaching Staff</t>
  </si>
  <si>
    <t>E02</t>
  </si>
  <si>
    <t>Supply Teaching Staff</t>
  </si>
  <si>
    <t>: Supply Teaching Staff</t>
  </si>
  <si>
    <t>E03</t>
  </si>
  <si>
    <t>Education Support Staff</t>
  </si>
  <si>
    <t>: Education Support Staff</t>
  </si>
  <si>
    <t>E04</t>
  </si>
  <si>
    <t>Premises Staff</t>
  </si>
  <si>
    <t>: Premises Staff</t>
  </si>
  <si>
    <t>E05</t>
  </si>
  <si>
    <t>Administrative &amp; Clerical Staff</t>
  </si>
  <si>
    <t>: Administrative &amp; Clerical Staff</t>
  </si>
  <si>
    <t>E06</t>
  </si>
  <si>
    <t>Catering Staff</t>
  </si>
  <si>
    <t>: Catering Staff</t>
  </si>
  <si>
    <t>E07</t>
  </si>
  <si>
    <t>Cost of Other Staff</t>
  </si>
  <si>
    <t>: Other Staff</t>
  </si>
  <si>
    <t>E08</t>
  </si>
  <si>
    <t>Indirect Employee Expenses</t>
  </si>
  <si>
    <t>: Indirect Employee Expenses</t>
  </si>
  <si>
    <t>E09</t>
  </si>
  <si>
    <t>Development &amp; Training</t>
  </si>
  <si>
    <t>: Staff Development &amp; Training</t>
  </si>
  <si>
    <t>E10</t>
  </si>
  <si>
    <t>Supply Teacher Insurance</t>
  </si>
  <si>
    <t>: Supply Teacher Insurance</t>
  </si>
  <si>
    <t>E11</t>
  </si>
  <si>
    <t>Staff Related Insurance</t>
  </si>
  <si>
    <t>: Staff Related Insurance</t>
  </si>
  <si>
    <t>E12</t>
  </si>
  <si>
    <t>Building Maintenance &amp; Improvement</t>
  </si>
  <si>
    <t>: Building Maintenance &amp; Improvement</t>
  </si>
  <si>
    <t>E13</t>
  </si>
  <si>
    <t>Grounds Maintenance &amp; Improvement</t>
  </si>
  <si>
    <t>: Grounds Maintenance &amp; Improvement</t>
  </si>
  <si>
    <t>E14</t>
  </si>
  <si>
    <t>Cleaning &amp; Caretaking</t>
  </si>
  <si>
    <t>: Cleaning &amp; Caretaking</t>
  </si>
  <si>
    <t>E15</t>
  </si>
  <si>
    <t>Water &amp; Sewerage</t>
  </si>
  <si>
    <t>: Water &amp; Sewerage</t>
  </si>
  <si>
    <t>E16</t>
  </si>
  <si>
    <t>Energy</t>
  </si>
  <si>
    <t>: Energy</t>
  </si>
  <si>
    <t>E17</t>
  </si>
  <si>
    <t>Rates</t>
  </si>
  <si>
    <t>: Rates</t>
  </si>
  <si>
    <t>E18</t>
  </si>
  <si>
    <t>Other Occupation Costs</t>
  </si>
  <si>
    <t>: Other Occupation Costs</t>
  </si>
  <si>
    <t>E19</t>
  </si>
  <si>
    <t>Learning Resources (not ICT equipment)</t>
  </si>
  <si>
    <t>: Learning Resources (not ICT)</t>
  </si>
  <si>
    <t>E20</t>
  </si>
  <si>
    <t>ICT Learning Resources (All sub CFR Codes)</t>
  </si>
  <si>
    <t>E21</t>
  </si>
  <si>
    <t>Exam fees</t>
  </si>
  <si>
    <t>: Exam Fees</t>
  </si>
  <si>
    <t>E22</t>
  </si>
  <si>
    <t>Administrative Supplies</t>
  </si>
  <si>
    <t>: Administrative Supplies</t>
  </si>
  <si>
    <t>E23</t>
  </si>
  <si>
    <t>Other Insurance Premiums</t>
  </si>
  <si>
    <t>: Other Insurance Premiums</t>
  </si>
  <si>
    <t>E24</t>
  </si>
  <si>
    <t>Special facilities</t>
  </si>
  <si>
    <t>: Special Facilities</t>
  </si>
  <si>
    <t>E25</t>
  </si>
  <si>
    <t>Catering Supplies</t>
  </si>
  <si>
    <t>: Catering Supplies</t>
  </si>
  <si>
    <t>E26</t>
  </si>
  <si>
    <t>Agency Supply Teaching Staff</t>
  </si>
  <si>
    <t>: Agency Supply Teaching Staff</t>
  </si>
  <si>
    <t>E27</t>
  </si>
  <si>
    <t>Bought in Professional Services-Curriculum</t>
  </si>
  <si>
    <t>: Professional Services - Curriculum</t>
  </si>
  <si>
    <t>E28A</t>
  </si>
  <si>
    <t>Bought in Professional Services-Other (except PFI)</t>
  </si>
  <si>
    <t>: Professional Services - Other</t>
  </si>
  <si>
    <t>E28B</t>
  </si>
  <si>
    <t>Bought in Professional Services-Other (PFI)</t>
  </si>
  <si>
    <t>: Professional Services - Other PFI</t>
  </si>
  <si>
    <t>E29</t>
  </si>
  <si>
    <t>Loan Interest</t>
  </si>
  <si>
    <t>: Loan Interest</t>
  </si>
  <si>
    <t>E30</t>
  </si>
  <si>
    <t>Direct Revenue Financing (Capitalisation)</t>
  </si>
  <si>
    <t>: Contributions to Capital</t>
  </si>
  <si>
    <t>School's Revenue Balances</t>
  </si>
  <si>
    <t>In Year Surplus/Deficit</t>
  </si>
  <si>
    <t>Surplus / Deficit B/fwd (Revenue) (OB01 + OB02)</t>
  </si>
  <si>
    <t>Cumulative Surplus / Deficit C/fwd (B01 + B02)</t>
  </si>
  <si>
    <t>COMMUNITY FOCUSED ACTIVITIES INCOME</t>
  </si>
  <si>
    <t>I16</t>
  </si>
  <si>
    <t>Community Focused School Funding &amp;/or Grants</t>
  </si>
  <si>
    <t>: Community Focused Extended School Funding</t>
  </si>
  <si>
    <t>I17</t>
  </si>
  <si>
    <t>Community Focused School Facilities Income</t>
  </si>
  <si>
    <t>: Community Focused Extended School Facilities Income</t>
  </si>
  <si>
    <t>Total Community Focused Activities Income</t>
  </si>
  <si>
    <t>COMMUNITY FOCUSED ACTIVITIES EXPENDITURE</t>
  </si>
  <si>
    <t>E31</t>
  </si>
  <si>
    <t>Community Focused Schools Staff</t>
  </si>
  <si>
    <t>: Community Focused Extended School Staff</t>
  </si>
  <si>
    <t>E32</t>
  </si>
  <si>
    <t>Community Focused Schools Costs</t>
  </si>
  <si>
    <t>: Community Focused Extended School Costs</t>
  </si>
  <si>
    <t>Total Community Focused Activties Expenditure</t>
  </si>
  <si>
    <t>Community Focused Activities Balances</t>
  </si>
  <si>
    <t>Surplus / Deficit B/fwd (OB06)</t>
  </si>
  <si>
    <t>B06</t>
  </si>
  <si>
    <t>Cumulative Surplus / Deficit C/fwd (B06)</t>
  </si>
  <si>
    <t>Total Revenue &amp; Community Focused Activities Balances</t>
  </si>
  <si>
    <t>B01</t>
  </si>
  <si>
    <t>Committed Revenue Balances</t>
  </si>
  <si>
    <t>B02</t>
  </si>
  <si>
    <t>Uncommitted Revenue Balances</t>
  </si>
  <si>
    <t>Cumulative Surplus / Deficit Balance C/fwd (B01 + B02 + B06)</t>
  </si>
  <si>
    <t xml:space="preserve">  Forecasted total carry forward balances as a % of I01 - I05 Funding</t>
  </si>
  <si>
    <t>Devolved Formula Capital (DFC)</t>
  </si>
  <si>
    <t>Surplus / Deficit B/fwd (Capital)</t>
  </si>
  <si>
    <t>DFC Allocation (new year)</t>
  </si>
  <si>
    <t>Total Available Capital Budget</t>
  </si>
  <si>
    <t>Capital Income</t>
  </si>
  <si>
    <t>CI01</t>
  </si>
  <si>
    <t>: Capital Income</t>
  </si>
  <si>
    <t>CI03</t>
  </si>
  <si>
    <t>Voluntary or Private Income</t>
  </si>
  <si>
    <t>: Voluntary or Private Income</t>
  </si>
  <si>
    <t>CI04</t>
  </si>
  <si>
    <t>Direct Revenue Financing (Revenue Contribution to Capital)</t>
  </si>
  <si>
    <t>: Contributions from Revenue</t>
  </si>
  <si>
    <t>Capital Expenditure</t>
  </si>
  <si>
    <t>CE01</t>
  </si>
  <si>
    <t>Acquisition of land and existing buildings</t>
  </si>
  <si>
    <t>: Acquisition of Land &amp; Buildings</t>
  </si>
  <si>
    <t>CE02</t>
  </si>
  <si>
    <t>New construction, conversion and renovation</t>
  </si>
  <si>
    <t>: New Construction &amp; Renovation</t>
  </si>
  <si>
    <t>CE03</t>
  </si>
  <si>
    <t>Vehicles, plant, equipment and machinery</t>
  </si>
  <si>
    <t>: Vehicles, Plant, Equipment &amp; Machinery</t>
  </si>
  <si>
    <t>CE04</t>
  </si>
  <si>
    <t>Information and communications technology (All sub CFR Codes)</t>
  </si>
  <si>
    <t>In Year capital balance</t>
  </si>
  <si>
    <t xml:space="preserve">CUMULATIVE CAPITAL BALANCE TO C/FWD </t>
  </si>
  <si>
    <t>B03</t>
  </si>
  <si>
    <t>Devolved formula capital balance</t>
  </si>
  <si>
    <t>B05</t>
  </si>
  <si>
    <t>Other capital balances</t>
  </si>
  <si>
    <t>TOTAL CUMULATIVE CAPITAL BALANCES</t>
  </si>
  <si>
    <t>DFC Resources Still Available Not Drawn Down</t>
  </si>
  <si>
    <t>Abbots Ripton CofE Primary School</t>
  </si>
  <si>
    <t>Primary</t>
  </si>
  <si>
    <t>30EP3373</t>
  </si>
  <si>
    <t>Alconbury CofE Primary School</t>
  </si>
  <si>
    <t>30EP3061</t>
  </si>
  <si>
    <t>Alderman Payne Primary School</t>
  </si>
  <si>
    <t>30EP2083</t>
  </si>
  <si>
    <t>Arbury Primary School</t>
  </si>
  <si>
    <t>30EP2118</t>
  </si>
  <si>
    <t>Ashbeach Primary School</t>
  </si>
  <si>
    <t>30EP2217</t>
  </si>
  <si>
    <t>Barnabas Oley CofE Primary school</t>
  </si>
  <si>
    <t>30EP3067</t>
  </si>
  <si>
    <t>Barrington CofE VC Primary School</t>
  </si>
  <si>
    <t>30EP3001</t>
  </si>
  <si>
    <t>Barton CofE VA Primary School</t>
  </si>
  <si>
    <t>30EP3301</t>
  </si>
  <si>
    <t>Bassingbourn Primary School</t>
  </si>
  <si>
    <t>30EP2002</t>
  </si>
  <si>
    <t>Beaupre Community Primary School</t>
  </si>
  <si>
    <t>30EP2082</t>
  </si>
  <si>
    <t>Bellbird Primary School</t>
  </si>
  <si>
    <t>30EP3943</t>
  </si>
  <si>
    <t>Benwick Primary School</t>
  </si>
  <si>
    <t>30EP2060</t>
  </si>
  <si>
    <t>Bewick Bridge Community Primary School</t>
  </si>
  <si>
    <t>30EP2312</t>
  </si>
  <si>
    <t>Brampton Village Primary School</t>
  </si>
  <si>
    <t>30EP3942</t>
  </si>
  <si>
    <t>Brington CofE Primary School</t>
  </si>
  <si>
    <t>30EP3081</t>
  </si>
  <si>
    <t>Brunswick Nursery School</t>
  </si>
  <si>
    <t>Nursery</t>
  </si>
  <si>
    <t>30EN1005</t>
  </si>
  <si>
    <t>Burwell Village College (Primary)</t>
  </si>
  <si>
    <t>30EP2327</t>
  </si>
  <si>
    <t>Bushmead Primary School</t>
  </si>
  <si>
    <t>30EP2452</t>
  </si>
  <si>
    <t>Caldecote Primary School</t>
  </si>
  <si>
    <t>30EP2004</t>
  </si>
  <si>
    <t>Castle Camps Church of England (Controlled) Primary School</t>
  </si>
  <si>
    <t>30EP3008</t>
  </si>
  <si>
    <t>Castle School, Cambridge</t>
  </si>
  <si>
    <t>Special</t>
  </si>
  <si>
    <t>30ES7026</t>
  </si>
  <si>
    <t>Cherry Hinton Church of England Voluntary Controlled Primary School</t>
  </si>
  <si>
    <t>30EP3050</t>
  </si>
  <si>
    <t>Cheveley CofE Primary School</t>
  </si>
  <si>
    <t>30EP3009</t>
  </si>
  <si>
    <t>Clarkson Infants School</t>
  </si>
  <si>
    <t>30EP2091</t>
  </si>
  <si>
    <t>Coates Primary School</t>
  </si>
  <si>
    <t>30EP2065</t>
  </si>
  <si>
    <t>Colleges Nursery School</t>
  </si>
  <si>
    <t>30EN1006</t>
  </si>
  <si>
    <t>Colville Primary School</t>
  </si>
  <si>
    <t>30EP2119</t>
  </si>
  <si>
    <t>Coton Church of England (Voluntary Controlled) Primary School</t>
  </si>
  <si>
    <t>30EP3011</t>
  </si>
  <si>
    <t>Cottenham Primary School</t>
  </si>
  <si>
    <t>30EP2006</t>
  </si>
  <si>
    <t>Dry Drayton CofE (C) Primary School</t>
  </si>
  <si>
    <t>30EP3012</t>
  </si>
  <si>
    <t>Duxford Church of England Community Primary School</t>
  </si>
  <si>
    <t>30EP3041</t>
  </si>
  <si>
    <t>Eastfield Infant and Nursery School</t>
  </si>
  <si>
    <t>30EP2246</t>
  </si>
  <si>
    <t>Elsworth CofE VA Primary School</t>
  </si>
  <si>
    <t>30EP3308</t>
  </si>
  <si>
    <t>Elton CofE Primary School of the Foundation of Frances and Jane Proby</t>
  </si>
  <si>
    <t>30EP3368</t>
  </si>
  <si>
    <t>Ely St John's Community Primary School</t>
  </si>
  <si>
    <t>30EP2444</t>
  </si>
  <si>
    <t>Eynesbury CofE C Primary School</t>
  </si>
  <si>
    <t>30EP3074</t>
  </si>
  <si>
    <t>Fawcett Primary School</t>
  </si>
  <si>
    <t>30EP2336</t>
  </si>
  <si>
    <t>Fen Drayton Primary School</t>
  </si>
  <si>
    <t>30EP2010</t>
  </si>
  <si>
    <t>Fenstanton and Hilton Primary School</t>
  </si>
  <si>
    <t>30EP2208</t>
  </si>
  <si>
    <t>Folksworth CofE Primary School</t>
  </si>
  <si>
    <t>30EP3065</t>
  </si>
  <si>
    <t>Fordham CofE Primary School</t>
  </si>
  <si>
    <t>30EP3014</t>
  </si>
  <si>
    <t>Fourfields Community Primary School</t>
  </si>
  <si>
    <t>30EP2321</t>
  </si>
  <si>
    <t>Fowlmere Primary School</t>
  </si>
  <si>
    <t>30EP2011</t>
  </si>
  <si>
    <t>Foxton Primary School</t>
  </si>
  <si>
    <t>30EP2012</t>
  </si>
  <si>
    <t>Friday Bridge Community Primary School</t>
  </si>
  <si>
    <t>30EP2068</t>
  </si>
  <si>
    <t>Fulbourn Primary School</t>
  </si>
  <si>
    <t>30EP2328</t>
  </si>
  <si>
    <t>Granta School</t>
  </si>
  <si>
    <t>30ES7025</t>
  </si>
  <si>
    <t>Great Abington Primary School</t>
  </si>
  <si>
    <t>30EP2016</t>
  </si>
  <si>
    <t>Great and Little Shelford CofE (Aided) Primary School</t>
  </si>
  <si>
    <t>30EP3310</t>
  </si>
  <si>
    <t>Great Paxton CofE Primary School</t>
  </si>
  <si>
    <t>30EP3068</t>
  </si>
  <si>
    <t>Hardwick and Cambourne Community Primary School</t>
  </si>
  <si>
    <t>30EP2315</t>
  </si>
  <si>
    <t>Harston and Newton Community Primary School</t>
  </si>
  <si>
    <t>30EP2018</t>
  </si>
  <si>
    <t>Haslingfield Endowed Primary School</t>
  </si>
  <si>
    <t>30EP3035</t>
  </si>
  <si>
    <t>Hauxton Primary School</t>
  </si>
  <si>
    <t>30EP2205</t>
  </si>
  <si>
    <t>Hemingford Grey Primary School</t>
  </si>
  <si>
    <t>30EP2211</t>
  </si>
  <si>
    <t>Histon Early Years Centre</t>
  </si>
  <si>
    <t>30EN1003</t>
  </si>
  <si>
    <t>Holywell CofE Primary School</t>
  </si>
  <si>
    <t>30EP3071</t>
  </si>
  <si>
    <t>Homerton Early Years Centre</t>
  </si>
  <si>
    <t>30EN1002</t>
  </si>
  <si>
    <t>Houghton Primary School</t>
  </si>
  <si>
    <t>30EP2212</t>
  </si>
  <si>
    <t>Huntingdon Nursery School</t>
  </si>
  <si>
    <t>30EN1007</t>
  </si>
  <si>
    <t>Huntingdon Primary School</t>
  </si>
  <si>
    <t>30EP3945</t>
  </si>
  <si>
    <t>Isleham Church of England Primary School</t>
  </si>
  <si>
    <t>30EP3022</t>
  </si>
  <si>
    <t>Kettlefields Primary School</t>
  </si>
  <si>
    <t>30EP2442</t>
  </si>
  <si>
    <t>Kinderley Primary School</t>
  </si>
  <si>
    <t>30EP2331</t>
  </si>
  <si>
    <t>Kings Hedges Nursery School</t>
  </si>
  <si>
    <t>30EN1000</t>
  </si>
  <si>
    <t>Kings Hedges Primary School</t>
  </si>
  <si>
    <t>30EP2446</t>
  </si>
  <si>
    <t>Linton CofE Infant School</t>
  </si>
  <si>
    <t>30EP3317</t>
  </si>
  <si>
    <t>Lionel Walden Primary School</t>
  </si>
  <si>
    <t>30EP2066</t>
  </si>
  <si>
    <t>Little Paxton Primary School</t>
  </si>
  <si>
    <t>30EP2293</t>
  </si>
  <si>
    <t>Littleport Community Primary School</t>
  </si>
  <si>
    <t>30EP2074</t>
  </si>
  <si>
    <t>Manea Community Primary School</t>
  </si>
  <si>
    <t>30EP2075</t>
  </si>
  <si>
    <t>Mayfield Primary School</t>
  </si>
  <si>
    <t>30EP2121</t>
  </si>
  <si>
    <t>Melbourn Primary School</t>
  </si>
  <si>
    <t>30EP2028</t>
  </si>
  <si>
    <t>Meldreth Primary School</t>
  </si>
  <si>
    <t>30EP2029</t>
  </si>
  <si>
    <t>Meridian Primary School</t>
  </si>
  <si>
    <t>30EP2059</t>
  </si>
  <si>
    <t>Milton Road Primary School</t>
  </si>
  <si>
    <t>30EP3386</t>
  </si>
  <si>
    <t>Monkfield Park Primary School</t>
  </si>
  <si>
    <t>30EP2449</t>
  </si>
  <si>
    <t>Morley Memorial Primary School</t>
  </si>
  <si>
    <t>30EP2107</t>
  </si>
  <si>
    <t>Newnham Croft Primary School</t>
  </si>
  <si>
    <t>30EP2109</t>
  </si>
  <si>
    <t>Orchard Park Community Primary School</t>
  </si>
  <si>
    <t>30EP3390</t>
  </si>
  <si>
    <t>Over Primary School</t>
  </si>
  <si>
    <t>30EP2031</t>
  </si>
  <si>
    <t>Park Street CofE Primary School</t>
  </si>
  <si>
    <t>30EP3350</t>
  </si>
  <si>
    <t>Pendragon Community Primary School</t>
  </si>
  <si>
    <t>30EP2033</t>
  </si>
  <si>
    <t>Petersfield CofE Aided Primary School</t>
  </si>
  <si>
    <t>30EP3331</t>
  </si>
  <si>
    <t>Priory Junior School</t>
  </si>
  <si>
    <t>30EP2239</t>
  </si>
  <si>
    <t>Priory Park Infant School &amp; Preschool</t>
  </si>
  <si>
    <t>30EP2219</t>
  </si>
  <si>
    <t>Queen Edith Primary School</t>
  </si>
  <si>
    <t>30EP2333</t>
  </si>
  <si>
    <t xml:space="preserve">Queen Emma Primary School </t>
  </si>
  <si>
    <t>30EP3946</t>
  </si>
  <si>
    <t>Ridgefield Primary School</t>
  </si>
  <si>
    <t>30EP2453</t>
  </si>
  <si>
    <t>Robert Arkenstall Primary School</t>
  </si>
  <si>
    <t>30EP2070</t>
  </si>
  <si>
    <t>Samuel Pepys School</t>
  </si>
  <si>
    <t>30ES7023</t>
  </si>
  <si>
    <t>Sawtry Infants' School</t>
  </si>
  <si>
    <t>30EP2255</t>
  </si>
  <si>
    <t>Shirley Community Primary School</t>
  </si>
  <si>
    <t>30EP2115</t>
  </si>
  <si>
    <t>Spring Meadow Infant School</t>
  </si>
  <si>
    <t>30EP2329</t>
  </si>
  <si>
    <t>St Anne's CofE Primary School</t>
  </si>
  <si>
    <t>30EP3384</t>
  </si>
  <si>
    <t>St Helen's Primary School</t>
  </si>
  <si>
    <t>30ES5200</t>
  </si>
  <si>
    <t>St Matthew's Primary School</t>
  </si>
  <si>
    <t>30EP2317</t>
  </si>
  <si>
    <t>St Pauls CofE VA Primary School</t>
  </si>
  <si>
    <t>30EP3356</t>
  </si>
  <si>
    <t>St Philip's CofE Aided Primary School</t>
  </si>
  <si>
    <t>30EP3358</t>
  </si>
  <si>
    <t>Steeple Morden CofE VC Primary School</t>
  </si>
  <si>
    <t>30EP3029</t>
  </si>
  <si>
    <t>Stretham Community Primary School</t>
  </si>
  <si>
    <t>30EP2084</t>
  </si>
  <si>
    <t>Stukeley Meadows Primary School</t>
  </si>
  <si>
    <t>30EP2443</t>
  </si>
  <si>
    <t>Sutton CofE VC Primary School</t>
  </si>
  <si>
    <t>30EP3052</t>
  </si>
  <si>
    <t>Swavesey Primary School</t>
  </si>
  <si>
    <t>30EP2046</t>
  </si>
  <si>
    <t>Teversham CofE VA Primary School</t>
  </si>
  <si>
    <t>30EP3325</t>
  </si>
  <si>
    <t>The Fields Nursery School</t>
  </si>
  <si>
    <t>30EN1001</t>
  </si>
  <si>
    <t>The Grove Primary School</t>
  </si>
  <si>
    <t>30EP2123</t>
  </si>
  <si>
    <t>The Newton Community Primary School</t>
  </si>
  <si>
    <t>30EP2260</t>
  </si>
  <si>
    <t>The Rackham Church of England Primary School</t>
  </si>
  <si>
    <t>30EP3058</t>
  </si>
  <si>
    <t>The Spinney Primary School</t>
  </si>
  <si>
    <t>30EP2335</t>
  </si>
  <si>
    <t>The Vine Inter-Church Primary School</t>
  </si>
  <si>
    <t>30EP3389</t>
  </si>
  <si>
    <t>Thorndown Primary School</t>
  </si>
  <si>
    <t>30EP2001</t>
  </si>
  <si>
    <t>Townley Primary School</t>
  </si>
  <si>
    <t>30EP2064</t>
  </si>
  <si>
    <t>Trumpington Meadows Primary School</t>
  </si>
  <si>
    <t>30EP2000</t>
  </si>
  <si>
    <t>Waterbeach Community Primary School</t>
  </si>
  <si>
    <t>30EP2048</t>
  </si>
  <si>
    <t>Westfield Junior School</t>
  </si>
  <si>
    <t>30EP2232</t>
  </si>
  <si>
    <t>Wheatfields Primary School</t>
  </si>
  <si>
    <t>30EP3392</t>
  </si>
  <si>
    <t>Wilburton CofE Primary School</t>
  </si>
  <si>
    <t>30EP3054</t>
  </si>
  <si>
    <t>William Westley Church of England VC Primary School</t>
  </si>
  <si>
    <t>30EP3032</t>
  </si>
  <si>
    <t>Willingham Primary School</t>
  </si>
  <si>
    <t>30EP2054</t>
  </si>
  <si>
    <t>Wyton on the Hill Community Primary School</t>
  </si>
  <si>
    <t>30EP2240</t>
  </si>
  <si>
    <t>Yaxley Infant School</t>
  </si>
  <si>
    <t>30EP2254</t>
  </si>
  <si>
    <t>The case for a deficit budget</t>
  </si>
  <si>
    <t>Alerts</t>
  </si>
  <si>
    <t>This sheet shows some simple "Alerts", to help you in your budget setting.</t>
  </si>
  <si>
    <t>a)</t>
  </si>
  <si>
    <t xml:space="preserve">Your Estimated Revenue Brought Forward Balance (column E; rows 69 + 88) </t>
  </si>
  <si>
    <t>CHECK</t>
  </si>
  <si>
    <t>must equal your FINAL revenue balance held at 31 March 2024</t>
  </si>
  <si>
    <t>b)</t>
  </si>
  <si>
    <t xml:space="preserve">Your Capitalisation Contribution E30 (row 65) does not equal </t>
  </si>
  <si>
    <t>your income figure shown in CI04 (row 116)</t>
  </si>
  <si>
    <t>c)</t>
  </si>
  <si>
    <t xml:space="preserve">You have set a budget, which will increase your school's revenue carry forward balance at year </t>
  </si>
  <si>
    <t>end (row 70)</t>
  </si>
  <si>
    <t>d)</t>
  </si>
  <si>
    <t>You have set a budget, which will increase your Community Focused Revenue carry forward balance at year end (row 89)</t>
  </si>
  <si>
    <t>e)</t>
  </si>
  <si>
    <t xml:space="preserve">You have set a budget where your revenue carry forward balance at the end of the year </t>
  </si>
  <si>
    <t>will be in excess of the 4% or 6% threshold (row 99)</t>
  </si>
  <si>
    <t>You have set a budget with a deficit carry forward balance at year end (row 98)</t>
  </si>
  <si>
    <t>f)</t>
  </si>
  <si>
    <t xml:space="preserve">You have set a budget with an in year deficit, which depletes your carry forward </t>
  </si>
  <si>
    <t>balance by more than 50% (row 98)</t>
  </si>
  <si>
    <t>Staffing</t>
  </si>
  <si>
    <t>Staffing as a % of total Rev income</t>
  </si>
  <si>
    <t>Staffing cost compared to previous year budget</t>
  </si>
  <si>
    <t>Staffing cost compared to previous year actuals</t>
  </si>
  <si>
    <t>Premises Costs</t>
  </si>
  <si>
    <t>Look specifically at energy to highlight</t>
  </si>
  <si>
    <t>Exclude Rates?</t>
  </si>
  <si>
    <t>Learning Resource Costs</t>
  </si>
  <si>
    <t>Compare Year on Year</t>
  </si>
  <si>
    <t>Agency</t>
  </si>
  <si>
    <t xml:space="preserve">Look at Budget Vs Budget Yr on Yr </t>
  </si>
  <si>
    <t>Look at Actual Vs Budget Yr on Yr</t>
  </si>
  <si>
    <t>Other Prof Service</t>
  </si>
  <si>
    <t>Will be skewed by PFI Schools</t>
  </si>
  <si>
    <t>Cost</t>
  </si>
  <si>
    <t>School</t>
  </si>
  <si>
    <t>St Helen's primary School</t>
  </si>
  <si>
    <t>Spending of Surplus Balances held at 31 March 2024 Assigned to Approved Schemes (IUB)</t>
  </si>
  <si>
    <t>If your school submitted a schedule and evidence of your Governing Board's intention to spend your value of revenue carry forward balance held at 31 March 2024,</t>
  </si>
  <si>
    <t>which was in excess of the IUB Threshold, then you must complete the section below, showing where your spending on assigned schemes has been included</t>
  </si>
  <si>
    <t>in your 2024/25 budget</t>
  </si>
  <si>
    <t>a) Please show here the totals of spending on approved schemes included in your original IUB schedule that you submitted to the Authority</t>
  </si>
  <si>
    <t>Surplus Balance held at 31 March 2024 to be used as follows</t>
  </si>
  <si>
    <t>Planned Expenditure 2024/25</t>
  </si>
  <si>
    <t>Description of Scheme</t>
  </si>
  <si>
    <t>Revenue Contribution to an agreed Capital Scheme</t>
  </si>
  <si>
    <t>Revenue Contribution to an agreed Capital Spend to Save Scheme</t>
  </si>
  <si>
    <t>To support costs from a Review of Contracts of a SIGNIFICANT Value in future year (s)</t>
  </si>
  <si>
    <t>To manage a SIGNIFICANT Expansion of Pupil Numbers</t>
  </si>
  <si>
    <t>To Manage the impact of a SIGNIFICANT Budget reduction</t>
  </si>
  <si>
    <t>To Manage Exceptional Circumstances which may cause SIGNIFICANT financial turbulence</t>
  </si>
  <si>
    <t>b) Please show how the figures above are included in your 2024/25 Budget - splitting the schemes across the CFR expenditure codes</t>
  </si>
  <si>
    <t>Description of Project</t>
  </si>
  <si>
    <t>Amount</t>
  </si>
  <si>
    <t>TOTAL</t>
  </si>
  <si>
    <t>Please contact your School Funding Officer if you have any queries</t>
  </si>
  <si>
    <t>Assigning Excess Balances Forecasted at 31 March 2025</t>
  </si>
  <si>
    <t xml:space="preserve">If your school is forecasting to hold a revenue balance at 31 March 2025, which is in excess of 4% (Secondary); the greater of 6% or £60,000 (Nursery and Primary); the greater of 6% / £60,000 / 85% </t>
  </si>
  <si>
    <t>of 1 month's payment + £20,000 (High Needs Providers) - then you must start now to consider how this balance is to be assigned to schemes, or how your 2024/25 budget is adjusted to bring the</t>
  </si>
  <si>
    <t>school's balance at 31 March 2025 under these Thresholds.</t>
  </si>
  <si>
    <t>The 2 key headline changes were:</t>
  </si>
  <si>
    <t>a) The reduction in the percentages (the 'Thresholds') over which balances are measured to be 'excessive'</t>
  </si>
  <si>
    <t>b) Greater restriction on the types of expenditure for which balances over the thresholds can be held to meet</t>
  </si>
  <si>
    <t>Please refer to the Protocol document for further information. This is available to download from Bradford Schools Online</t>
  </si>
  <si>
    <t>You are currently forecasting to hold a revenue balance at 31 March 2025 of:</t>
  </si>
  <si>
    <t xml:space="preserve"> The Threshold applicable to your school for March 2025 balances is:</t>
  </si>
  <si>
    <t>(Secondary = 4% of I01 - I05 funding; Nursery &amp; Primary = &gt; of 6% of I01 - I05 funding or £60,000; High Needs Providers = &gt; of 6% of I01 - I05 funding / £60,000 / 85% of 1 month's payment + £20,000</t>
  </si>
  <si>
    <t xml:space="preserve"> Your forecasted position against this Threshold therefore, is:</t>
  </si>
  <si>
    <t>(a positive figure = you are above the threshold)</t>
  </si>
  <si>
    <t xml:space="preserve">If you are forecasting now to be above the Threshold at 31 March 2025, you need to consider how this balance will be assigned to schemes, recognising the greater restriction that will be placed on the </t>
  </si>
  <si>
    <t>types of schemes that will be approved by the Local Authority, or you must consider how your budget can be adjusted to bring the school's balance under the Threshold.</t>
  </si>
  <si>
    <t>Please use the box below to outline any schemes that you plan to hold excess balances at 31 March 2025 to support</t>
  </si>
  <si>
    <t>Outline of Project / Scheme</t>
  </si>
  <si>
    <t>Value to be held at 31 March 2025</t>
  </si>
  <si>
    <t>Date by which spend will be completed</t>
  </si>
  <si>
    <t>Balance held on behalf of other schools or other valid adjustment</t>
  </si>
  <si>
    <t>Please contact your School Funding Team Officer if you have any queries</t>
  </si>
  <si>
    <t>I01 - I05 Funding</t>
  </si>
  <si>
    <t>Phase</t>
  </si>
  <si>
    <t>Normal Threshold</t>
  </si>
  <si>
    <t>Final Threshold</t>
  </si>
  <si>
    <t>Integrated Curriculum Financial Planning - Key Metrics</t>
  </si>
  <si>
    <t>introduction and links to other resources</t>
  </si>
  <si>
    <t>refer to VMFI, SFVS, benchmarking</t>
  </si>
  <si>
    <t>what doing here is highlighting the 12 key metrics</t>
  </si>
  <si>
    <t>make sure add something into GAB guidance and also into introductory leter (as have anotehr sheet)</t>
  </si>
  <si>
    <t>2022/23</t>
  </si>
  <si>
    <t>2023/24</t>
  </si>
  <si>
    <t>2024/25</t>
  </si>
  <si>
    <t>Metric 1 - Pupil to Teacher Ratio</t>
  </si>
  <si>
    <t>FTE Number of Pupils on Roll</t>
  </si>
  <si>
    <t>FTE Number of Teachers (all teachers, including leadership)</t>
  </si>
  <si>
    <t>Pupil to Teacher Ratio</t>
  </si>
  <si>
    <t>Metric 2 - Pupil to Adult Ratio</t>
  </si>
  <si>
    <r>
      <t xml:space="preserve">FTE Number of Adults </t>
    </r>
    <r>
      <rPr>
        <sz val="10"/>
        <color rgb="FFFF0000"/>
        <rFont val="Arial"/>
        <family val="2"/>
      </rPr>
      <t>(describe…)</t>
    </r>
  </si>
  <si>
    <t>Pupil to Adult Ratio</t>
  </si>
  <si>
    <t>Metric 3 - Teacher Contact Ratio</t>
  </si>
  <si>
    <t>what about comparisons</t>
  </si>
  <si>
    <t>12 key metrics utilising current pupil numbers where required rather than lagged;</t>
  </si>
  <si>
    <t>·       PTR (Pupil Teacher Ratio)</t>
  </si>
  <si>
    <t>·       PAR (Pupil Adult Ratio)</t>
  </si>
  <si>
    <t>·       c (Teacher Contact Ratio)</t>
  </si>
  <si>
    <t>·       ATC (ATC Cost)</t>
  </si>
  <si>
    <t>·       PLC (Per Lesson Cost)</t>
  </si>
  <si>
    <t>·       ACS (Average Class Size)</t>
  </si>
  <si>
    <t>·       %TTC (Total Teaching Staff Cost as % of Revenue Income)</t>
  </si>
  <si>
    <t>·       %CSC (Curriculum Staff Cost as % of Total Revenue Income)</t>
  </si>
  <si>
    <t>·       %NCSC (Non-Curriculum Staff Cost as % of Total Revenue Income)</t>
  </si>
  <si>
    <t>·       %TSC (Total Staff Costs as % of Total Revenue Income)</t>
  </si>
  <si>
    <t>·       %LC (Leadership Costs as % of TTC)</t>
  </si>
  <si>
    <t>·       %MC (Management Costs as % of TTC)</t>
  </si>
  <si>
    <t>FOR USE BY SCHOOLS CORPORATE TEAM ONLY</t>
  </si>
  <si>
    <t>EXTENDED SCHOOLS ANALYSIS</t>
  </si>
  <si>
    <t>BALANCES</t>
  </si>
  <si>
    <t>CAPITAL ANALYSIS</t>
  </si>
  <si>
    <t>Year</t>
  </si>
  <si>
    <t>Cost Centre</t>
  </si>
  <si>
    <t>DfE</t>
  </si>
  <si>
    <t>Total Exp</t>
  </si>
  <si>
    <t>In Yr surplus (deficit)</t>
  </si>
  <si>
    <t>Est b/f bal</t>
  </si>
  <si>
    <t>Total bal</t>
  </si>
  <si>
    <t>TOTAL EXP</t>
  </si>
  <si>
    <t>In Year</t>
  </si>
  <si>
    <t>b/fwd</t>
  </si>
  <si>
    <t>Cumulative</t>
  </si>
  <si>
    <t>BO1</t>
  </si>
  <si>
    <t>BO2</t>
  </si>
  <si>
    <t>BO6</t>
  </si>
  <si>
    <t>total rev. Bal</t>
  </si>
  <si>
    <t>Blank</t>
  </si>
  <si>
    <t>TOTAL CAP INC</t>
  </si>
  <si>
    <t>TOTAL CAP EXP</t>
  </si>
  <si>
    <t>IN YR CAP BAL</t>
  </si>
  <si>
    <t>CAP B/F</t>
  </si>
  <si>
    <t>CAP C/F</t>
  </si>
  <si>
    <t>value</t>
  </si>
  <si>
    <t>desc</t>
  </si>
  <si>
    <t>total</t>
  </si>
  <si>
    <t>cfr</t>
  </si>
  <si>
    <t>How Many Yrs Budget</t>
  </si>
  <si>
    <t>Authorised</t>
  </si>
  <si>
    <t>Who</t>
  </si>
  <si>
    <t>Position</t>
  </si>
  <si>
    <t>Date</t>
  </si>
  <si>
    <t>date</t>
  </si>
  <si>
    <t>Total</t>
  </si>
  <si>
    <t>fcast Bal</t>
  </si>
  <si>
    <t>Threshold</t>
  </si>
  <si>
    <t>Bal &gt; Threshold</t>
  </si>
  <si>
    <t>THIS SHEET IS FOR SSCT USE ONLY; COPY PASTE FIGURES WITHIN BORDER FROM COLUMN D ACROSS</t>
  </si>
  <si>
    <t>Set IUB Limits for 2024/25</t>
  </si>
  <si>
    <t>break links</t>
  </si>
  <si>
    <t>IUB Limit March 2025</t>
  </si>
  <si>
    <t>RBJD</t>
  </si>
  <si>
    <t>Abbey Green Nursery School</t>
  </si>
  <si>
    <t>NURSERY</t>
  </si>
  <si>
    <t>RBKX</t>
  </si>
  <si>
    <t>Canterbury Children's Centre and Nursery School</t>
  </si>
  <si>
    <t>RBJQ</t>
  </si>
  <si>
    <t>Hirst Wood Nursery School</t>
  </si>
  <si>
    <t>RBKN</t>
  </si>
  <si>
    <t>Lilycroft Nursery School</t>
  </si>
  <si>
    <t>RBHW</t>
  </si>
  <si>
    <t>Midland Road Nursery School and Children's Centre</t>
  </si>
  <si>
    <t>RBKM</t>
  </si>
  <si>
    <t>St Edmund's Nursery &amp; Childrens Centre</t>
  </si>
  <si>
    <t>RBKQ</t>
  </si>
  <si>
    <t>Strong Close Nursery School and Children's Centre</t>
  </si>
  <si>
    <t>RBHX</t>
  </si>
  <si>
    <t>Addingham Primary School</t>
  </si>
  <si>
    <t>PRIMARY</t>
  </si>
  <si>
    <t>RBKI</t>
  </si>
  <si>
    <t>Silsden Primary School</t>
  </si>
  <si>
    <t>RBFB</t>
  </si>
  <si>
    <t>All Saints' CE Primary School (Ilkley)</t>
  </si>
  <si>
    <t>RBKO</t>
  </si>
  <si>
    <t>Bankfoot Primary School</t>
  </si>
  <si>
    <t>RBGR</t>
  </si>
  <si>
    <t>Ben Rhydding Primary School</t>
  </si>
  <si>
    <t>RBFX</t>
  </si>
  <si>
    <t>Blakehill Primary School</t>
  </si>
  <si>
    <t>RBHR</t>
  </si>
  <si>
    <t>Brackenhill Primary School</t>
  </si>
  <si>
    <t>RBIF</t>
  </si>
  <si>
    <t>Burley &amp; Woodhead CE Primary School</t>
  </si>
  <si>
    <t>RBHM</t>
  </si>
  <si>
    <t>Crossflatts Primary School</t>
  </si>
  <si>
    <t>RBHB</t>
  </si>
  <si>
    <t>Eastburn Junior and Infant School</t>
  </si>
  <si>
    <t>RBJY</t>
  </si>
  <si>
    <t>Eldwick Primary School</t>
  </si>
  <si>
    <t>RBGB</t>
  </si>
  <si>
    <t>Fagley Primary School</t>
  </si>
  <si>
    <t>RBFN</t>
  </si>
  <si>
    <t>Farfield Primary</t>
  </si>
  <si>
    <t>RBFY</t>
  </si>
  <si>
    <t>Foxhill Primary School</t>
  </si>
  <si>
    <t>RBCY</t>
  </si>
  <si>
    <t>Frizinghall Primary School</t>
  </si>
  <si>
    <t>RBKF</t>
  </si>
  <si>
    <t>Girlington Primary School</t>
  </si>
  <si>
    <t>RBHG</t>
  </si>
  <si>
    <t>Heaton St Barnabas' CE Primary School</t>
  </si>
  <si>
    <t>RBFU</t>
  </si>
  <si>
    <t>Hill Top CE Primary School</t>
  </si>
  <si>
    <t>RDQZ</t>
  </si>
  <si>
    <t>Home Farm Primary School</t>
  </si>
  <si>
    <t>RBGF</t>
  </si>
  <si>
    <t>Hoyle Court Primary School</t>
  </si>
  <si>
    <t>RBDY</t>
  </si>
  <si>
    <t>Idle CE Primary School</t>
  </si>
  <si>
    <t>RBGX</t>
  </si>
  <si>
    <t>Ingrow Primary School</t>
  </si>
  <si>
    <t>RBDI</t>
  </si>
  <si>
    <t>Keelham Primary School</t>
  </si>
  <si>
    <t>RBDB</t>
  </si>
  <si>
    <t>Keighley St Andrew's CE Primary School</t>
  </si>
  <si>
    <t>RBHF</t>
  </si>
  <si>
    <t>Killinghall Primary School</t>
  </si>
  <si>
    <t>RBHZ</t>
  </si>
  <si>
    <t>Ley Top Primary School</t>
  </si>
  <si>
    <t>RBIZ</t>
  </si>
  <si>
    <t>Long Lee Primary School</t>
  </si>
  <si>
    <t>RBKE</t>
  </si>
  <si>
    <t>Low Ash Primary School</t>
  </si>
  <si>
    <t>RBKJ</t>
  </si>
  <si>
    <t>Low Moor CE Primary School</t>
  </si>
  <si>
    <t>RBDK</t>
  </si>
  <si>
    <t>Myrtle Park Primary School</t>
  </si>
  <si>
    <t>RBES</t>
  </si>
  <si>
    <t>Newby Primary School</t>
  </si>
  <si>
    <t>RBEC</t>
  </si>
  <si>
    <t>Newhall Park Primary School</t>
  </si>
  <si>
    <t>RBGW</t>
  </si>
  <si>
    <t>Peel Park Primary School</t>
  </si>
  <si>
    <t>RBFH</t>
  </si>
  <si>
    <t>Poplars Farm Primary School</t>
  </si>
  <si>
    <t>RBCW</t>
  </si>
  <si>
    <t>Riddlesden St Mary's CE Primary</t>
  </si>
  <si>
    <t>RBEP</t>
  </si>
  <si>
    <t>Russell Hall Primary School</t>
  </si>
  <si>
    <t>RBEM</t>
  </si>
  <si>
    <t>Saltaire Primary School</t>
  </si>
  <si>
    <t>RBFE</t>
  </si>
  <si>
    <t>Sandal Primary School and Nursery</t>
  </si>
  <si>
    <t>RBGG</t>
  </si>
  <si>
    <t>Sandy Lane Primary School</t>
  </si>
  <si>
    <t>RBIR</t>
  </si>
  <si>
    <t>St Luke's CE Primary School</t>
  </si>
  <si>
    <t>RBJL</t>
  </si>
  <si>
    <t>St Matthew's CE Primary School</t>
  </si>
  <si>
    <t>RBGP</t>
  </si>
  <si>
    <t>St Paul's CE Primary School</t>
  </si>
  <si>
    <t>RBIS</t>
  </si>
  <si>
    <t>St Stephen's CE Primary School</t>
  </si>
  <si>
    <t>RBDV</t>
  </si>
  <si>
    <t>Stanbury Village School</t>
  </si>
  <si>
    <t>RBGT</t>
  </si>
  <si>
    <t>Steeton Primary School</t>
  </si>
  <si>
    <t>RBIA</t>
  </si>
  <si>
    <t>Stocks Lane Primary School</t>
  </si>
  <si>
    <t>RBCV</t>
  </si>
  <si>
    <t>Swain House Primary School</t>
  </si>
  <si>
    <t>RBJA</t>
  </si>
  <si>
    <t>Thackley Primary School</t>
  </si>
  <si>
    <t>RBII</t>
  </si>
  <si>
    <t>Wellington Primary School</t>
  </si>
  <si>
    <t>RBGJ</t>
  </si>
  <si>
    <t>Wibsey Primary School</t>
  </si>
  <si>
    <t>RBJJ</t>
  </si>
  <si>
    <t>Worthinghead Primary School</t>
  </si>
  <si>
    <t>RGQE</t>
  </si>
  <si>
    <t>Park Aspire</t>
  </si>
  <si>
    <t>PRU</t>
  </si>
  <si>
    <t>RBEG</t>
  </si>
  <si>
    <t>Bingley Grammar School</t>
  </si>
  <si>
    <t>SECONDARY</t>
  </si>
  <si>
    <t>RBKB</t>
  </si>
  <si>
    <t>Titus Salt School</t>
  </si>
  <si>
    <t>RFQS</t>
  </si>
  <si>
    <t>Chellow Heights Special School</t>
  </si>
  <si>
    <t>SPECIAL</t>
  </si>
  <si>
    <t>RHAW</t>
  </si>
  <si>
    <t>West Bradford Children's Centre Cluster</t>
  </si>
  <si>
    <t>RHAX</t>
  </si>
  <si>
    <t>Lister Park Children's Centre Cluster</t>
  </si>
  <si>
    <t>RHAY</t>
  </si>
  <si>
    <t>Airedale amd Wharfedale Children's Centre Cluster</t>
  </si>
  <si>
    <t>2024-25 CFR Outturn</t>
  </si>
  <si>
    <t>copy from I01 column</t>
  </si>
  <si>
    <t>check &amp; break links</t>
  </si>
  <si>
    <t>missing Q3 - left for school to manually input</t>
  </si>
  <si>
    <t>: Donations</t>
  </si>
  <si>
    <t>Deficit Recovery Planner 2025-2028</t>
  </si>
  <si>
    <t>2024/25 Actual Outturn</t>
  </si>
  <si>
    <t xml:space="preserve">NOT USED IN 2025-26 Grants Provided in Relation to COVID-19 </t>
  </si>
  <si>
    <t>NOT USED IN 2025-26 COVID-19 Job Retention Scheme</t>
  </si>
  <si>
    <t>NOT USED IN 2025-26 provided in Relation to COVID-19 Catch Up Activity</t>
  </si>
  <si>
    <t>NOT USED IN 2025-26 Other Additional Grants (See I06)</t>
  </si>
  <si>
    <t>Run the Budget Analysis Report for the budget you are basing your Deficit Recovery Plan on.</t>
  </si>
  <si>
    <t>Once your Deficit Recover Plan has been costed in your budget, please download Budget Analysis in Excel Export (Table) from SBS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</si>
</sst>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_);_(* \(#,##0\);_(* &quot;-&quot;_);_(@_)"/>
    <numFmt numFmtId="166" formatCode="&quot;£&quot;#,##0"/>
    <numFmt numFmtId="167" formatCode="#,##0_ ;\-#,##0\ "/>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2"/>
      <name val="Arial"/>
      <family val="2"/>
    </font>
    <font>
      <sz val="12"/>
      <name val="Arial"/>
      <family val="2"/>
    </font>
    <font>
      <sz val="12"/>
      <color indexed="10"/>
      <name val="Arial"/>
      <family val="2"/>
    </font>
    <font>
      <sz val="8"/>
      <name val="Arial"/>
      <family val="2"/>
    </font>
    <font>
      <b/>
      <u/>
      <sz val="10"/>
      <name val="Arial"/>
      <family val="2"/>
    </font>
    <font>
      <b/>
      <sz val="10"/>
      <color indexed="10"/>
      <name val="Arial"/>
      <family val="2"/>
    </font>
    <font>
      <b/>
      <u/>
      <sz val="11"/>
      <name val="Arial"/>
      <family val="2"/>
    </font>
    <font>
      <b/>
      <i/>
      <u/>
      <sz val="11"/>
      <name val="Arial"/>
      <family val="2"/>
    </font>
    <font>
      <sz val="11"/>
      <name val="Arial"/>
      <family val="2"/>
    </font>
    <font>
      <b/>
      <sz val="11"/>
      <name val="Arial"/>
      <family val="2"/>
    </font>
    <font>
      <b/>
      <sz val="18"/>
      <name val="Arial"/>
      <family val="2"/>
    </font>
    <font>
      <b/>
      <sz val="8"/>
      <name val="Arial"/>
      <family val="2"/>
    </font>
    <font>
      <b/>
      <sz val="14"/>
      <name val="Arial"/>
      <family val="2"/>
    </font>
    <font>
      <sz val="14"/>
      <name val="Arial"/>
      <family val="2"/>
    </font>
    <font>
      <b/>
      <sz val="16"/>
      <name val="Arial"/>
      <family val="2"/>
    </font>
    <font>
      <b/>
      <i/>
      <u/>
      <sz val="12"/>
      <name val="Arial"/>
      <family val="2"/>
    </font>
    <font>
      <b/>
      <i/>
      <sz val="11"/>
      <name val="Arial"/>
      <family val="2"/>
    </font>
    <font>
      <i/>
      <sz val="11"/>
      <name val="Arial"/>
      <family val="2"/>
    </font>
    <font>
      <b/>
      <i/>
      <sz val="11"/>
      <color indexed="10"/>
      <name val="Arial"/>
      <family val="2"/>
    </font>
    <font>
      <b/>
      <u val="singleAccounting"/>
      <sz val="11"/>
      <name val="Arial"/>
      <family val="2"/>
    </font>
    <font>
      <b/>
      <u/>
      <sz val="16"/>
      <name val="Arial"/>
      <family val="2"/>
    </font>
    <font>
      <b/>
      <sz val="12"/>
      <color indexed="9"/>
      <name val="Arial"/>
      <family val="2"/>
    </font>
    <font>
      <sz val="9"/>
      <name val="Arial"/>
      <family val="2"/>
    </font>
    <font>
      <b/>
      <sz val="9"/>
      <name val="Arial"/>
      <family val="2"/>
    </font>
    <font>
      <u/>
      <sz val="10"/>
      <name val="Arial"/>
      <family val="2"/>
    </font>
    <font>
      <sz val="10"/>
      <name val="Helv"/>
      <charset val="204"/>
    </font>
    <font>
      <sz val="8"/>
      <color indexed="81"/>
      <name val="Tahoma"/>
      <family val="2"/>
    </font>
    <font>
      <b/>
      <sz val="11"/>
      <color indexed="9"/>
      <name val="Arial"/>
      <family val="2"/>
    </font>
    <font>
      <b/>
      <u/>
      <sz val="16"/>
      <color indexed="10"/>
      <name val="Arial"/>
      <family val="2"/>
    </font>
    <font>
      <sz val="10"/>
      <color rgb="FFFF0000"/>
      <name val="Arial"/>
      <family val="2"/>
    </font>
    <font>
      <b/>
      <sz val="12"/>
      <color theme="1"/>
      <name val="Arial"/>
      <family val="2"/>
    </font>
    <font>
      <b/>
      <sz val="10"/>
      <color rgb="FFFF0000"/>
      <name val="Arial"/>
      <family val="2"/>
    </font>
    <font>
      <sz val="11"/>
      <color theme="1"/>
      <name val="Arial"/>
      <family val="2"/>
    </font>
    <font>
      <b/>
      <sz val="9"/>
      <color indexed="81"/>
      <name val="Tahoma"/>
      <family val="2"/>
    </font>
    <font>
      <sz val="9"/>
      <color indexed="81"/>
      <name val="Tahoma"/>
      <family val="2"/>
    </font>
    <font>
      <b/>
      <sz val="11"/>
      <color rgb="FFFFFFFF"/>
      <name val="Calibri"/>
      <family val="2"/>
    </font>
    <font>
      <b/>
      <i/>
      <sz val="12"/>
      <color rgb="FFFF0000"/>
      <name val="Arial"/>
      <family val="2"/>
    </font>
    <font>
      <b/>
      <sz val="12"/>
      <color indexed="10"/>
      <name val="Arial"/>
      <family val="2"/>
    </font>
    <font>
      <sz val="18"/>
      <name val="Arial"/>
      <family val="2"/>
    </font>
    <font>
      <sz val="12"/>
      <color theme="0"/>
      <name val="Arial"/>
      <family val="2"/>
    </font>
  </fonts>
  <fills count="19">
    <fill>
      <patternFill patternType="none"/>
    </fill>
    <fill>
      <patternFill patternType="gray125"/>
    </fill>
    <fill>
      <patternFill patternType="solid">
        <fgColor indexed="23"/>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indexed="44"/>
        <bgColor indexed="64"/>
      </patternFill>
    </fill>
    <fill>
      <patternFill patternType="solid">
        <fgColor indexed="51"/>
        <bgColor indexed="64"/>
      </patternFill>
    </fill>
    <fill>
      <patternFill patternType="solid">
        <fgColor indexed="46"/>
        <bgColor indexed="64"/>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33993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s>
  <cellStyleXfs count="9">
    <xf numFmtId="0" fontId="0" fillId="0" borderId="0"/>
    <xf numFmtId="43" fontId="5" fillId="0" borderId="0" applyFont="0" applyFill="0" applyBorder="0" applyAlignment="0" applyProtection="0"/>
    <xf numFmtId="0" fontId="5" fillId="2" borderId="0"/>
    <xf numFmtId="0" fontId="35" fillId="2" borderId="0"/>
    <xf numFmtId="9" fontId="5" fillId="0" borderId="0" applyFont="0" applyFill="0" applyBorder="0" applyAlignment="0" applyProtection="0"/>
    <xf numFmtId="0" fontId="4" fillId="0" borderId="0"/>
    <xf numFmtId="0" fontId="3" fillId="0" borderId="0"/>
    <xf numFmtId="0" fontId="2" fillId="0" borderId="0"/>
    <xf numFmtId="0" fontId="1" fillId="0" borderId="0"/>
  </cellStyleXfs>
  <cellXfs count="427">
    <xf numFmtId="0" fontId="0" fillId="0" borderId="0" xfId="0"/>
    <xf numFmtId="3" fontId="8" fillId="0" borderId="2" xfId="1" applyNumberFormat="1" applyFont="1" applyFill="1" applyBorder="1" applyAlignment="1" applyProtection="1">
      <alignment horizontal="right"/>
      <protection hidden="1"/>
    </xf>
    <xf numFmtId="0" fontId="24" fillId="4" borderId="0" xfId="0" applyFont="1" applyFill="1" applyProtection="1">
      <protection hidden="1"/>
    </xf>
    <xf numFmtId="0" fontId="16" fillId="4" borderId="0" xfId="0" applyFont="1" applyFill="1" applyProtection="1">
      <protection hidden="1"/>
    </xf>
    <xf numFmtId="0" fontId="17" fillId="4" borderId="0" xfId="0" applyFont="1" applyFill="1" applyAlignment="1" applyProtection="1">
      <alignment horizontal="right"/>
      <protection hidden="1"/>
    </xf>
    <xf numFmtId="0" fontId="24" fillId="4" borderId="0" xfId="0" applyFont="1" applyFill="1" applyAlignment="1" applyProtection="1">
      <alignment horizontal="center"/>
      <protection hidden="1"/>
    </xf>
    <xf numFmtId="0" fontId="24" fillId="4" borderId="0" xfId="0" applyFont="1" applyFill="1" applyAlignment="1" applyProtection="1">
      <alignment horizontal="center" vertical="center"/>
      <protection hidden="1"/>
    </xf>
    <xf numFmtId="165" fontId="8" fillId="0" borderId="0" xfId="1" applyNumberFormat="1" applyFont="1" applyFill="1" applyBorder="1" applyProtection="1">
      <protection hidden="1"/>
    </xf>
    <xf numFmtId="165" fontId="8" fillId="0" borderId="4" xfId="1" applyNumberFormat="1" applyFont="1" applyFill="1" applyBorder="1" applyProtection="1">
      <protection hidden="1"/>
    </xf>
    <xf numFmtId="49" fontId="6" fillId="3" borderId="1" xfId="0" applyNumberFormat="1" applyFont="1" applyFill="1" applyBorder="1" applyAlignment="1" applyProtection="1">
      <alignment horizontal="right"/>
      <protection hidden="1"/>
    </xf>
    <xf numFmtId="0" fontId="30" fillId="4" borderId="0" xfId="0" applyFont="1" applyFill="1" applyProtection="1">
      <protection hidden="1"/>
    </xf>
    <xf numFmtId="0" fontId="30" fillId="4" borderId="0" xfId="0" applyFont="1" applyFill="1" applyAlignment="1" applyProtection="1">
      <alignment horizontal="left"/>
      <protection hidden="1"/>
    </xf>
    <xf numFmtId="0" fontId="22" fillId="3" borderId="2" xfId="0" applyFont="1" applyFill="1" applyBorder="1" applyAlignment="1" applyProtection="1">
      <alignment horizontal="center" vertical="center"/>
      <protection locked="0"/>
    </xf>
    <xf numFmtId="0" fontId="7" fillId="4" borderId="0" xfId="0" applyFont="1" applyFill="1" applyAlignment="1" applyProtection="1">
      <alignment vertical="center"/>
      <protection hidden="1"/>
    </xf>
    <xf numFmtId="0" fontId="0" fillId="4" borderId="0" xfId="0" applyFill="1"/>
    <xf numFmtId="3" fontId="8" fillId="4" borderId="2" xfId="1" applyNumberFormat="1" applyFont="1" applyFill="1" applyBorder="1" applyAlignment="1" applyProtection="1">
      <alignment horizontal="right"/>
      <protection hidden="1"/>
    </xf>
    <xf numFmtId="3" fontId="8" fillId="0" borderId="6" xfId="1" applyNumberFormat="1" applyFont="1" applyFill="1" applyBorder="1" applyAlignment="1" applyProtection="1">
      <alignment horizontal="right"/>
      <protection hidden="1"/>
    </xf>
    <xf numFmtId="3" fontId="8" fillId="0" borderId="0" xfId="1" applyNumberFormat="1" applyFont="1" applyFill="1" applyBorder="1" applyAlignment="1" applyProtection="1">
      <alignment horizontal="right"/>
      <protection hidden="1"/>
    </xf>
    <xf numFmtId="0" fontId="0" fillId="0" borderId="0" xfId="0" applyProtection="1">
      <protection hidden="1"/>
    </xf>
    <xf numFmtId="0" fontId="22" fillId="0" borderId="0" xfId="0" applyFont="1" applyProtection="1">
      <protection hidden="1"/>
    </xf>
    <xf numFmtId="0" fontId="8" fillId="0" borderId="0" xfId="0" applyFont="1" applyAlignment="1" applyProtection="1">
      <alignment horizontal="center"/>
      <protection hidden="1"/>
    </xf>
    <xf numFmtId="0" fontId="6" fillId="0" borderId="0" xfId="0" applyFont="1" applyProtection="1">
      <protection hidden="1"/>
    </xf>
    <xf numFmtId="0" fontId="6" fillId="0" borderId="0" xfId="0" applyFont="1" applyAlignment="1" applyProtection="1">
      <alignment horizontal="left"/>
      <protection hidden="1"/>
    </xf>
    <xf numFmtId="0" fontId="6" fillId="0" borderId="0" xfId="0" applyFont="1" applyAlignment="1" applyProtection="1">
      <alignment horizontal="right"/>
      <protection hidden="1"/>
    </xf>
    <xf numFmtId="0" fontId="6" fillId="0" borderId="0" xfId="0" applyFont="1" applyAlignment="1" applyProtection="1">
      <alignment horizontal="center"/>
      <protection hidden="1"/>
    </xf>
    <xf numFmtId="164" fontId="0" fillId="0" borderId="0" xfId="1" applyNumberFormat="1" applyFont="1" applyProtection="1">
      <protection hidden="1"/>
    </xf>
    <xf numFmtId="164" fontId="0" fillId="0" borderId="0" xfId="1" applyNumberFormat="1" applyFont="1" applyBorder="1" applyProtection="1">
      <protection hidden="1"/>
    </xf>
    <xf numFmtId="0" fontId="13" fillId="0" borderId="0" xfId="0" applyFont="1" applyProtection="1">
      <protection hidden="1"/>
    </xf>
    <xf numFmtId="0" fontId="12" fillId="0" borderId="0" xfId="0" applyFont="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6" fillId="0" borderId="7" xfId="0" applyFont="1" applyBorder="1" applyProtection="1">
      <protection hidden="1"/>
    </xf>
    <xf numFmtId="0" fontId="0" fillId="0" borderId="0" xfId="0" applyAlignment="1" applyProtection="1">
      <alignment horizontal="right"/>
      <protection hidden="1"/>
    </xf>
    <xf numFmtId="0" fontId="0" fillId="0" borderId="4" xfId="0" applyBorder="1" applyProtection="1">
      <protection hidden="1"/>
    </xf>
    <xf numFmtId="0" fontId="0" fillId="0" borderId="10" xfId="0" applyBorder="1" applyProtection="1">
      <protection hidden="1"/>
    </xf>
    <xf numFmtId="0" fontId="0" fillId="0" borderId="11" xfId="0" applyBorder="1" applyProtection="1">
      <protection hidden="1"/>
    </xf>
    <xf numFmtId="0" fontId="31" fillId="4" borderId="0" xfId="0" applyFont="1" applyFill="1" applyAlignment="1" applyProtection="1">
      <alignment horizontal="left"/>
      <protection hidden="1"/>
    </xf>
    <xf numFmtId="0" fontId="6" fillId="5" borderId="7" xfId="0" applyFont="1" applyFill="1" applyBorder="1" applyProtection="1">
      <protection hidden="1"/>
    </xf>
    <xf numFmtId="0" fontId="0" fillId="5" borderId="8" xfId="0" applyFill="1" applyBorder="1" applyProtection="1">
      <protection hidden="1"/>
    </xf>
    <xf numFmtId="0" fontId="0" fillId="5" borderId="9" xfId="0" applyFill="1" applyBorder="1" applyProtection="1">
      <protection hidden="1"/>
    </xf>
    <xf numFmtId="164" fontId="6" fillId="0" borderId="1" xfId="1" applyNumberFormat="1" applyFont="1" applyFill="1" applyBorder="1" applyAlignment="1" applyProtection="1">
      <alignment horizontal="right"/>
      <protection hidden="1"/>
    </xf>
    <xf numFmtId="164" fontId="18" fillId="0" borderId="0" xfId="1" applyNumberFormat="1" applyFont="1" applyBorder="1" applyAlignment="1" applyProtection="1">
      <alignment horizontal="center"/>
      <protection hidden="1"/>
    </xf>
    <xf numFmtId="164" fontId="18" fillId="0" borderId="0" xfId="1" applyNumberFormat="1" applyFont="1" applyBorder="1" applyAlignment="1" applyProtection="1">
      <alignment horizontal="left"/>
      <protection hidden="1"/>
    </xf>
    <xf numFmtId="164" fontId="8" fillId="0" borderId="0" xfId="1" applyNumberFormat="1" applyFont="1" applyBorder="1" applyAlignment="1" applyProtection="1">
      <alignment horizontal="left"/>
      <protection hidden="1"/>
    </xf>
    <xf numFmtId="164" fontId="22" fillId="0" borderId="14" xfId="1" applyNumberFormat="1"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49" fontId="29" fillId="4" borderId="0" xfId="1" applyNumberFormat="1" applyFont="1" applyFill="1" applyBorder="1" applyAlignment="1" applyProtection="1">
      <alignment horizontal="center"/>
      <protection hidden="1"/>
    </xf>
    <xf numFmtId="164" fontId="29" fillId="4" borderId="0" xfId="1" applyNumberFormat="1" applyFont="1" applyFill="1" applyBorder="1" applyAlignment="1" applyProtection="1">
      <alignment horizontal="center"/>
      <protection hidden="1"/>
    </xf>
    <xf numFmtId="164" fontId="9" fillId="0" borderId="0" xfId="1" applyNumberFormat="1" applyFont="1" applyProtection="1">
      <protection hidden="1"/>
    </xf>
    <xf numFmtId="164" fontId="22" fillId="4" borderId="14" xfId="1" applyNumberFormat="1" applyFont="1" applyFill="1" applyBorder="1" applyAlignment="1" applyProtection="1">
      <alignment horizontal="center" vertical="center"/>
      <protection hidden="1"/>
    </xf>
    <xf numFmtId="0" fontId="22" fillId="4" borderId="0" xfId="0" applyFont="1" applyFill="1" applyAlignment="1" applyProtection="1">
      <alignment horizontal="center" vertical="center"/>
      <protection hidden="1"/>
    </xf>
    <xf numFmtId="49" fontId="19" fillId="4" borderId="0" xfId="0" applyNumberFormat="1" applyFont="1" applyFill="1" applyAlignment="1" applyProtection="1">
      <alignment horizontal="center" vertical="center" wrapText="1" shrinkToFit="1"/>
      <protection hidden="1"/>
    </xf>
    <xf numFmtId="49" fontId="8" fillId="4" borderId="0" xfId="0" applyNumberFormat="1" applyFont="1" applyFill="1" applyAlignment="1" applyProtection="1">
      <alignment horizontal="center" vertical="center"/>
      <protection hidden="1"/>
    </xf>
    <xf numFmtId="0" fontId="0" fillId="4" borderId="0" xfId="0" applyFill="1" applyAlignment="1" applyProtection="1">
      <alignment horizontal="center" vertical="center"/>
      <protection hidden="1"/>
    </xf>
    <xf numFmtId="0" fontId="0" fillId="4" borderId="15" xfId="0" applyFill="1" applyBorder="1" applyAlignment="1" applyProtection="1">
      <alignment horizontal="center" vertical="center"/>
      <protection hidden="1"/>
    </xf>
    <xf numFmtId="164" fontId="14" fillId="0" borderId="14" xfId="1" applyNumberFormat="1" applyFont="1" applyBorder="1" applyAlignment="1" applyProtection="1">
      <alignment horizontal="center"/>
      <protection hidden="1"/>
    </xf>
    <xf numFmtId="164" fontId="14" fillId="0" borderId="0" xfId="1" applyNumberFormat="1" applyFont="1" applyBorder="1" applyAlignment="1" applyProtection="1">
      <alignment horizontal="left"/>
      <protection hidden="1"/>
    </xf>
    <xf numFmtId="164" fontId="8" fillId="0" borderId="4" xfId="1" applyNumberFormat="1" applyFont="1" applyFill="1" applyBorder="1" applyAlignment="1" applyProtection="1">
      <alignment horizontal="center"/>
      <protection hidden="1"/>
    </xf>
    <xf numFmtId="164" fontId="7" fillId="0" borderId="0" xfId="1" applyNumberFormat="1" applyFont="1" applyBorder="1" applyProtection="1">
      <protection hidden="1"/>
    </xf>
    <xf numFmtId="164" fontId="0" fillId="0" borderId="15" xfId="1" applyNumberFormat="1" applyFont="1" applyBorder="1" applyProtection="1">
      <protection hidden="1"/>
    </xf>
    <xf numFmtId="164" fontId="16" fillId="0" borderId="14" xfId="1" applyNumberFormat="1" applyFont="1" applyBorder="1" applyAlignment="1" applyProtection="1">
      <alignment horizontal="center"/>
      <protection hidden="1"/>
    </xf>
    <xf numFmtId="164" fontId="16" fillId="0" borderId="0" xfId="1" applyNumberFormat="1" applyFont="1" applyBorder="1" applyProtection="1">
      <protection hidden="1"/>
    </xf>
    <xf numFmtId="164" fontId="0" fillId="0" borderId="16" xfId="1" applyNumberFormat="1" applyFont="1" applyBorder="1" applyProtection="1">
      <protection hidden="1"/>
    </xf>
    <xf numFmtId="164" fontId="16" fillId="0" borderId="14" xfId="1" applyNumberFormat="1" applyFont="1" applyFill="1" applyBorder="1" applyAlignment="1" applyProtection="1">
      <alignment horizontal="center"/>
      <protection hidden="1"/>
    </xf>
    <xf numFmtId="164" fontId="16" fillId="0" borderId="0" xfId="1" applyNumberFormat="1" applyFont="1" applyFill="1" applyBorder="1" applyProtection="1">
      <protection hidden="1"/>
    </xf>
    <xf numFmtId="164" fontId="17" fillId="0" borderId="0" xfId="1" applyNumberFormat="1" applyFont="1" applyBorder="1" applyProtection="1">
      <protection hidden="1"/>
    </xf>
    <xf numFmtId="164" fontId="8" fillId="0" borderId="0" xfId="1" applyNumberFormat="1" applyFont="1" applyFill="1" applyBorder="1" applyAlignment="1" applyProtection="1">
      <alignment horizontal="center"/>
      <protection hidden="1"/>
    </xf>
    <xf numFmtId="164" fontId="6" fillId="0" borderId="0" xfId="1" applyNumberFormat="1" applyFont="1" applyBorder="1" applyProtection="1">
      <protection hidden="1"/>
    </xf>
    <xf numFmtId="164" fontId="27" fillId="0" borderId="14" xfId="1" applyNumberFormat="1" applyFont="1" applyBorder="1" applyAlignment="1" applyProtection="1">
      <alignment horizontal="center"/>
      <protection hidden="1"/>
    </xf>
    <xf numFmtId="164" fontId="17" fillId="0" borderId="14" xfId="1" applyNumberFormat="1" applyFont="1" applyBorder="1" applyAlignment="1" applyProtection="1">
      <alignment horizontal="left"/>
      <protection hidden="1"/>
    </xf>
    <xf numFmtId="164" fontId="8" fillId="0" borderId="0" xfId="1" applyNumberFormat="1" applyFont="1" applyBorder="1" applyProtection="1">
      <protection hidden="1"/>
    </xf>
    <xf numFmtId="164" fontId="16" fillId="0" borderId="14" xfId="1" applyNumberFormat="1" applyFont="1" applyBorder="1" applyAlignment="1" applyProtection="1">
      <alignment horizontal="left"/>
      <protection hidden="1"/>
    </xf>
    <xf numFmtId="164" fontId="10" fillId="0" borderId="0" xfId="1" applyNumberFormat="1" applyFont="1" applyFill="1" applyBorder="1" applyAlignment="1" applyProtection="1">
      <alignment horizontal="center"/>
      <protection hidden="1"/>
    </xf>
    <xf numFmtId="164" fontId="14" fillId="0" borderId="14" xfId="1" applyNumberFormat="1" applyFont="1" applyBorder="1" applyAlignment="1" applyProtection="1">
      <alignment horizontal="left"/>
      <protection hidden="1"/>
    </xf>
    <xf numFmtId="164" fontId="7" fillId="0" borderId="0" xfId="1" applyNumberFormat="1" applyFont="1" applyFill="1" applyBorder="1" applyProtection="1">
      <protection hidden="1"/>
    </xf>
    <xf numFmtId="164" fontId="28" fillId="0" borderId="0" xfId="1" applyNumberFormat="1" applyFont="1" applyBorder="1" applyAlignment="1" applyProtection="1">
      <alignment horizontal="left"/>
      <protection hidden="1"/>
    </xf>
    <xf numFmtId="165" fontId="8" fillId="4" borderId="0" xfId="1" applyNumberFormat="1" applyFont="1" applyFill="1" applyBorder="1" applyProtection="1">
      <protection hidden="1"/>
    </xf>
    <xf numFmtId="164" fontId="14" fillId="0" borderId="17" xfId="1" applyNumberFormat="1" applyFont="1" applyBorder="1" applyAlignment="1" applyProtection="1">
      <alignment horizontal="left"/>
      <protection hidden="1"/>
    </xf>
    <xf numFmtId="164" fontId="16" fillId="0" borderId="18" xfId="1" applyNumberFormat="1" applyFont="1" applyBorder="1" applyProtection="1">
      <protection hidden="1"/>
    </xf>
    <xf numFmtId="164" fontId="8" fillId="0" borderId="18" xfId="1" applyNumberFormat="1" applyFont="1" applyFill="1" applyBorder="1" applyAlignment="1" applyProtection="1">
      <alignment horizontal="center"/>
      <protection hidden="1"/>
    </xf>
    <xf numFmtId="164" fontId="7" fillId="0" borderId="18" xfId="1" applyNumberFormat="1" applyFont="1" applyBorder="1" applyProtection="1">
      <protection hidden="1"/>
    </xf>
    <xf numFmtId="164" fontId="0" fillId="0" borderId="18" xfId="1" applyNumberFormat="1" applyFont="1" applyBorder="1" applyProtection="1">
      <protection hidden="1"/>
    </xf>
    <xf numFmtId="164" fontId="0" fillId="0" borderId="19" xfId="1" applyNumberFormat="1" applyFont="1" applyBorder="1" applyProtection="1">
      <protection hidden="1"/>
    </xf>
    <xf numFmtId="164" fontId="21" fillId="0" borderId="0" xfId="1" applyNumberFormat="1" applyFont="1" applyBorder="1" applyProtection="1">
      <protection hidden="1"/>
    </xf>
    <xf numFmtId="3" fontId="20" fillId="4" borderId="2" xfId="1" applyNumberFormat="1" applyFont="1" applyFill="1" applyBorder="1" applyAlignment="1" applyProtection="1">
      <alignment horizontal="right"/>
      <protection hidden="1"/>
    </xf>
    <xf numFmtId="164" fontId="21" fillId="0" borderId="16" xfId="1" applyNumberFormat="1" applyFont="1" applyBorder="1" applyProtection="1">
      <protection hidden="1"/>
    </xf>
    <xf numFmtId="3" fontId="20" fillId="4" borderId="0" xfId="1" applyNumberFormat="1" applyFont="1" applyFill="1" applyBorder="1" applyAlignment="1" applyProtection="1">
      <alignment horizontal="right"/>
      <protection hidden="1"/>
    </xf>
    <xf numFmtId="10" fontId="16" fillId="4" borderId="1" xfId="4" applyNumberFormat="1" applyFont="1" applyFill="1" applyBorder="1" applyAlignment="1" applyProtection="1">
      <alignment horizontal="right"/>
      <protection hidden="1"/>
    </xf>
    <xf numFmtId="164" fontId="16" fillId="0" borderId="10" xfId="1" applyNumberFormat="1" applyFont="1" applyBorder="1" applyAlignment="1" applyProtection="1">
      <alignment horizontal="left"/>
      <protection hidden="1"/>
    </xf>
    <xf numFmtId="164" fontId="16" fillId="0" borderId="4" xfId="1" applyNumberFormat="1" applyFont="1" applyBorder="1" applyProtection="1">
      <protection hidden="1"/>
    </xf>
    <xf numFmtId="165" fontId="8" fillId="4" borderId="4" xfId="1" applyNumberFormat="1" applyFont="1" applyFill="1" applyBorder="1" applyProtection="1">
      <protection hidden="1"/>
    </xf>
    <xf numFmtId="164" fontId="7" fillId="0" borderId="4" xfId="1" applyNumberFormat="1" applyFont="1" applyBorder="1" applyProtection="1">
      <protection hidden="1"/>
    </xf>
    <xf numFmtId="164" fontId="0" fillId="0" borderId="4" xfId="1" applyNumberFormat="1" applyFont="1" applyBorder="1" applyProtection="1">
      <protection hidden="1"/>
    </xf>
    <xf numFmtId="164" fontId="0" fillId="0" borderId="11" xfId="1" applyNumberFormat="1" applyFont="1" applyBorder="1" applyProtection="1">
      <protection hidden="1"/>
    </xf>
    <xf numFmtId="164" fontId="28" fillId="4" borderId="14" xfId="1"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protection hidden="1"/>
    </xf>
    <xf numFmtId="0" fontId="28" fillId="4" borderId="15" xfId="0" applyFont="1" applyFill="1" applyBorder="1" applyAlignment="1" applyProtection="1">
      <alignment horizontal="center" vertical="center"/>
      <protection hidden="1"/>
    </xf>
    <xf numFmtId="3" fontId="8" fillId="0" borderId="0" xfId="1" applyNumberFormat="1" applyFont="1" applyFill="1" applyBorder="1" applyAlignment="1" applyProtection="1">
      <alignment horizontal="right" wrapText="1"/>
      <protection hidden="1"/>
    </xf>
    <xf numFmtId="164" fontId="6" fillId="0" borderId="15" xfId="1" applyNumberFormat="1" applyFont="1" applyBorder="1" applyProtection="1">
      <protection hidden="1"/>
    </xf>
    <xf numFmtId="164" fontId="0" fillId="0" borderId="0" xfId="1" applyNumberFormat="1" applyFont="1" applyFill="1" applyBorder="1" applyProtection="1">
      <protection hidden="1"/>
    </xf>
    <xf numFmtId="164" fontId="0" fillId="0" borderId="0" xfId="1" applyNumberFormat="1" applyFont="1" applyFill="1" applyBorder="1" applyAlignment="1" applyProtection="1">
      <alignment horizontal="right"/>
      <protection hidden="1"/>
    </xf>
    <xf numFmtId="164" fontId="7" fillId="0" borderId="4" xfId="1" applyNumberFormat="1" applyFont="1" applyFill="1" applyBorder="1" applyProtection="1">
      <protection hidden="1"/>
    </xf>
    <xf numFmtId="164" fontId="7" fillId="0" borderId="4" xfId="1" applyNumberFormat="1" applyFont="1" applyFill="1" applyBorder="1" applyAlignment="1" applyProtection="1">
      <alignment horizontal="right"/>
      <protection hidden="1"/>
    </xf>
    <xf numFmtId="164" fontId="7" fillId="0" borderId="18" xfId="1" applyNumberFormat="1" applyFont="1" applyFill="1" applyBorder="1" applyProtection="1">
      <protection hidden="1"/>
    </xf>
    <xf numFmtId="164" fontId="7" fillId="0" borderId="18" xfId="1" applyNumberFormat="1" applyFont="1" applyFill="1" applyBorder="1" applyAlignment="1" applyProtection="1">
      <alignment horizontal="right"/>
      <protection hidden="1"/>
    </xf>
    <xf numFmtId="164" fontId="7" fillId="0" borderId="0" xfId="1" applyNumberFormat="1" applyFont="1" applyFill="1" applyProtection="1">
      <protection hidden="1"/>
    </xf>
    <xf numFmtId="164" fontId="7" fillId="0" borderId="0" xfId="1" applyNumberFormat="1" applyFont="1" applyProtection="1">
      <protection hidden="1"/>
    </xf>
    <xf numFmtId="164" fontId="0" fillId="0" borderId="0" xfId="1" applyNumberFormat="1" applyFont="1" applyAlignment="1" applyProtection="1">
      <alignment horizontal="left"/>
      <protection hidden="1"/>
    </xf>
    <xf numFmtId="3" fontId="20" fillId="0" borderId="0" xfId="1" applyNumberFormat="1" applyFont="1" applyFill="1" applyBorder="1" applyAlignment="1" applyProtection="1">
      <alignment horizontal="right"/>
      <protection hidden="1"/>
    </xf>
    <xf numFmtId="3" fontId="8" fillId="4" borderId="0" xfId="1" applyNumberFormat="1" applyFont="1" applyFill="1" applyBorder="1" applyAlignment="1" applyProtection="1">
      <alignment horizontal="right"/>
      <protection hidden="1"/>
    </xf>
    <xf numFmtId="0" fontId="0" fillId="4" borderId="0" xfId="0" applyFill="1" applyProtection="1">
      <protection hidden="1"/>
    </xf>
    <xf numFmtId="0" fontId="0" fillId="4" borderId="0" xfId="0" applyFill="1" applyAlignment="1" applyProtection="1">
      <alignment horizontal="left" wrapText="1"/>
      <protection hidden="1"/>
    </xf>
    <xf numFmtId="164" fontId="0" fillId="4" borderId="0" xfId="1" applyNumberFormat="1" applyFont="1" applyFill="1" applyProtection="1">
      <protection hidden="1"/>
    </xf>
    <xf numFmtId="164" fontId="7" fillId="4" borderId="0" xfId="1" applyNumberFormat="1" applyFont="1" applyFill="1" applyProtection="1">
      <protection hidden="1"/>
    </xf>
    <xf numFmtId="164" fontId="17" fillId="4" borderId="0" xfId="1" applyNumberFormat="1" applyFont="1" applyFill="1" applyProtection="1">
      <protection hidden="1"/>
    </xf>
    <xf numFmtId="164" fontId="7" fillId="4" borderId="0" xfId="1" applyNumberFormat="1" applyFont="1" applyFill="1" applyBorder="1" applyProtection="1">
      <protection hidden="1"/>
    </xf>
    <xf numFmtId="164" fontId="17" fillId="0" borderId="0" xfId="1" applyNumberFormat="1" applyFont="1" applyProtection="1">
      <protection hidden="1"/>
    </xf>
    <xf numFmtId="164" fontId="6" fillId="0" borderId="1" xfId="1" applyNumberFormat="1" applyFont="1" applyBorder="1" applyAlignment="1" applyProtection="1">
      <alignment horizontal="left"/>
      <protection hidden="1"/>
    </xf>
    <xf numFmtId="164" fontId="0" fillId="0" borderId="0" xfId="1" applyNumberFormat="1" applyFont="1" applyBorder="1" applyAlignment="1" applyProtection="1">
      <alignment horizontal="left"/>
      <protection hidden="1"/>
    </xf>
    <xf numFmtId="164" fontId="0" fillId="4" borderId="20" xfId="1" applyNumberFormat="1" applyFont="1" applyFill="1" applyBorder="1" applyProtection="1">
      <protection hidden="1"/>
    </xf>
    <xf numFmtId="164" fontId="0" fillId="4" borderId="0" xfId="1" applyNumberFormat="1" applyFont="1" applyFill="1" applyAlignment="1" applyProtection="1">
      <alignment horizontal="left"/>
      <protection hidden="1"/>
    </xf>
    <xf numFmtId="164" fontId="8" fillId="4" borderId="7" xfId="1" applyNumberFormat="1" applyFont="1" applyFill="1" applyBorder="1" applyProtection="1">
      <protection hidden="1"/>
    </xf>
    <xf numFmtId="164" fontId="7" fillId="4" borderId="8" xfId="1" applyNumberFormat="1" applyFont="1" applyFill="1" applyBorder="1" applyProtection="1">
      <protection hidden="1"/>
    </xf>
    <xf numFmtId="3" fontId="8" fillId="4" borderId="8" xfId="1" applyNumberFormat="1" applyFont="1" applyFill="1" applyBorder="1" applyAlignment="1" applyProtection="1">
      <alignment horizontal="right"/>
      <protection hidden="1"/>
    </xf>
    <xf numFmtId="0" fontId="22" fillId="0" borderId="0" xfId="0" applyFont="1" applyAlignment="1" applyProtection="1">
      <alignment horizontal="center" vertical="center"/>
      <protection locked="0"/>
    </xf>
    <xf numFmtId="164" fontId="17" fillId="4" borderId="0" xfId="1" applyNumberFormat="1" applyFont="1" applyFill="1" applyBorder="1" applyAlignment="1" applyProtection="1">
      <alignment horizontal="center"/>
      <protection hidden="1"/>
    </xf>
    <xf numFmtId="164" fontId="16" fillId="4" borderId="0" xfId="1" applyNumberFormat="1" applyFont="1" applyFill="1" applyBorder="1" applyProtection="1">
      <protection hidden="1"/>
    </xf>
    <xf numFmtId="164" fontId="17" fillId="4" borderId="0" xfId="1" applyNumberFormat="1" applyFont="1" applyFill="1" applyBorder="1" applyAlignment="1" applyProtection="1">
      <alignment horizontal="left"/>
      <protection hidden="1"/>
    </xf>
    <xf numFmtId="0" fontId="23" fillId="4" borderId="0" xfId="0" applyFont="1" applyFill="1" applyAlignment="1" applyProtection="1">
      <alignment horizontal="left"/>
      <protection hidden="1"/>
    </xf>
    <xf numFmtId="164" fontId="15" fillId="4" borderId="0" xfId="1" applyNumberFormat="1" applyFont="1" applyFill="1" applyBorder="1" applyAlignment="1" applyProtection="1">
      <alignment horizontal="left"/>
      <protection hidden="1"/>
    </xf>
    <xf numFmtId="0" fontId="16" fillId="4" borderId="0" xfId="0" applyFont="1" applyFill="1" applyAlignment="1" applyProtection="1">
      <alignment horizontal="left"/>
      <protection hidden="1"/>
    </xf>
    <xf numFmtId="0" fontId="16" fillId="4" borderId="0" xfId="0" applyFont="1" applyFill="1" applyAlignment="1" applyProtection="1">
      <alignment vertical="center"/>
      <protection hidden="1"/>
    </xf>
    <xf numFmtId="0" fontId="25" fillId="4" borderId="0" xfId="0" applyFont="1" applyFill="1" applyAlignment="1" applyProtection="1">
      <alignment vertical="center"/>
      <protection hidden="1"/>
    </xf>
    <xf numFmtId="0" fontId="16" fillId="4" borderId="0" xfId="0" applyFont="1" applyFill="1" applyAlignment="1" applyProtection="1">
      <alignment wrapText="1"/>
      <protection hidden="1"/>
    </xf>
    <xf numFmtId="0" fontId="17" fillId="4" borderId="0" xfId="0" applyFont="1" applyFill="1" applyAlignment="1" applyProtection="1">
      <alignment horizontal="left"/>
      <protection hidden="1"/>
    </xf>
    <xf numFmtId="0" fontId="25" fillId="4" borderId="0" xfId="0" applyFont="1" applyFill="1" applyProtection="1">
      <protection hidden="1"/>
    </xf>
    <xf numFmtId="49" fontId="17" fillId="4" borderId="0" xfId="0" applyNumberFormat="1" applyFont="1" applyFill="1" applyAlignment="1" applyProtection="1">
      <alignment horizontal="right"/>
      <protection hidden="1"/>
    </xf>
    <xf numFmtId="0" fontId="25" fillId="4" borderId="0" xfId="0" applyFont="1" applyFill="1" applyAlignment="1" applyProtection="1">
      <alignment horizontal="left"/>
      <protection hidden="1"/>
    </xf>
    <xf numFmtId="0" fontId="16" fillId="4" borderId="0" xfId="0" applyFont="1" applyFill="1" applyAlignment="1" applyProtection="1">
      <alignment horizontal="left" wrapText="1"/>
      <protection hidden="1"/>
    </xf>
    <xf numFmtId="9" fontId="16" fillId="4" borderId="0" xfId="4" applyFont="1" applyFill="1" applyProtection="1">
      <protection hidden="1"/>
    </xf>
    <xf numFmtId="164" fontId="6" fillId="4" borderId="0" xfId="1" applyNumberFormat="1" applyFont="1" applyFill="1" applyBorder="1" applyAlignment="1" applyProtection="1">
      <alignment horizontal="left" wrapText="1"/>
      <protection hidden="1"/>
    </xf>
    <xf numFmtId="3" fontId="7" fillId="3" borderId="9" xfId="1" applyNumberFormat="1" applyFont="1" applyFill="1" applyBorder="1" applyAlignment="1" applyProtection="1">
      <alignment horizontal="right"/>
      <protection locked="0"/>
    </xf>
    <xf numFmtId="164" fontId="6" fillId="0" borderId="21" xfId="1" applyNumberFormat="1" applyFont="1" applyFill="1" applyBorder="1" applyAlignment="1" applyProtection="1">
      <alignment horizontal="right" wrapText="1"/>
      <protection hidden="1"/>
    </xf>
    <xf numFmtId="164" fontId="7" fillId="4" borderId="0" xfId="1" applyNumberFormat="1" applyFont="1" applyFill="1" applyBorder="1" applyAlignment="1" applyProtection="1">
      <alignment horizontal="left"/>
      <protection hidden="1"/>
    </xf>
    <xf numFmtId="164" fontId="0" fillId="4" borderId="0" xfId="1" applyNumberFormat="1" applyFont="1" applyFill="1" applyBorder="1" applyAlignment="1" applyProtection="1">
      <alignment horizontal="left"/>
      <protection hidden="1"/>
    </xf>
    <xf numFmtId="166" fontId="17" fillId="4" borderId="0" xfId="0" applyNumberFormat="1" applyFont="1" applyFill="1" applyAlignment="1" applyProtection="1">
      <alignment horizontal="right" wrapText="1"/>
      <protection hidden="1"/>
    </xf>
    <xf numFmtId="164" fontId="5" fillId="4" borderId="0" xfId="1" applyNumberFormat="1" applyFont="1" applyFill="1" applyAlignment="1" applyProtection="1">
      <alignment horizontal="left"/>
      <protection hidden="1"/>
    </xf>
    <xf numFmtId="164" fontId="17" fillId="6" borderId="0" xfId="1" applyNumberFormat="1" applyFont="1" applyFill="1" applyAlignment="1" applyProtection="1">
      <alignment horizontal="left"/>
      <protection hidden="1"/>
    </xf>
    <xf numFmtId="3" fontId="16" fillId="3" borderId="10" xfId="0" applyNumberFormat="1" applyFont="1" applyFill="1" applyBorder="1" applyAlignment="1" applyProtection="1">
      <alignment horizontal="right"/>
      <protection locked="0"/>
    </xf>
    <xf numFmtId="3" fontId="16" fillId="3" borderId="7" xfId="0" applyNumberFormat="1" applyFont="1" applyFill="1" applyBorder="1" applyAlignment="1" applyProtection="1">
      <alignment horizontal="right"/>
      <protection locked="0"/>
    </xf>
    <xf numFmtId="3" fontId="16" fillId="3" borderId="1" xfId="0" applyNumberFormat="1" applyFont="1" applyFill="1" applyBorder="1" applyAlignment="1" applyProtection="1">
      <alignment horizontal="right"/>
      <protection locked="0"/>
    </xf>
    <xf numFmtId="3" fontId="16" fillId="3" borderId="22" xfId="0" applyNumberFormat="1" applyFont="1" applyFill="1" applyBorder="1" applyAlignment="1" applyProtection="1">
      <alignment horizontal="right"/>
      <protection locked="0"/>
    </xf>
    <xf numFmtId="164" fontId="16" fillId="3" borderId="1" xfId="1" applyNumberFormat="1" applyFont="1" applyFill="1" applyBorder="1" applyAlignment="1" applyProtection="1">
      <alignment horizontal="left"/>
      <protection locked="0"/>
    </xf>
    <xf numFmtId="3" fontId="16" fillId="3" borderId="1" xfId="1" applyNumberFormat="1" applyFont="1" applyFill="1" applyBorder="1" applyAlignment="1" applyProtection="1">
      <alignment horizontal="right"/>
      <protection locked="0"/>
    </xf>
    <xf numFmtId="0" fontId="6" fillId="0" borderId="0" xfId="0" applyFont="1"/>
    <xf numFmtId="3" fontId="8" fillId="0" borderId="2" xfId="1" applyNumberFormat="1" applyFont="1" applyFill="1" applyBorder="1" applyAlignment="1" applyProtection="1">
      <alignment horizontal="right"/>
      <protection locked="0" hidden="1"/>
    </xf>
    <xf numFmtId="3" fontId="20" fillId="0" borderId="2" xfId="1" applyNumberFormat="1" applyFont="1" applyFill="1" applyBorder="1" applyAlignment="1" applyProtection="1">
      <alignment horizontal="right"/>
      <protection locked="0" hidden="1"/>
    </xf>
    <xf numFmtId="10" fontId="16" fillId="0" borderId="1" xfId="4" applyNumberFormat="1" applyFont="1" applyFill="1" applyBorder="1" applyAlignment="1" applyProtection="1">
      <alignment horizontal="right"/>
      <protection locked="0" hidden="1"/>
    </xf>
    <xf numFmtId="43" fontId="16" fillId="0" borderId="7" xfId="1" applyFont="1" applyBorder="1" applyAlignment="1" applyProtection="1">
      <protection hidden="1"/>
    </xf>
    <xf numFmtId="0" fontId="6" fillId="0" borderId="0" xfId="0" applyFont="1" applyAlignment="1">
      <alignment wrapText="1"/>
    </xf>
    <xf numFmtId="0" fontId="0" fillId="0" borderId="0" xfId="0" applyAlignment="1">
      <alignment horizontal="right"/>
    </xf>
    <xf numFmtId="3" fontId="0" fillId="0" borderId="0" xfId="0" applyNumberFormat="1" applyAlignment="1">
      <alignment horizontal="right"/>
    </xf>
    <xf numFmtId="43" fontId="16" fillId="0" borderId="23" xfId="1" applyFont="1" applyBorder="1" applyAlignment="1" applyProtection="1">
      <protection hidden="1"/>
    </xf>
    <xf numFmtId="43" fontId="16" fillId="0" borderId="24" xfId="1" applyFont="1" applyBorder="1" applyAlignment="1" applyProtection="1">
      <protection hidden="1"/>
    </xf>
    <xf numFmtId="43" fontId="16" fillId="0" borderId="21" xfId="1" applyFont="1" applyBorder="1" applyAlignment="1" applyProtection="1">
      <protection hidden="1"/>
    </xf>
    <xf numFmtId="43" fontId="16" fillId="0" borderId="8" xfId="1" applyFont="1" applyBorder="1" applyAlignment="1" applyProtection="1">
      <protection hidden="1"/>
    </xf>
    <xf numFmtId="43" fontId="16" fillId="0" borderId="9" xfId="1" applyFont="1" applyBorder="1" applyAlignment="1" applyProtection="1">
      <protection hidden="1"/>
    </xf>
    <xf numFmtId="43" fontId="12" fillId="0" borderId="12" xfId="1" applyFont="1" applyBorder="1" applyAlignment="1" applyProtection="1">
      <alignment horizontal="right" wrapText="1"/>
      <protection hidden="1"/>
    </xf>
    <xf numFmtId="0" fontId="33" fillId="4" borderId="0" xfId="0" applyFont="1" applyFill="1" applyProtection="1">
      <protection hidden="1"/>
    </xf>
    <xf numFmtId="0" fontId="33" fillId="0" borderId="0" xfId="0" applyFont="1" applyProtection="1">
      <protection hidden="1"/>
    </xf>
    <xf numFmtId="0" fontId="33" fillId="4" borderId="0" xfId="0" applyFont="1" applyFill="1" applyAlignment="1" applyProtection="1">
      <alignment horizontal="left" wrapText="1"/>
      <protection hidden="1"/>
    </xf>
    <xf numFmtId="166" fontId="17" fillId="4" borderId="0" xfId="0" applyNumberFormat="1" applyFont="1" applyFill="1" applyAlignment="1" applyProtection="1">
      <alignment horizontal="right" vertical="center" wrapText="1"/>
      <protection hidden="1"/>
    </xf>
    <xf numFmtId="0" fontId="33" fillId="4" borderId="0" xfId="0" applyFont="1" applyFill="1" applyAlignment="1" applyProtection="1">
      <alignment horizontal="left" vertical="center" wrapText="1"/>
      <protection hidden="1"/>
    </xf>
    <xf numFmtId="0" fontId="33" fillId="6" borderId="0" xfId="0" applyFont="1" applyFill="1" applyAlignment="1" applyProtection="1">
      <alignment horizontal="left" wrapText="1"/>
      <protection hidden="1"/>
    </xf>
    <xf numFmtId="166" fontId="17" fillId="6" borderId="2" xfId="0" applyNumberFormat="1" applyFont="1" applyFill="1" applyBorder="1" applyAlignment="1" applyProtection="1">
      <alignment horizontal="right" vertical="center" wrapText="1"/>
      <protection hidden="1"/>
    </xf>
    <xf numFmtId="0" fontId="33" fillId="0" borderId="0" xfId="0" applyFont="1" applyAlignment="1" applyProtection="1">
      <alignment wrapText="1"/>
      <protection hidden="1"/>
    </xf>
    <xf numFmtId="3" fontId="7" fillId="3" borderId="25" xfId="1" applyNumberFormat="1" applyFont="1" applyFill="1" applyBorder="1" applyAlignment="1" applyProtection="1">
      <alignment horizontal="right"/>
      <protection locked="0"/>
    </xf>
    <xf numFmtId="164" fontId="8" fillId="4" borderId="26" xfId="1" applyNumberFormat="1" applyFont="1" applyFill="1" applyBorder="1" applyProtection="1">
      <protection hidden="1"/>
    </xf>
    <xf numFmtId="3" fontId="8" fillId="4" borderId="27" xfId="1" applyNumberFormat="1" applyFont="1" applyFill="1" applyBorder="1" applyAlignment="1" applyProtection="1">
      <alignment horizontal="right"/>
      <protection hidden="1"/>
    </xf>
    <xf numFmtId="164" fontId="7" fillId="4" borderId="28" xfId="1" applyNumberFormat="1" applyFont="1" applyFill="1" applyBorder="1" applyProtection="1">
      <protection hidden="1"/>
    </xf>
    <xf numFmtId="3" fontId="8" fillId="0" borderId="29" xfId="1" applyNumberFormat="1" applyFont="1" applyFill="1" applyBorder="1" applyAlignment="1" applyProtection="1">
      <alignment horizontal="right"/>
      <protection hidden="1"/>
    </xf>
    <xf numFmtId="3" fontId="33" fillId="4" borderId="2" xfId="0" applyNumberFormat="1" applyFont="1" applyFill="1" applyBorder="1" applyProtection="1">
      <protection hidden="1"/>
    </xf>
    <xf numFmtId="1" fontId="33" fillId="4" borderId="2" xfId="0" applyNumberFormat="1" applyFont="1" applyFill="1" applyBorder="1" applyAlignment="1" applyProtection="1">
      <alignment horizontal="center"/>
      <protection hidden="1"/>
    </xf>
    <xf numFmtId="43" fontId="16" fillId="0" borderId="30" xfId="1" applyFont="1" applyFill="1" applyBorder="1" applyAlignment="1" applyProtection="1">
      <protection hidden="1"/>
    </xf>
    <xf numFmtId="43" fontId="16" fillId="0" borderId="5" xfId="1" applyFont="1" applyFill="1" applyBorder="1" applyAlignment="1" applyProtection="1">
      <protection hidden="1"/>
    </xf>
    <xf numFmtId="164" fontId="7" fillId="0" borderId="8" xfId="1" applyNumberFormat="1" applyFont="1" applyFill="1" applyBorder="1" applyAlignment="1" applyProtection="1">
      <alignment wrapText="1"/>
      <protection hidden="1"/>
    </xf>
    <xf numFmtId="164" fontId="7" fillId="0" borderId="9" xfId="1" applyNumberFormat="1" applyFont="1" applyFill="1" applyBorder="1" applyAlignment="1" applyProtection="1">
      <alignment wrapText="1"/>
      <protection hidden="1"/>
    </xf>
    <xf numFmtId="164" fontId="7" fillId="0" borderId="1" xfId="1" applyNumberFormat="1" applyFont="1" applyFill="1" applyBorder="1" applyAlignment="1" applyProtection="1">
      <alignment wrapText="1"/>
      <protection hidden="1"/>
    </xf>
    <xf numFmtId="164" fontId="7" fillId="0" borderId="31" xfId="1" applyNumberFormat="1" applyFont="1" applyFill="1" applyBorder="1" applyAlignment="1" applyProtection="1">
      <alignment wrapText="1"/>
      <protection hidden="1"/>
    </xf>
    <xf numFmtId="164" fontId="7" fillId="0" borderId="25" xfId="1" applyNumberFormat="1" applyFont="1" applyFill="1" applyBorder="1" applyAlignment="1" applyProtection="1">
      <alignment wrapText="1"/>
      <protection hidden="1"/>
    </xf>
    <xf numFmtId="164" fontId="6" fillId="0" borderId="32" xfId="1" applyNumberFormat="1" applyFont="1" applyFill="1" applyBorder="1" applyAlignment="1" applyProtection="1">
      <alignment horizontal="right" wrapText="1"/>
      <protection hidden="1"/>
    </xf>
    <xf numFmtId="14" fontId="7" fillId="3" borderId="1" xfId="1" applyNumberFormat="1" applyFont="1" applyFill="1" applyBorder="1" applyAlignment="1" applyProtection="1">
      <alignment horizontal="right"/>
      <protection locked="0"/>
    </xf>
    <xf numFmtId="14" fontId="7" fillId="3" borderId="33" xfId="1" applyNumberFormat="1" applyFont="1" applyFill="1" applyBorder="1" applyAlignment="1" applyProtection="1">
      <alignment horizontal="right"/>
      <protection locked="0"/>
    </xf>
    <xf numFmtId="1" fontId="33" fillId="4" borderId="0" xfId="0" applyNumberFormat="1" applyFont="1" applyFill="1" applyAlignment="1" applyProtection="1">
      <alignment horizontal="right"/>
      <protection hidden="1"/>
    </xf>
    <xf numFmtId="166" fontId="17" fillId="0" borderId="2" xfId="0" applyNumberFormat="1" applyFont="1" applyBorder="1" applyAlignment="1" applyProtection="1">
      <alignment horizontal="right" vertical="center" wrapText="1"/>
      <protection hidden="1"/>
    </xf>
    <xf numFmtId="0" fontId="0" fillId="0" borderId="0" xfId="0" applyAlignment="1" applyProtection="1">
      <alignment horizontal="left"/>
      <protection hidden="1"/>
    </xf>
    <xf numFmtId="0" fontId="0" fillId="0" borderId="0" xfId="0" applyAlignment="1" applyProtection="1">
      <alignment horizontal="center"/>
      <protection hidden="1"/>
    </xf>
    <xf numFmtId="0" fontId="6" fillId="0" borderId="0" xfId="0" applyFont="1" applyAlignment="1" applyProtection="1">
      <alignment horizontal="center" wrapText="1"/>
      <protection hidden="1"/>
    </xf>
    <xf numFmtId="0" fontId="6" fillId="0" borderId="0" xfId="0" applyFont="1" applyAlignment="1" applyProtection="1">
      <alignment horizontal="left" wrapText="1"/>
      <protection hidden="1"/>
    </xf>
    <xf numFmtId="0" fontId="6" fillId="7" borderId="0" xfId="0" applyFont="1" applyFill="1" applyAlignment="1" applyProtection="1">
      <alignment horizontal="center" wrapText="1"/>
      <protection hidden="1"/>
    </xf>
    <xf numFmtId="0" fontId="6" fillId="5" borderId="0" xfId="0" applyFont="1" applyFill="1" applyAlignment="1" applyProtection="1">
      <alignment horizontal="center" wrapText="1"/>
      <protection hidden="1"/>
    </xf>
    <xf numFmtId="0" fontId="6" fillId="8" borderId="0" xfId="0" applyFont="1" applyFill="1" applyAlignment="1" applyProtection="1">
      <alignment horizontal="center" wrapText="1"/>
      <protection hidden="1"/>
    </xf>
    <xf numFmtId="49" fontId="6" fillId="9" borderId="0" xfId="0" applyNumberFormat="1" applyFont="1" applyFill="1" applyProtection="1">
      <protection hidden="1"/>
    </xf>
    <xf numFmtId="0" fontId="6" fillId="9" borderId="0" xfId="0" applyFont="1" applyFill="1" applyProtection="1">
      <protection hidden="1"/>
    </xf>
    <xf numFmtId="0" fontId="0" fillId="9" borderId="0" xfId="0" applyFill="1" applyProtection="1">
      <protection hidden="1"/>
    </xf>
    <xf numFmtId="164" fontId="0" fillId="3" borderId="0" xfId="1" applyNumberFormat="1" applyFont="1" applyFill="1" applyProtection="1">
      <protection hidden="1"/>
    </xf>
    <xf numFmtId="3" fontId="0" fillId="3" borderId="0" xfId="0" applyNumberFormat="1" applyFill="1" applyProtection="1">
      <protection hidden="1"/>
    </xf>
    <xf numFmtId="0" fontId="0" fillId="7" borderId="0" xfId="0" applyFill="1" applyProtection="1">
      <protection hidden="1"/>
    </xf>
    <xf numFmtId="0" fontId="0" fillId="8" borderId="0" xfId="0" applyFill="1" applyProtection="1">
      <protection hidden="1"/>
    </xf>
    <xf numFmtId="0" fontId="0" fillId="3" borderId="0" xfId="0" applyFill="1" applyProtection="1">
      <protection hidden="1"/>
    </xf>
    <xf numFmtId="0" fontId="0" fillId="5" borderId="0" xfId="0" applyFill="1" applyProtection="1">
      <protection hidden="1"/>
    </xf>
    <xf numFmtId="0" fontId="0" fillId="9" borderId="0" xfId="0" applyFill="1" applyAlignment="1" applyProtection="1">
      <alignment horizontal="left"/>
      <protection hidden="1"/>
    </xf>
    <xf numFmtId="0" fontId="0" fillId="9" borderId="0" xfId="0" applyFill="1" applyAlignment="1" applyProtection="1">
      <alignment horizontal="center"/>
      <protection hidden="1"/>
    </xf>
    <xf numFmtId="49" fontId="6" fillId="0" borderId="0" xfId="0" applyNumberFormat="1" applyFont="1" applyProtection="1">
      <protection hidden="1"/>
    </xf>
    <xf numFmtId="0" fontId="6" fillId="0" borderId="0" xfId="0" applyFont="1" applyAlignment="1">
      <alignment horizontal="right"/>
    </xf>
    <xf numFmtId="3" fontId="8" fillId="4" borderId="2" xfId="1" applyNumberFormat="1" applyFont="1" applyFill="1" applyBorder="1" applyAlignment="1" applyProtection="1">
      <alignment horizontal="right"/>
      <protection locked="0" hidden="1"/>
    </xf>
    <xf numFmtId="0" fontId="13" fillId="0" borderId="0" xfId="0" applyFont="1"/>
    <xf numFmtId="0" fontId="12" fillId="0" borderId="0" xfId="0" applyFont="1"/>
    <xf numFmtId="0" fontId="0" fillId="0" borderId="4" xfId="0" applyBorder="1"/>
    <xf numFmtId="3" fontId="6" fillId="0" borderId="0" xfId="0" applyNumberFormat="1" applyFont="1" applyAlignment="1">
      <alignment horizontal="right"/>
    </xf>
    <xf numFmtId="164" fontId="6" fillId="0" borderId="0" xfId="1" applyNumberFormat="1" applyFont="1" applyBorder="1" applyAlignment="1" applyProtection="1">
      <alignment horizontal="center"/>
      <protection hidden="1"/>
    </xf>
    <xf numFmtId="1" fontId="0" fillId="9" borderId="34" xfId="0" applyNumberFormat="1" applyFill="1" applyBorder="1" applyAlignment="1" applyProtection="1">
      <alignment horizontal="left"/>
      <protection hidden="1"/>
    </xf>
    <xf numFmtId="1" fontId="0" fillId="9" borderId="35" xfId="0" applyNumberFormat="1" applyFill="1" applyBorder="1" applyAlignment="1" applyProtection="1">
      <alignment horizontal="center"/>
      <protection hidden="1"/>
    </xf>
    <xf numFmtId="3" fontId="0" fillId="3" borderId="35" xfId="0" applyNumberFormat="1" applyFill="1" applyBorder="1" applyProtection="1">
      <protection hidden="1"/>
    </xf>
    <xf numFmtId="0" fontId="0" fillId="7" borderId="35" xfId="0" applyFill="1" applyBorder="1" applyProtection="1">
      <protection hidden="1"/>
    </xf>
    <xf numFmtId="14" fontId="0" fillId="7" borderId="35" xfId="0" applyNumberFormat="1" applyFill="1" applyBorder="1" applyProtection="1">
      <protection hidden="1"/>
    </xf>
    <xf numFmtId="3" fontId="0" fillId="5" borderId="35" xfId="0" applyNumberFormat="1" applyFill="1" applyBorder="1" applyProtection="1">
      <protection hidden="1"/>
    </xf>
    <xf numFmtId="1" fontId="0" fillId="9" borderId="20" xfId="0" applyNumberFormat="1" applyFill="1" applyBorder="1" applyAlignment="1" applyProtection="1">
      <alignment horizontal="left"/>
      <protection hidden="1"/>
    </xf>
    <xf numFmtId="1" fontId="0" fillId="9" borderId="0" xfId="0" applyNumberFormat="1" applyFill="1" applyAlignment="1" applyProtection="1">
      <alignment horizontal="center"/>
      <protection hidden="1"/>
    </xf>
    <xf numFmtId="1" fontId="0" fillId="9" borderId="26" xfId="0" applyNumberFormat="1" applyFill="1" applyBorder="1" applyAlignment="1" applyProtection="1">
      <alignment horizontal="left"/>
      <protection hidden="1"/>
    </xf>
    <xf numFmtId="1" fontId="0" fillId="9" borderId="27" xfId="0" applyNumberFormat="1" applyFill="1" applyBorder="1" applyAlignment="1" applyProtection="1">
      <alignment horizontal="center"/>
      <protection hidden="1"/>
    </xf>
    <xf numFmtId="3" fontId="0" fillId="3" borderId="27" xfId="0" applyNumberFormat="1" applyFill="1" applyBorder="1" applyProtection="1">
      <protection hidden="1"/>
    </xf>
    <xf numFmtId="0" fontId="0" fillId="3" borderId="27" xfId="0" applyFill="1" applyBorder="1" applyProtection="1">
      <protection hidden="1"/>
    </xf>
    <xf numFmtId="0" fontId="0" fillId="7" borderId="27" xfId="0" applyFill="1" applyBorder="1" applyProtection="1">
      <protection hidden="1"/>
    </xf>
    <xf numFmtId="0" fontId="0" fillId="5" borderId="27" xfId="0" applyFill="1" applyBorder="1" applyProtection="1">
      <protection hidden="1"/>
    </xf>
    <xf numFmtId="3" fontId="37" fillId="0" borderId="0" xfId="0" applyNumberFormat="1" applyFont="1" applyAlignment="1">
      <alignment horizontal="right"/>
    </xf>
    <xf numFmtId="164" fontId="16" fillId="0" borderId="10" xfId="1" applyNumberFormat="1" applyFont="1" applyBorder="1" applyAlignment="1" applyProtection="1">
      <alignment horizontal="center"/>
      <protection hidden="1"/>
    </xf>
    <xf numFmtId="164" fontId="8" fillId="0" borderId="14" xfId="1" applyNumberFormat="1" applyFont="1" applyBorder="1" applyProtection="1">
      <protection hidden="1"/>
    </xf>
    <xf numFmtId="164" fontId="16" fillId="0" borderId="14" xfId="1" applyNumberFormat="1" applyFont="1" applyBorder="1" applyProtection="1">
      <protection hidden="1"/>
    </xf>
    <xf numFmtId="164" fontId="25" fillId="0" borderId="14" xfId="1" applyNumberFormat="1" applyFont="1" applyBorder="1" applyProtection="1">
      <protection hidden="1"/>
    </xf>
    <xf numFmtId="3" fontId="16" fillId="0" borderId="0" xfId="4" applyNumberFormat="1" applyFont="1" applyFill="1" applyBorder="1" applyAlignment="1" applyProtection="1">
      <alignment horizontal="right"/>
      <protection locked="0" hidden="1"/>
    </xf>
    <xf numFmtId="3" fontId="16" fillId="4" borderId="0" xfId="4" applyNumberFormat="1" applyFont="1" applyFill="1" applyBorder="1" applyAlignment="1" applyProtection="1">
      <alignment horizontal="right"/>
      <protection hidden="1"/>
    </xf>
    <xf numFmtId="164" fontId="16" fillId="4" borderId="0" xfId="1" applyNumberFormat="1" applyFont="1" applyFill="1" applyAlignment="1" applyProtection="1">
      <alignment horizontal="left"/>
      <protection hidden="1"/>
    </xf>
    <xf numFmtId="164" fontId="16" fillId="0" borderId="0" xfId="1" applyNumberFormat="1" applyFont="1" applyAlignment="1" applyProtection="1">
      <alignment horizontal="left"/>
      <protection hidden="1"/>
    </xf>
    <xf numFmtId="0" fontId="16" fillId="4" borderId="0" xfId="0" applyFont="1" applyFill="1" applyAlignment="1" applyProtection="1">
      <alignment vertical="top"/>
      <protection hidden="1"/>
    </xf>
    <xf numFmtId="164" fontId="6" fillId="0" borderId="2" xfId="1" applyNumberFormat="1" applyFont="1" applyBorder="1" applyAlignment="1" applyProtection="1">
      <alignment horizontal="left" vertical="center"/>
      <protection hidden="1"/>
    </xf>
    <xf numFmtId="1" fontId="8" fillId="0" borderId="2" xfId="1" applyNumberFormat="1" applyFont="1" applyFill="1" applyBorder="1" applyAlignment="1" applyProtection="1">
      <alignment horizontal="center" vertical="center" wrapText="1"/>
      <protection hidden="1"/>
    </xf>
    <xf numFmtId="1" fontId="8" fillId="0" borderId="12" xfId="1" applyNumberFormat="1" applyFont="1" applyFill="1" applyBorder="1" applyAlignment="1" applyProtection="1">
      <alignment horizontal="center" vertical="center" wrapText="1"/>
      <protection hidden="1"/>
    </xf>
    <xf numFmtId="164" fontId="0" fillId="0" borderId="0" xfId="1" applyNumberFormat="1" applyFont="1" applyBorder="1" applyAlignment="1" applyProtection="1">
      <alignment vertical="center"/>
      <protection hidden="1"/>
    </xf>
    <xf numFmtId="164" fontId="8" fillId="0" borderId="0" xfId="1" applyNumberFormat="1" applyFont="1" applyBorder="1" applyAlignment="1" applyProtection="1">
      <alignment horizontal="left" vertical="center"/>
      <protection hidden="1"/>
    </xf>
    <xf numFmtId="164" fontId="6" fillId="0" borderId="14" xfId="1" applyNumberFormat="1" applyFont="1" applyBorder="1" applyAlignment="1" applyProtection="1">
      <alignment horizontal="left" vertical="center"/>
      <protection hidden="1"/>
    </xf>
    <xf numFmtId="164" fontId="8" fillId="4" borderId="0" xfId="1" applyNumberFormat="1" applyFont="1" applyFill="1" applyBorder="1" applyAlignment="1" applyProtection="1">
      <alignment vertical="center" wrapText="1"/>
      <protection hidden="1"/>
    </xf>
    <xf numFmtId="1" fontId="8" fillId="0" borderId="5" xfId="1" applyNumberFormat="1" applyFont="1" applyFill="1" applyBorder="1" applyAlignment="1" applyProtection="1">
      <alignment horizontal="center" vertical="center" wrapText="1"/>
      <protection hidden="1"/>
    </xf>
    <xf numFmtId="164" fontId="5" fillId="0" borderId="0" xfId="1" applyNumberFormat="1" applyFont="1" applyFill="1" applyAlignment="1" applyProtection="1">
      <alignment horizontal="left"/>
      <protection hidden="1"/>
    </xf>
    <xf numFmtId="3" fontId="37" fillId="11" borderId="0" xfId="0" applyNumberFormat="1" applyFont="1" applyFill="1"/>
    <xf numFmtId="0" fontId="37" fillId="11" borderId="0" xfId="0" applyFont="1" applyFill="1"/>
    <xf numFmtId="0" fontId="5" fillId="0" borderId="0" xfId="0" applyFont="1"/>
    <xf numFmtId="3" fontId="8" fillId="3" borderId="49" xfId="1" applyNumberFormat="1" applyFont="1" applyFill="1" applyBorder="1" applyAlignment="1" applyProtection="1">
      <alignment horizontal="right"/>
      <protection locked="0"/>
    </xf>
    <xf numFmtId="3" fontId="38" fillId="12" borderId="49" xfId="1" applyNumberFormat="1" applyFont="1" applyFill="1" applyBorder="1" applyAlignment="1" applyProtection="1">
      <alignment horizontal="right"/>
      <protection hidden="1"/>
    </xf>
    <xf numFmtId="3" fontId="8" fillId="3" borderId="49" xfId="1" applyNumberFormat="1" applyFont="1" applyFill="1" applyBorder="1" applyAlignment="1" applyProtection="1">
      <alignment horizontal="right" wrapText="1"/>
      <protection locked="0"/>
    </xf>
    <xf numFmtId="3" fontId="8" fillId="0" borderId="49" xfId="1" applyNumberFormat="1" applyFont="1" applyFill="1" applyBorder="1" applyAlignment="1" applyProtection="1">
      <alignment horizontal="right"/>
      <protection hidden="1"/>
    </xf>
    <xf numFmtId="0" fontId="0" fillId="12" borderId="0" xfId="0" applyFill="1" applyProtection="1">
      <protection hidden="1"/>
    </xf>
    <xf numFmtId="3" fontId="0" fillId="8" borderId="35" xfId="0" applyNumberFormat="1" applyFill="1" applyBorder="1" applyProtection="1">
      <protection hidden="1"/>
    </xf>
    <xf numFmtId="3" fontId="0" fillId="8" borderId="36" xfId="0" applyNumberFormat="1" applyFill="1" applyBorder="1" applyProtection="1">
      <protection hidden="1"/>
    </xf>
    <xf numFmtId="3" fontId="0" fillId="8" borderId="0" xfId="0" applyNumberFormat="1" applyFill="1" applyProtection="1">
      <protection hidden="1"/>
    </xf>
    <xf numFmtId="3" fontId="0" fillId="8" borderId="37" xfId="0" applyNumberFormat="1" applyFill="1" applyBorder="1" applyProtection="1">
      <protection hidden="1"/>
    </xf>
    <xf numFmtId="3" fontId="0" fillId="8" borderId="27" xfId="0" applyNumberFormat="1" applyFill="1" applyBorder="1" applyProtection="1">
      <protection hidden="1"/>
    </xf>
    <xf numFmtId="3" fontId="0" fillId="8" borderId="28" xfId="0" applyNumberFormat="1" applyFill="1" applyBorder="1" applyProtection="1">
      <protection hidden="1"/>
    </xf>
    <xf numFmtId="0" fontId="33" fillId="12" borderId="0" xfId="0" applyFont="1" applyFill="1" applyProtection="1">
      <protection hidden="1"/>
    </xf>
    <xf numFmtId="0" fontId="33" fillId="12" borderId="0" xfId="0" applyFont="1" applyFill="1" applyAlignment="1" applyProtection="1">
      <alignment wrapText="1"/>
      <protection hidden="1"/>
    </xf>
    <xf numFmtId="0" fontId="37" fillId="11" borderId="0" xfId="0" applyFont="1" applyFill="1" applyAlignment="1">
      <alignment horizontal="left"/>
    </xf>
    <xf numFmtId="3" fontId="5" fillId="11" borderId="0" xfId="0" applyNumberFormat="1" applyFont="1" applyFill="1" applyAlignment="1">
      <alignment horizontal="right"/>
    </xf>
    <xf numFmtId="3" fontId="0" fillId="0" borderId="0" xfId="0" applyNumberFormat="1"/>
    <xf numFmtId="167" fontId="0" fillId="3" borderId="35" xfId="1" applyNumberFormat="1" applyFont="1" applyFill="1" applyBorder="1" applyProtection="1">
      <protection hidden="1"/>
    </xf>
    <xf numFmtId="167" fontId="0" fillId="3" borderId="0" xfId="1" applyNumberFormat="1" applyFont="1" applyFill="1" applyBorder="1" applyProtection="1">
      <protection hidden="1"/>
    </xf>
    <xf numFmtId="167" fontId="0" fillId="3" borderId="27" xfId="1" applyNumberFormat="1" applyFont="1" applyFill="1" applyBorder="1" applyProtection="1">
      <protection hidden="1"/>
    </xf>
    <xf numFmtId="0" fontId="0" fillId="11" borderId="35" xfId="0" applyFill="1" applyBorder="1"/>
    <xf numFmtId="0" fontId="0" fillId="11" borderId="36" xfId="0" applyFill="1" applyBorder="1"/>
    <xf numFmtId="0" fontId="0" fillId="11" borderId="20" xfId="0" applyFill="1" applyBorder="1"/>
    <xf numFmtId="0" fontId="0" fillId="11" borderId="0" xfId="0" applyFill="1"/>
    <xf numFmtId="0" fontId="0" fillId="11" borderId="37" xfId="0" applyFill="1" applyBorder="1"/>
    <xf numFmtId="0" fontId="0" fillId="11" borderId="26" xfId="0" applyFill="1" applyBorder="1"/>
    <xf numFmtId="0" fontId="0" fillId="11" borderId="27" xfId="0" applyFill="1" applyBorder="1"/>
    <xf numFmtId="0" fontId="0" fillId="11" borderId="28" xfId="0" applyFill="1" applyBorder="1"/>
    <xf numFmtId="0" fontId="5" fillId="11" borderId="34" xfId="0" applyFont="1" applyFill="1" applyBorder="1"/>
    <xf numFmtId="0" fontId="5" fillId="11" borderId="20" xfId="0" applyFont="1" applyFill="1" applyBorder="1"/>
    <xf numFmtId="0" fontId="0" fillId="11" borderId="35" xfId="0" applyFill="1" applyBorder="1" applyAlignment="1">
      <alignment horizontal="right"/>
    </xf>
    <xf numFmtId="0" fontId="0" fillId="11" borderId="0" xfId="0" applyFill="1" applyAlignment="1">
      <alignment horizontal="right"/>
    </xf>
    <xf numFmtId="0" fontId="0" fillId="11" borderId="27" xfId="0" applyFill="1" applyBorder="1" applyAlignment="1">
      <alignment horizontal="right"/>
    </xf>
    <xf numFmtId="0" fontId="39" fillId="0" borderId="0" xfId="0" applyFont="1"/>
    <xf numFmtId="4" fontId="0" fillId="13" borderId="1" xfId="0" applyNumberFormat="1" applyFill="1" applyBorder="1" applyAlignment="1">
      <alignment horizontal="right"/>
    </xf>
    <xf numFmtId="4" fontId="0" fillId="13" borderId="22" xfId="0" applyNumberFormat="1" applyFill="1" applyBorder="1" applyAlignment="1">
      <alignment horizontal="right"/>
    </xf>
    <xf numFmtId="4" fontId="6" fillId="14" borderId="2" xfId="0" applyNumberFormat="1" applyFont="1" applyFill="1" applyBorder="1" applyAlignment="1">
      <alignment horizontal="right"/>
    </xf>
    <xf numFmtId="4" fontId="0" fillId="0" borderId="1" xfId="0" applyNumberFormat="1" applyBorder="1" applyAlignment="1">
      <alignment horizontal="right"/>
    </xf>
    <xf numFmtId="0" fontId="6" fillId="0" borderId="2" xfId="0" applyFont="1" applyBorder="1" applyAlignment="1">
      <alignment horizontal="right"/>
    </xf>
    <xf numFmtId="0" fontId="5" fillId="0" borderId="4" xfId="0" applyFont="1" applyBorder="1"/>
    <xf numFmtId="3" fontId="0" fillId="0" borderId="0" xfId="0" applyNumberFormat="1" applyAlignment="1">
      <alignment horizontal="left"/>
    </xf>
    <xf numFmtId="3" fontId="6" fillId="11" borderId="0" xfId="0" applyNumberFormat="1" applyFont="1" applyFill="1" applyAlignment="1">
      <alignment horizontal="right" wrapText="1"/>
    </xf>
    <xf numFmtId="0" fontId="6" fillId="11" borderId="0" xfId="0" applyFont="1" applyFill="1" applyAlignment="1">
      <alignment wrapText="1"/>
    </xf>
    <xf numFmtId="0" fontId="6" fillId="11" borderId="0" xfId="0" applyFont="1" applyFill="1"/>
    <xf numFmtId="3" fontId="40" fillId="4" borderId="0" xfId="4" applyNumberFormat="1" applyFont="1" applyFill="1" applyBorder="1" applyAlignment="1" applyProtection="1">
      <alignment horizontal="right"/>
      <protection hidden="1"/>
    </xf>
    <xf numFmtId="164" fontId="8" fillId="13" borderId="2" xfId="1" applyNumberFormat="1" applyFont="1" applyFill="1" applyBorder="1" applyAlignment="1" applyProtection="1">
      <alignment vertical="center" wrapText="1"/>
      <protection locked="0"/>
    </xf>
    <xf numFmtId="0" fontId="40" fillId="0" borderId="0" xfId="0" applyFont="1" applyProtection="1">
      <protection locked="0"/>
    </xf>
    <xf numFmtId="0" fontId="40" fillId="0" borderId="0" xfId="0" applyFont="1" applyAlignment="1" applyProtection="1">
      <alignment vertical="top"/>
      <protection locked="0"/>
    </xf>
    <xf numFmtId="0" fontId="40" fillId="15" borderId="0" xfId="0" applyFont="1" applyFill="1" applyProtection="1">
      <protection locked="0"/>
    </xf>
    <xf numFmtId="3" fontId="8" fillId="16" borderId="2" xfId="1" applyNumberFormat="1" applyFont="1" applyFill="1" applyBorder="1" applyAlignment="1" applyProtection="1">
      <alignment horizontal="right"/>
      <protection locked="0"/>
    </xf>
    <xf numFmtId="3" fontId="7" fillId="16" borderId="2" xfId="1" applyNumberFormat="1" applyFont="1" applyFill="1" applyBorder="1" applyAlignment="1" applyProtection="1">
      <alignment horizontal="right"/>
      <protection locked="0"/>
    </xf>
    <xf numFmtId="3" fontId="7" fillId="16" borderId="1" xfId="1" applyNumberFormat="1" applyFont="1" applyFill="1" applyBorder="1" applyAlignment="1" applyProtection="1">
      <alignment horizontal="right"/>
      <protection locked="0"/>
    </xf>
    <xf numFmtId="3" fontId="8" fillId="16" borderId="2" xfId="1" applyNumberFormat="1" applyFont="1" applyFill="1" applyBorder="1" applyAlignment="1" applyProtection="1">
      <alignment horizontal="right"/>
      <protection locked="0" hidden="1"/>
    </xf>
    <xf numFmtId="1" fontId="40" fillId="0" borderId="0" xfId="0" applyNumberFormat="1" applyFont="1" applyProtection="1">
      <protection locked="0"/>
    </xf>
    <xf numFmtId="1" fontId="40" fillId="0" borderId="0" xfId="0" applyNumberFormat="1" applyFont="1" applyAlignment="1" applyProtection="1">
      <alignment vertical="top"/>
      <protection locked="0"/>
    </xf>
    <xf numFmtId="1" fontId="40" fillId="15" borderId="0" xfId="0" applyNumberFormat="1" applyFont="1" applyFill="1" applyProtection="1">
      <protection locked="0"/>
    </xf>
    <xf numFmtId="0" fontId="17" fillId="4" borderId="0" xfId="0" applyFont="1" applyFill="1" applyAlignment="1" applyProtection="1">
      <alignment horizontal="right"/>
      <protection locked="0"/>
    </xf>
    <xf numFmtId="0" fontId="8" fillId="4" borderId="0" xfId="0" applyFont="1" applyFill="1"/>
    <xf numFmtId="0" fontId="44" fillId="4" borderId="0" xfId="0" applyFont="1" applyFill="1"/>
    <xf numFmtId="0" fontId="20" fillId="4" borderId="0" xfId="0" applyFont="1" applyFill="1" applyAlignment="1" applyProtection="1">
      <alignment horizontal="left" vertical="center"/>
      <protection hidden="1"/>
    </xf>
    <xf numFmtId="0" fontId="46" fillId="0" borderId="0" xfId="0" applyFont="1"/>
    <xf numFmtId="0" fontId="16" fillId="12" borderId="0" xfId="0" applyFont="1" applyFill="1" applyProtection="1">
      <protection hidden="1"/>
    </xf>
    <xf numFmtId="0" fontId="16" fillId="12" borderId="0" xfId="0" applyFont="1" applyFill="1" applyAlignment="1" applyProtection="1">
      <alignment horizontal="left"/>
      <protection hidden="1"/>
    </xf>
    <xf numFmtId="0" fontId="17" fillId="12" borderId="0" xfId="0" applyFont="1" applyFill="1" applyAlignment="1" applyProtection="1">
      <alignment horizontal="right"/>
      <protection hidden="1"/>
    </xf>
    <xf numFmtId="0" fontId="25" fillId="12" borderId="0" xfId="0" applyFont="1" applyFill="1" applyProtection="1">
      <protection hidden="1"/>
    </xf>
    <xf numFmtId="0" fontId="22" fillId="3" borderId="2" xfId="0" applyFont="1" applyFill="1" applyBorder="1" applyAlignment="1">
      <alignment horizontal="center" vertical="center"/>
    </xf>
    <xf numFmtId="0" fontId="0" fillId="0" borderId="0" xfId="0" applyProtection="1">
      <protection locked="0"/>
    </xf>
    <xf numFmtId="3" fontId="8" fillId="16" borderId="2" xfId="1" applyNumberFormat="1" applyFont="1" applyFill="1" applyBorder="1" applyAlignment="1" applyProtection="1">
      <alignment horizontal="center" vertical="center"/>
      <protection locked="0"/>
    </xf>
    <xf numFmtId="3" fontId="7" fillId="16" borderId="3" xfId="1" applyNumberFormat="1" applyFont="1" applyFill="1" applyBorder="1" applyAlignment="1" applyProtection="1">
      <alignment horizontal="right"/>
      <protection locked="0" hidden="1"/>
    </xf>
    <xf numFmtId="3" fontId="7" fillId="16" borderId="2" xfId="1" applyNumberFormat="1" applyFont="1" applyFill="1" applyBorder="1" applyAlignment="1" applyProtection="1">
      <alignment horizontal="right"/>
      <protection locked="0" hidden="1"/>
    </xf>
    <xf numFmtId="0" fontId="8" fillId="4" borderId="2" xfId="0" applyFont="1" applyFill="1" applyBorder="1" applyAlignment="1" applyProtection="1">
      <alignment horizontal="center" vertical="center"/>
      <protection locked="0" hidden="1"/>
    </xf>
    <xf numFmtId="164" fontId="47" fillId="0" borderId="0" xfId="1" applyNumberFormat="1" applyFont="1" applyBorder="1" applyProtection="1">
      <protection hidden="1"/>
    </xf>
    <xf numFmtId="0" fontId="1" fillId="0" borderId="0" xfId="8"/>
    <xf numFmtId="4" fontId="1" fillId="0" borderId="0" xfId="8" applyNumberFormat="1"/>
    <xf numFmtId="0" fontId="43" fillId="0" borderId="0" xfId="8" applyFont="1"/>
    <xf numFmtId="0" fontId="43" fillId="18" borderId="0" xfId="8" applyFont="1" applyFill="1"/>
    <xf numFmtId="164" fontId="5" fillId="0" borderId="3" xfId="1" applyNumberFormat="1" applyFont="1" applyFill="1" applyBorder="1" applyAlignment="1" applyProtection="1">
      <alignment horizontal="right"/>
      <protection hidden="1"/>
    </xf>
    <xf numFmtId="164" fontId="5" fillId="0" borderId="1" xfId="1" applyNumberFormat="1" applyFont="1" applyFill="1" applyBorder="1" applyAlignment="1" applyProtection="1">
      <alignment horizontal="right"/>
      <protection hidden="1"/>
    </xf>
    <xf numFmtId="165" fontId="5" fillId="0" borderId="0" xfId="1" applyNumberFormat="1" applyFont="1" applyFill="1" applyBorder="1" applyAlignment="1" applyProtection="1">
      <alignment horizontal="right"/>
      <protection hidden="1"/>
    </xf>
    <xf numFmtId="164" fontId="5" fillId="0" borderId="0" xfId="1" applyNumberFormat="1" applyFont="1" applyFill="1" applyBorder="1" applyAlignment="1" applyProtection="1">
      <alignment horizontal="right"/>
      <protection hidden="1"/>
    </xf>
    <xf numFmtId="164" fontId="5" fillId="0" borderId="13" xfId="1" applyNumberFormat="1" applyFont="1" applyFill="1" applyBorder="1" applyAlignment="1" applyProtection="1">
      <alignment vertical="center"/>
      <protection hidden="1"/>
    </xf>
    <xf numFmtId="164" fontId="7" fillId="0" borderId="15" xfId="1" applyNumberFormat="1" applyFont="1" applyBorder="1" applyAlignment="1" applyProtection="1">
      <protection hidden="1"/>
    </xf>
    <xf numFmtId="3" fontId="7" fillId="4" borderId="3" xfId="1" applyNumberFormat="1" applyFont="1" applyFill="1" applyBorder="1" applyAlignment="1" applyProtection="1">
      <alignment horizontal="right"/>
      <protection locked="0" hidden="1"/>
    </xf>
    <xf numFmtId="3" fontId="7" fillId="4" borderId="1" xfId="1" applyNumberFormat="1" applyFont="1" applyFill="1" applyBorder="1" applyAlignment="1" applyProtection="1">
      <alignment horizontal="right"/>
      <protection locked="0" hidden="1"/>
    </xf>
    <xf numFmtId="3" fontId="7" fillId="4" borderId="22" xfId="1" applyNumberFormat="1" applyFont="1" applyFill="1" applyBorder="1" applyAlignment="1" applyProtection="1">
      <alignment horizontal="right"/>
      <protection locked="0" hidden="1"/>
    </xf>
    <xf numFmtId="3" fontId="7" fillId="4" borderId="2" xfId="1" applyNumberFormat="1" applyFont="1" applyFill="1" applyBorder="1" applyAlignment="1" applyProtection="1">
      <alignment horizontal="right"/>
      <protection locked="0" hidden="1"/>
    </xf>
    <xf numFmtId="164" fontId="5" fillId="0" borderId="16" xfId="1" applyNumberFormat="1" applyFont="1" applyBorder="1" applyProtection="1">
      <protection hidden="1"/>
    </xf>
    <xf numFmtId="164" fontId="15" fillId="0" borderId="14" xfId="1" applyNumberFormat="1" applyFont="1" applyBorder="1" applyAlignment="1" applyProtection="1">
      <alignment horizontal="left"/>
      <protection hidden="1"/>
    </xf>
    <xf numFmtId="2" fontId="8" fillId="0" borderId="0" xfId="1" applyNumberFormat="1" applyFont="1" applyFill="1" applyBorder="1" applyAlignment="1" applyProtection="1">
      <alignment horizontal="center"/>
      <protection hidden="1"/>
    </xf>
    <xf numFmtId="3" fontId="7" fillId="0" borderId="1" xfId="1" applyNumberFormat="1" applyFont="1" applyFill="1" applyBorder="1" applyAlignment="1" applyProtection="1">
      <alignment horizontal="right"/>
      <protection locked="0" hidden="1"/>
    </xf>
    <xf numFmtId="3" fontId="7" fillId="0" borderId="22" xfId="1" applyNumberFormat="1" applyFont="1" applyFill="1" applyBorder="1" applyAlignment="1" applyProtection="1">
      <alignment horizontal="right"/>
      <protection hidden="1"/>
    </xf>
    <xf numFmtId="164" fontId="16" fillId="0" borderId="17" xfId="1" applyNumberFormat="1" applyFont="1" applyBorder="1" applyAlignment="1" applyProtection="1">
      <alignment horizontal="left"/>
      <protection hidden="1"/>
    </xf>
    <xf numFmtId="164" fontId="16" fillId="0" borderId="0" xfId="1" applyNumberFormat="1" applyFont="1" applyProtection="1">
      <protection hidden="1"/>
    </xf>
    <xf numFmtId="1" fontId="11" fillId="0" borderId="0" xfId="0" applyNumberFormat="1" applyFont="1" applyProtection="1">
      <protection hidden="1"/>
    </xf>
    <xf numFmtId="0" fontId="11" fillId="0" borderId="0" xfId="0" applyFont="1" applyProtection="1">
      <protection hidden="1"/>
    </xf>
    <xf numFmtId="164" fontId="16" fillId="4" borderId="0" xfId="1" applyNumberFormat="1" applyFont="1" applyFill="1" applyProtection="1">
      <protection hidden="1"/>
    </xf>
    <xf numFmtId="0" fontId="16" fillId="6" borderId="0" xfId="0" applyFont="1" applyFill="1" applyAlignment="1" applyProtection="1">
      <alignment horizontal="left"/>
      <protection hidden="1"/>
    </xf>
    <xf numFmtId="3" fontId="5" fillId="6" borderId="0" xfId="0" applyNumberFormat="1" applyFont="1" applyFill="1" applyAlignment="1">
      <alignment horizontal="right"/>
    </xf>
    <xf numFmtId="3" fontId="5" fillId="6" borderId="4" xfId="0" applyNumberFormat="1" applyFont="1" applyFill="1" applyBorder="1" applyAlignment="1">
      <alignment horizontal="right"/>
    </xf>
    <xf numFmtId="3" fontId="5" fillId="6" borderId="8" xfId="0" applyNumberFormat="1" applyFont="1" applyFill="1" applyBorder="1" applyAlignment="1">
      <alignment horizontal="right"/>
    </xf>
    <xf numFmtId="0" fontId="45" fillId="0" borderId="0" xfId="0" applyFont="1" applyAlignment="1" applyProtection="1">
      <alignment horizontal="left"/>
      <protection hidden="1"/>
    </xf>
    <xf numFmtId="0" fontId="36" fillId="4" borderId="0" xfId="0" applyFont="1" applyFill="1" applyAlignment="1" applyProtection="1">
      <alignment horizontal="left"/>
      <protection hidden="1"/>
    </xf>
    <xf numFmtId="0" fontId="22" fillId="0" borderId="0" xfId="0" applyFont="1" applyAlignment="1" applyProtection="1">
      <alignment horizontal="left"/>
      <protection hidden="1"/>
    </xf>
    <xf numFmtId="164" fontId="6" fillId="0" borderId="22" xfId="1" applyNumberFormat="1" applyFont="1" applyFill="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164" fontId="8" fillId="0" borderId="20" xfId="1" applyNumberFormat="1" applyFont="1" applyBorder="1" applyAlignment="1" applyProtection="1">
      <alignment vertical="center" wrapText="1"/>
      <protection hidden="1"/>
    </xf>
    <xf numFmtId="164" fontId="8" fillId="0" borderId="0" xfId="1" applyNumberFormat="1" applyFont="1" applyAlignment="1" applyProtection="1">
      <alignment vertical="center" wrapText="1"/>
      <protection hidden="1"/>
    </xf>
    <xf numFmtId="0" fontId="31" fillId="10" borderId="38" xfId="0" applyFont="1" applyFill="1" applyBorder="1" applyAlignment="1" applyProtection="1">
      <alignment horizontal="center"/>
      <protection locked="0"/>
    </xf>
    <xf numFmtId="14" fontId="31" fillId="10" borderId="38" xfId="0" applyNumberFormat="1" applyFont="1" applyFill="1" applyBorder="1" applyAlignment="1" applyProtection="1">
      <alignment horizontal="center"/>
      <protection locked="0"/>
    </xf>
    <xf numFmtId="0" fontId="6" fillId="0" borderId="17" xfId="0" applyFont="1" applyBorder="1" applyAlignment="1" applyProtection="1">
      <alignment horizontal="left" vertical="center"/>
      <protection hidden="1"/>
    </xf>
    <xf numFmtId="0" fontId="6" fillId="0" borderId="18" xfId="0" applyFont="1" applyBorder="1" applyAlignment="1" applyProtection="1">
      <alignment horizontal="left" vertical="center"/>
      <protection hidden="1"/>
    </xf>
    <xf numFmtId="0" fontId="6" fillId="0" borderId="19" xfId="0" applyFont="1" applyBorder="1" applyAlignment="1" applyProtection="1">
      <alignment horizontal="left" vertical="center"/>
      <protection hidden="1"/>
    </xf>
    <xf numFmtId="0" fontId="6" fillId="0" borderId="10"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11" xfId="0" applyFont="1" applyBorder="1" applyAlignment="1" applyProtection="1">
      <alignment horizontal="left" vertical="center"/>
      <protection hidden="1"/>
    </xf>
    <xf numFmtId="164" fontId="14" fillId="0" borderId="14" xfId="1" applyNumberFormat="1" applyFont="1" applyBorder="1" applyAlignment="1" applyProtection="1">
      <alignment horizontal="center" vertical="center"/>
      <protection hidden="1"/>
    </xf>
    <xf numFmtId="0" fontId="32" fillId="0" borderId="0" xfId="0" applyFont="1" applyAlignment="1" applyProtection="1">
      <alignment horizontal="center" vertical="center"/>
      <protection hidden="1"/>
    </xf>
    <xf numFmtId="0" fontId="32" fillId="0" borderId="15" xfId="0" applyFont="1" applyBorder="1" applyAlignment="1" applyProtection="1">
      <alignment horizontal="center" vertical="center"/>
      <protection hidden="1"/>
    </xf>
    <xf numFmtId="164" fontId="8" fillId="0" borderId="12" xfId="1" applyNumberFormat="1" applyFont="1" applyBorder="1" applyAlignment="1" applyProtection="1">
      <alignment horizontal="center" vertical="center"/>
      <protection hidden="1"/>
    </xf>
    <xf numFmtId="0" fontId="7" fillId="0" borderId="4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164" fontId="8" fillId="0" borderId="40" xfId="1" applyNumberFormat="1" applyFont="1" applyBorder="1" applyAlignment="1" applyProtection="1">
      <alignment horizontal="center" vertical="center"/>
      <protection hidden="1"/>
    </xf>
    <xf numFmtId="164" fontId="8" fillId="0" borderId="13" xfId="1" applyNumberFormat="1" applyFont="1" applyBorder="1" applyAlignment="1" applyProtection="1">
      <alignment horizontal="center" vertical="center"/>
      <protection hidden="1"/>
    </xf>
    <xf numFmtId="164" fontId="18" fillId="0" borderId="0" xfId="1" applyNumberFormat="1" applyFont="1" applyBorder="1" applyAlignment="1" applyProtection="1">
      <alignment horizontal="center"/>
      <protection hidden="1"/>
    </xf>
    <xf numFmtId="164" fontId="28" fillId="17" borderId="17" xfId="1" applyNumberFormat="1" applyFont="1" applyFill="1" applyBorder="1" applyAlignment="1" applyProtection="1">
      <alignment horizontal="center" vertical="center"/>
      <protection hidden="1"/>
    </xf>
    <xf numFmtId="0" fontId="0" fillId="17" borderId="18" xfId="0" applyFill="1" applyBorder="1" applyAlignment="1" applyProtection="1">
      <alignment horizontal="center" vertical="center"/>
      <protection hidden="1"/>
    </xf>
    <xf numFmtId="0" fontId="0" fillId="17" borderId="19" xfId="0" applyFill="1" applyBorder="1" applyAlignment="1" applyProtection="1">
      <alignment horizontal="center" vertical="center"/>
      <protection hidden="1"/>
    </xf>
    <xf numFmtId="164" fontId="22" fillId="17" borderId="14" xfId="1" applyNumberFormat="1" applyFont="1" applyFill="1" applyBorder="1" applyAlignment="1" applyProtection="1">
      <alignment horizontal="center" vertical="center"/>
      <protection hidden="1"/>
    </xf>
    <xf numFmtId="0" fontId="22" fillId="17" borderId="0" xfId="0" applyFont="1" applyFill="1" applyAlignment="1" applyProtection="1">
      <alignment horizontal="center" vertical="center"/>
      <protection hidden="1"/>
    </xf>
    <xf numFmtId="0" fontId="0" fillId="17" borderId="0" xfId="0" applyFill="1" applyAlignment="1" applyProtection="1">
      <alignment horizontal="center" vertical="center"/>
      <protection hidden="1"/>
    </xf>
    <xf numFmtId="0" fontId="0" fillId="17" borderId="15" xfId="0" applyFill="1" applyBorder="1" applyAlignment="1" applyProtection="1">
      <alignment horizontal="center" vertical="center"/>
      <protection hidden="1"/>
    </xf>
    <xf numFmtId="0" fontId="28" fillId="17" borderId="18" xfId="0" applyFont="1" applyFill="1" applyBorder="1" applyAlignment="1" applyProtection="1">
      <alignment horizontal="center" vertical="center"/>
      <protection hidden="1"/>
    </xf>
    <xf numFmtId="0" fontId="28" fillId="17" borderId="19" xfId="0" applyFont="1" applyFill="1" applyBorder="1" applyAlignment="1" applyProtection="1">
      <alignment horizontal="center" vertical="center"/>
      <protection hidden="1"/>
    </xf>
    <xf numFmtId="0" fontId="24" fillId="4" borderId="39" xfId="0" applyFont="1" applyFill="1" applyBorder="1" applyAlignment="1" applyProtection="1">
      <alignment horizontal="center" vertical="center"/>
      <protection hidden="1"/>
    </xf>
    <xf numFmtId="0" fontId="24" fillId="4" borderId="29" xfId="0" applyFont="1" applyFill="1" applyBorder="1" applyAlignment="1" applyProtection="1">
      <alignment horizontal="center" vertical="center"/>
      <protection hidden="1"/>
    </xf>
    <xf numFmtId="164" fontId="28" fillId="4" borderId="0" xfId="1" applyNumberFormat="1" applyFont="1" applyFill="1" applyBorder="1" applyAlignment="1" applyProtection="1">
      <alignment horizontal="center"/>
      <protection hidden="1"/>
    </xf>
    <xf numFmtId="0" fontId="24" fillId="12" borderId="39" xfId="0" applyFont="1" applyFill="1" applyBorder="1" applyAlignment="1" applyProtection="1">
      <alignment horizontal="center" vertical="center"/>
      <protection hidden="1"/>
    </xf>
    <xf numFmtId="0" fontId="24" fillId="12" borderId="29" xfId="0" applyFont="1" applyFill="1" applyBorder="1" applyAlignment="1" applyProtection="1">
      <alignment horizontal="center" vertical="center"/>
      <protection hidden="1"/>
    </xf>
    <xf numFmtId="0" fontId="26" fillId="4" borderId="0" xfId="0" applyFont="1" applyFill="1" applyAlignment="1" applyProtection="1">
      <alignment horizontal="left" vertical="center" wrapText="1"/>
      <protection hidden="1"/>
    </xf>
    <xf numFmtId="164" fontId="16" fillId="3" borderId="1" xfId="1" applyNumberFormat="1" applyFont="1" applyFill="1" applyBorder="1" applyAlignment="1" applyProtection="1">
      <alignment wrapText="1"/>
      <protection locked="0"/>
    </xf>
    <xf numFmtId="0" fontId="16" fillId="3" borderId="1" xfId="0" applyFont="1" applyFill="1" applyBorder="1" applyAlignment="1" applyProtection="1">
      <alignment horizontal="left" wrapText="1"/>
      <protection locked="0"/>
    </xf>
    <xf numFmtId="164" fontId="6" fillId="0" borderId="1" xfId="1" applyNumberFormat="1" applyFont="1" applyBorder="1" applyAlignment="1" applyProtection="1">
      <alignment wrapText="1"/>
      <protection hidden="1"/>
    </xf>
    <xf numFmtId="0" fontId="16" fillId="3" borderId="3" xfId="0" applyFont="1" applyFill="1" applyBorder="1" applyAlignment="1" applyProtection="1">
      <alignment horizontal="left" wrapText="1"/>
      <protection locked="0"/>
    </xf>
    <xf numFmtId="164" fontId="22" fillId="4" borderId="0" xfId="1" applyNumberFormat="1" applyFont="1" applyFill="1" applyBorder="1" applyAlignment="1" applyProtection="1">
      <alignment horizontal="center"/>
      <protection hidden="1"/>
    </xf>
    <xf numFmtId="164" fontId="16" fillId="4" borderId="0" xfId="1" applyNumberFormat="1" applyFont="1" applyFill="1" applyAlignment="1" applyProtection="1">
      <alignment horizontal="left" wrapText="1"/>
      <protection hidden="1"/>
    </xf>
    <xf numFmtId="0" fontId="0" fillId="4" borderId="0" xfId="0" applyFill="1" applyAlignment="1" applyProtection="1">
      <alignment horizontal="left" wrapText="1"/>
      <protection hidden="1"/>
    </xf>
    <xf numFmtId="43" fontId="6" fillId="0" borderId="12" xfId="1" applyFont="1" applyBorder="1" applyAlignment="1" applyProtection="1">
      <alignment horizontal="left" vertical="center" wrapText="1"/>
      <protection hidden="1"/>
    </xf>
    <xf numFmtId="0" fontId="5" fillId="0" borderId="40" xfId="0" applyFont="1" applyBorder="1" applyAlignment="1" applyProtection="1">
      <alignment horizontal="left" vertical="center"/>
      <protection hidden="1"/>
    </xf>
    <xf numFmtId="0" fontId="5" fillId="0" borderId="13" xfId="0" applyFont="1" applyBorder="1" applyAlignment="1" applyProtection="1">
      <alignment horizontal="left" vertical="center"/>
      <protection hidden="1"/>
    </xf>
    <xf numFmtId="43" fontId="12" fillId="0" borderId="41" xfId="1" applyFont="1" applyBorder="1" applyAlignment="1" applyProtection="1">
      <alignment horizontal="left" wrapText="1"/>
      <protection hidden="1"/>
    </xf>
    <xf numFmtId="43" fontId="12" fillId="0" borderId="42" xfId="1" applyFont="1" applyBorder="1" applyAlignment="1" applyProtection="1">
      <alignment horizontal="left" wrapText="1"/>
      <protection hidden="1"/>
    </xf>
    <xf numFmtId="0" fontId="5" fillId="0" borderId="42" xfId="0" applyFont="1" applyBorder="1" applyAlignment="1" applyProtection="1">
      <alignment horizontal="left" wrapText="1"/>
      <protection hidden="1"/>
    </xf>
    <xf numFmtId="0" fontId="0" fillId="0" borderId="43" xfId="0" applyBorder="1" applyAlignment="1" applyProtection="1">
      <alignment horizontal="left" wrapText="1"/>
      <protection hidden="1"/>
    </xf>
    <xf numFmtId="0" fontId="16" fillId="3" borderId="9" xfId="0" applyFont="1" applyFill="1" applyBorder="1" applyAlignment="1" applyProtection="1">
      <alignment horizontal="left" wrapText="1"/>
      <protection locked="0"/>
    </xf>
    <xf numFmtId="0" fontId="16" fillId="3" borderId="46" xfId="0" applyFont="1" applyFill="1" applyBorder="1" applyAlignment="1" applyProtection="1">
      <alignment horizontal="left" wrapText="1"/>
      <protection locked="0"/>
    </xf>
    <xf numFmtId="0" fontId="16" fillId="3" borderId="25" xfId="0" applyFont="1" applyFill="1" applyBorder="1" applyAlignment="1" applyProtection="1">
      <alignment horizontal="left" wrapText="1"/>
      <protection locked="0"/>
    </xf>
    <xf numFmtId="0" fontId="16" fillId="3" borderId="33" xfId="0" applyFont="1" applyFill="1" applyBorder="1" applyAlignment="1" applyProtection="1">
      <alignment horizontal="left" wrapText="1"/>
      <protection locked="0"/>
    </xf>
    <xf numFmtId="0" fontId="16" fillId="3" borderId="47" xfId="0" applyFont="1" applyFill="1" applyBorder="1" applyAlignment="1" applyProtection="1">
      <alignment horizontal="left" wrapText="1"/>
      <protection locked="0"/>
    </xf>
    <xf numFmtId="0" fontId="16" fillId="3" borderId="11" xfId="0" applyFont="1" applyFill="1" applyBorder="1" applyAlignment="1" applyProtection="1">
      <alignment horizontal="left" wrapText="1"/>
      <protection locked="0"/>
    </xf>
    <xf numFmtId="0" fontId="16" fillId="3" borderId="48" xfId="0" applyFont="1" applyFill="1" applyBorder="1" applyAlignment="1" applyProtection="1">
      <alignment horizontal="left" wrapText="1"/>
      <protection locked="0"/>
    </xf>
    <xf numFmtId="0" fontId="33" fillId="4" borderId="0" xfId="0" applyFont="1" applyFill="1" applyAlignment="1" applyProtection="1">
      <alignment horizontal="left" wrapText="1"/>
      <protection hidden="1"/>
    </xf>
    <xf numFmtId="164" fontId="6" fillId="0" borderId="44" xfId="1" applyNumberFormat="1" applyFont="1" applyBorder="1" applyAlignment="1" applyProtection="1">
      <alignment horizontal="left" wrapText="1"/>
      <protection hidden="1"/>
    </xf>
    <xf numFmtId="164" fontId="6" fillId="0" borderId="24" xfId="1" applyNumberFormat="1" applyFont="1" applyBorder="1" applyAlignment="1" applyProtection="1">
      <alignment horizontal="left" wrapText="1"/>
      <protection hidden="1"/>
    </xf>
    <xf numFmtId="164" fontId="6" fillId="0" borderId="21" xfId="1" applyNumberFormat="1" applyFont="1" applyBorder="1" applyAlignment="1" applyProtection="1">
      <alignment horizontal="left" wrapText="1"/>
      <protection hidden="1"/>
    </xf>
    <xf numFmtId="43" fontId="12" fillId="0" borderId="45" xfId="1" applyFont="1" applyBorder="1" applyAlignment="1" applyProtection="1">
      <alignment horizontal="left" wrapText="1"/>
      <protection hidden="1"/>
    </xf>
    <xf numFmtId="0" fontId="8" fillId="0" borderId="0" xfId="0" applyFont="1" applyAlignment="1">
      <alignment horizontal="center"/>
    </xf>
    <xf numFmtId="0" fontId="18" fillId="3" borderId="0" xfId="0" applyFont="1" applyFill="1" applyAlignment="1" applyProtection="1">
      <alignment horizontal="center"/>
      <protection hidden="1"/>
    </xf>
    <xf numFmtId="0" fontId="18" fillId="5" borderId="0" xfId="0" applyFont="1" applyFill="1" applyAlignment="1" applyProtection="1">
      <alignment horizontal="center"/>
      <protection hidden="1"/>
    </xf>
    <xf numFmtId="0" fontId="22" fillId="8" borderId="0" xfId="0" applyFont="1" applyFill="1" applyAlignment="1" applyProtection="1">
      <alignment horizontal="center"/>
      <protection hidden="1"/>
    </xf>
    <xf numFmtId="0" fontId="0" fillId="0" borderId="0" xfId="0" applyProtection="1">
      <protection hidden="1"/>
    </xf>
  </cellXfs>
  <cellStyles count="9">
    <cellStyle name="Comma" xfId="1" builtinId="3"/>
    <cellStyle name="Filled" xfId="2" xr:uid="{00000000-0005-0000-0000-000001000000}"/>
    <cellStyle name="Heading" xfId="3" xr:uid="{00000000-0005-0000-0000-000002000000}"/>
    <cellStyle name="Normal" xfId="0" builtinId="0"/>
    <cellStyle name="Normal 2" xfId="5" xr:uid="{C818BD0D-0799-41DF-95AF-5A172BF76A4B}"/>
    <cellStyle name="Normal 3" xfId="6" xr:uid="{C55A149C-1C8C-4D6B-849E-6D5ADE8273A5}"/>
    <cellStyle name="Normal 4" xfId="7" xr:uid="{F50AB9DD-9ED6-4FA4-B7DC-E0F3D7668AEB}"/>
    <cellStyle name="Normal 5" xfId="8" xr:uid="{17F669F2-1909-47EA-82CE-65525DBD2424}"/>
    <cellStyle name="Percent" xfId="4" builtinId="5"/>
  </cellStyles>
  <dxfs count="15">
    <dxf>
      <fill>
        <patternFill>
          <bgColor indexed="10"/>
        </patternFill>
      </fill>
    </dxf>
    <dxf>
      <fill>
        <patternFill>
          <bgColor indexed="13"/>
        </patternFill>
      </fill>
    </dxf>
    <dxf>
      <font>
        <b/>
        <i/>
        <condense val="0"/>
        <extend val="0"/>
      </font>
      <fill>
        <patternFill>
          <bgColor indexed="13"/>
        </patternFill>
      </fill>
    </dxf>
    <dxf>
      <font>
        <b/>
        <i/>
        <condense val="0"/>
        <extend val="0"/>
      </font>
      <fill>
        <patternFill>
          <bgColor indexed="13"/>
        </patternFill>
      </fill>
    </dxf>
    <dxf>
      <font>
        <b/>
        <i/>
        <condense val="0"/>
        <extend val="0"/>
      </font>
      <fill>
        <patternFill>
          <bgColor indexed="13"/>
        </patternFill>
      </fill>
    </dxf>
    <dxf>
      <font>
        <b/>
        <i/>
        <condense val="0"/>
        <extend val="0"/>
      </font>
      <fill>
        <patternFill>
          <bgColor indexed="13"/>
        </patternFill>
      </fill>
    </dxf>
    <dxf>
      <font>
        <b/>
        <i/>
        <condense val="0"/>
        <extend val="0"/>
      </font>
      <fill>
        <patternFill>
          <bgColor indexed="13"/>
        </patternFill>
      </fill>
    </dxf>
    <dxf>
      <font>
        <b/>
        <i/>
        <condense val="0"/>
        <extend val="0"/>
      </font>
      <fill>
        <patternFill>
          <bgColor indexed="13"/>
        </patternFill>
      </fill>
    </dxf>
    <dxf>
      <font>
        <b/>
        <i/>
        <condense val="0"/>
        <extend val="0"/>
      </font>
      <fill>
        <patternFill>
          <bgColor indexed="13"/>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color rgb="FF9C0006"/>
      </font>
      <fill>
        <patternFill>
          <bgColor rgb="FFFF0000"/>
        </patternFill>
      </fill>
    </dxf>
    <dxf>
      <font>
        <color rgb="FF9C0006"/>
      </font>
      <fill>
        <patternFill>
          <bgColor rgb="FFFF0000"/>
        </patternFill>
      </fill>
    </dxf>
    <dxf>
      <fill>
        <patternFill>
          <bgColor indexed="13"/>
        </patternFill>
      </fill>
    </dxf>
    <dxf>
      <fill>
        <patternFill>
          <bgColor indexed="10"/>
        </patternFill>
      </fill>
    </dxf>
    <dxf>
      <fill>
        <patternFill>
          <bgColor indexed="13"/>
        </patternFill>
      </fill>
    </dxf>
  </dxfs>
  <tableStyles count="0" defaultTableStyle="TableStyleMedium2" defaultPivotStyle="PivotStyleLight16"/>
  <colors>
    <mruColors>
      <color rgb="FF33993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xdr:row>
          <xdr:rowOff>144780</xdr:rowOff>
        </xdr:from>
        <xdr:to>
          <xdr:col>2</xdr:col>
          <xdr:colOff>571500</xdr:colOff>
          <xdr:row>11</xdr:row>
          <xdr:rowOff>99060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15</xdr:row>
      <xdr:rowOff>72390</xdr:rowOff>
    </xdr:from>
    <xdr:to>
      <xdr:col>8</xdr:col>
      <xdr:colOff>275483</xdr:colOff>
      <xdr:row>38</xdr:row>
      <xdr:rowOff>72390</xdr:rowOff>
    </xdr:to>
    <xdr:pic>
      <xdr:nvPicPr>
        <xdr:cNvPr id="2" name="Picture 1">
          <a:extLst>
            <a:ext uri="{FF2B5EF4-FFF2-40B4-BE49-F238E27FC236}">
              <a16:creationId xmlns:a16="http://schemas.microsoft.com/office/drawing/2014/main" id="{AB20351C-CDD6-497B-0B24-89A9E8A18047}"/>
            </a:ext>
          </a:extLst>
        </xdr:cNvPr>
        <xdr:cNvPicPr>
          <a:picLocks noChangeAspect="1"/>
        </xdr:cNvPicPr>
      </xdr:nvPicPr>
      <xdr:blipFill>
        <a:blip xmlns:r="http://schemas.openxmlformats.org/officeDocument/2006/relationships" r:embed="rId1"/>
        <a:stretch>
          <a:fillRect/>
        </a:stretch>
      </xdr:blipFill>
      <xdr:spPr>
        <a:xfrm>
          <a:off x="0" y="3329940"/>
          <a:ext cx="5148473" cy="3943350"/>
        </a:xfrm>
        <a:prstGeom prst="rect">
          <a:avLst/>
        </a:prstGeom>
        <a:ln>
          <a:solidFill>
            <a:schemeClr val="tx1"/>
          </a:solidFill>
        </a:ln>
      </xdr:spPr>
    </xdr:pic>
    <xdr:clientData/>
  </xdr:twoCellAnchor>
  <xdr:twoCellAnchor editAs="oneCell">
    <xdr:from>
      <xdr:col>0</xdr:col>
      <xdr:colOff>459105</xdr:colOff>
      <xdr:row>41</xdr:row>
      <xdr:rowOff>161925</xdr:rowOff>
    </xdr:from>
    <xdr:to>
      <xdr:col>6</xdr:col>
      <xdr:colOff>342457</xdr:colOff>
      <xdr:row>57</xdr:row>
      <xdr:rowOff>1582</xdr:rowOff>
    </xdr:to>
    <xdr:pic>
      <xdr:nvPicPr>
        <xdr:cNvPr id="3" name="Picture 2">
          <a:extLst>
            <a:ext uri="{FF2B5EF4-FFF2-40B4-BE49-F238E27FC236}">
              <a16:creationId xmlns:a16="http://schemas.microsoft.com/office/drawing/2014/main" id="{F44A9700-1801-9C61-5D63-A6045D1657BB}"/>
            </a:ext>
          </a:extLst>
        </xdr:cNvPr>
        <xdr:cNvPicPr>
          <a:picLocks noChangeAspect="1"/>
        </xdr:cNvPicPr>
      </xdr:nvPicPr>
      <xdr:blipFill>
        <a:blip xmlns:r="http://schemas.openxmlformats.org/officeDocument/2006/relationships" r:embed="rId2"/>
        <a:stretch>
          <a:fillRect/>
        </a:stretch>
      </xdr:blipFill>
      <xdr:spPr>
        <a:xfrm>
          <a:off x="459105" y="7991475"/>
          <a:ext cx="3540952" cy="2579047"/>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14</xdr:col>
          <xdr:colOff>327660</xdr:colOff>
          <xdr:row>54</xdr:row>
          <xdr:rowOff>144780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60325</xdr:colOff>
      <xdr:row>0</xdr:row>
      <xdr:rowOff>141896</xdr:rowOff>
    </xdr:from>
    <xdr:to>
      <xdr:col>8</xdr:col>
      <xdr:colOff>134620</xdr:colOff>
      <xdr:row>2</xdr:row>
      <xdr:rowOff>112606</xdr:rowOff>
    </xdr:to>
    <xdr:pic>
      <xdr:nvPicPr>
        <xdr:cNvPr id="3" name="Picture 2">
          <a:extLst>
            <a:ext uri="{FF2B5EF4-FFF2-40B4-BE49-F238E27FC236}">
              <a16:creationId xmlns:a16="http://schemas.microsoft.com/office/drawing/2014/main" id="{27538AAA-83B5-0838-F6D6-96B4EB740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2950" y="141896"/>
          <a:ext cx="1749425" cy="4310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21589</xdr:colOff>
      <xdr:row>3</xdr:row>
      <xdr:rowOff>0</xdr:rowOff>
    </xdr:from>
    <xdr:to>
      <xdr:col>10</xdr:col>
      <xdr:colOff>733424</xdr:colOff>
      <xdr:row>15</xdr:row>
      <xdr:rowOff>185398</xdr:rowOff>
    </xdr:to>
    <xdr:sp macro="" textlink="">
      <xdr:nvSpPr>
        <xdr:cNvPr id="12" name="Text Box 1">
          <a:extLst>
            <a:ext uri="{FF2B5EF4-FFF2-40B4-BE49-F238E27FC236}">
              <a16:creationId xmlns:a16="http://schemas.microsoft.com/office/drawing/2014/main" id="{95BA4CA6-B57C-4BC8-BC88-4EA233F6E025}"/>
            </a:ext>
          </a:extLst>
        </xdr:cNvPr>
        <xdr:cNvSpPr txBox="1">
          <a:spLocks noChangeArrowheads="1"/>
        </xdr:cNvSpPr>
      </xdr:nvSpPr>
      <xdr:spPr bwMode="auto">
        <a:xfrm>
          <a:off x="21589" y="457200"/>
          <a:ext cx="8693785" cy="247139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200"/>
            </a:lnSpc>
            <a:defRPr sz="1000"/>
          </a:pPr>
          <a:r>
            <a:rPr lang="en-GB" sz="1200" b="0" i="0" u="none" strike="noStrike" baseline="0">
              <a:solidFill>
                <a:srgbClr val="000000"/>
              </a:solidFill>
              <a:latin typeface="Arial"/>
              <a:cs typeface="Arial"/>
            </a:rPr>
            <a:t>The Deficit Budget Protocol states governing bodies will only be allowed to set a deficit budget:</a:t>
          </a:r>
        </a:p>
        <a:p>
          <a:pPr algn="l" rtl="0">
            <a:lnSpc>
              <a:spcPts val="1200"/>
            </a:lnSpc>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 to overcome long term financing issues caused by sudden and unforeseen changes in funding and/or</a:t>
          </a:r>
        </a:p>
        <a:p>
          <a:pPr algn="l" rtl="0">
            <a:lnSpc>
              <a:spcPts val="1200"/>
            </a:lnSpc>
            <a:defRPr sz="1000"/>
          </a:pPr>
          <a:r>
            <a:rPr lang="en-GB" sz="1200" b="0" i="0" u="none" strike="noStrike" baseline="0">
              <a:solidFill>
                <a:srgbClr val="000000"/>
              </a:solidFill>
              <a:latin typeface="Arial"/>
              <a:cs typeface="Arial"/>
            </a:rPr>
            <a:t>• to overcome unplanned costs or shortfalls in income that could not have reasonably been predicted</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In order for a governing body to set a deficit budget, a clear and specifically evidenced case must be made that one or both of these two conditions apply.  </a:t>
          </a:r>
        </a:p>
        <a:p>
          <a:pPr algn="l" rtl="0">
            <a:lnSpc>
              <a:spcPts val="1300"/>
            </a:lnSpc>
            <a:defRPr sz="1000"/>
          </a:pPr>
          <a:endParaRPr lang="en-GB" sz="1200" b="0" i="0" u="none" strike="noStrike" baseline="0">
            <a:solidFill>
              <a:srgbClr val="000000"/>
            </a:solidFill>
            <a:latin typeface="Arial"/>
            <a:cs typeface="Arial"/>
          </a:endParaRPr>
        </a:p>
        <a:p>
          <a:pPr algn="l" rtl="0">
            <a:lnSpc>
              <a:spcPts val="1300"/>
            </a:lnSpc>
            <a:defRPr sz="1000"/>
          </a:pPr>
          <a:r>
            <a:rPr lang="en-GB" sz="1200" b="0" i="0" u="none" strike="noStrike" baseline="0">
              <a:solidFill>
                <a:srgbClr val="000000"/>
              </a:solidFill>
              <a:latin typeface="Arial"/>
              <a:cs typeface="Arial"/>
            </a:rPr>
            <a:t>Recovery plans should include SMART targets to ensure proposed actions are specific, measurable, attainable, relevant and timely. </a:t>
          </a:r>
        </a:p>
        <a:p>
          <a:pPr algn="l" rtl="0">
            <a:lnSpc>
              <a:spcPts val="1300"/>
            </a:lnSpc>
            <a:defRPr sz="1000"/>
          </a:pPr>
          <a:endParaRPr lang="en-GB" sz="1200" b="0" i="0" u="none" strike="noStrike" baseline="0">
            <a:solidFill>
              <a:srgbClr val="000000"/>
            </a:solidFill>
            <a:latin typeface="Arial"/>
            <a:cs typeface="Arial"/>
          </a:endParaRPr>
        </a:p>
      </xdr:txBody>
    </xdr:sp>
    <xdr:clientData/>
  </xdr:twoCellAnchor>
  <xdr:twoCellAnchor>
    <xdr:from>
      <xdr:col>0</xdr:col>
      <xdr:colOff>44449</xdr:colOff>
      <xdr:row>51</xdr:row>
      <xdr:rowOff>83820</xdr:rowOff>
    </xdr:from>
    <xdr:to>
      <xdr:col>10</xdr:col>
      <xdr:colOff>714374</xdr:colOff>
      <xdr:row>53</xdr:row>
      <xdr:rowOff>127125</xdr:rowOff>
    </xdr:to>
    <xdr:sp macro="" textlink="">
      <xdr:nvSpPr>
        <xdr:cNvPr id="3" name="Text Box 3">
          <a:extLst>
            <a:ext uri="{FF2B5EF4-FFF2-40B4-BE49-F238E27FC236}">
              <a16:creationId xmlns:a16="http://schemas.microsoft.com/office/drawing/2014/main" id="{0B8DA64B-5980-4ABD-9FBF-94A3F330DC18}"/>
            </a:ext>
          </a:extLst>
        </xdr:cNvPr>
        <xdr:cNvSpPr txBox="1">
          <a:spLocks noChangeArrowheads="1"/>
        </xdr:cNvSpPr>
      </xdr:nvSpPr>
      <xdr:spPr bwMode="auto">
        <a:xfrm>
          <a:off x="44449" y="9685020"/>
          <a:ext cx="8651875" cy="4243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What are the key cost saving or income raising measures that are or will be undertaken to recover the deficit?</a:t>
          </a:r>
        </a:p>
      </xdr:txBody>
    </xdr:sp>
    <xdr:clientData/>
  </xdr:twoCellAnchor>
  <xdr:twoCellAnchor>
    <xdr:from>
      <xdr:col>0</xdr:col>
      <xdr:colOff>21590</xdr:colOff>
      <xdr:row>32</xdr:row>
      <xdr:rowOff>167640</xdr:rowOff>
    </xdr:from>
    <xdr:to>
      <xdr:col>10</xdr:col>
      <xdr:colOff>723900</xdr:colOff>
      <xdr:row>35</xdr:row>
      <xdr:rowOff>66319</xdr:rowOff>
    </xdr:to>
    <xdr:sp macro="" textlink="">
      <xdr:nvSpPr>
        <xdr:cNvPr id="4" name="Text Box 4">
          <a:extLst>
            <a:ext uri="{FF2B5EF4-FFF2-40B4-BE49-F238E27FC236}">
              <a16:creationId xmlns:a16="http://schemas.microsoft.com/office/drawing/2014/main" id="{4BE4F0C2-13F3-4A47-8A05-1192AB9016EA}"/>
            </a:ext>
          </a:extLst>
        </xdr:cNvPr>
        <xdr:cNvSpPr txBox="1">
          <a:spLocks noChangeArrowheads="1"/>
        </xdr:cNvSpPr>
      </xdr:nvSpPr>
      <xdr:spPr bwMode="auto">
        <a:xfrm>
          <a:off x="21590" y="6149340"/>
          <a:ext cx="8684260" cy="4701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Please list any rejected options that have been considered for setting a budget that prevents a deficit from materialising or that fully recovers the outstanding deficit </a:t>
          </a:r>
        </a:p>
      </xdr:txBody>
    </xdr:sp>
    <xdr:clientData/>
  </xdr:twoCellAnchor>
  <xdr:twoCellAnchor>
    <xdr:from>
      <xdr:col>0</xdr:col>
      <xdr:colOff>19050</xdr:colOff>
      <xdr:row>84</xdr:row>
      <xdr:rowOff>179070</xdr:rowOff>
    </xdr:from>
    <xdr:to>
      <xdr:col>10</xdr:col>
      <xdr:colOff>695326</xdr:colOff>
      <xdr:row>86</xdr:row>
      <xdr:rowOff>70024</xdr:rowOff>
    </xdr:to>
    <xdr:sp macro="" textlink="">
      <xdr:nvSpPr>
        <xdr:cNvPr id="5" name="Text Box 5">
          <a:extLst>
            <a:ext uri="{FF2B5EF4-FFF2-40B4-BE49-F238E27FC236}">
              <a16:creationId xmlns:a16="http://schemas.microsoft.com/office/drawing/2014/main" id="{8713E6F5-369C-4A02-8698-C894F1ED282F}"/>
            </a:ext>
          </a:extLst>
        </xdr:cNvPr>
        <xdr:cNvSpPr txBox="1">
          <a:spLocks noChangeArrowheads="1"/>
        </xdr:cNvSpPr>
      </xdr:nvSpPr>
      <xdr:spPr bwMode="auto">
        <a:xfrm>
          <a:off x="19050" y="16066770"/>
          <a:ext cx="8658226" cy="27195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Any other information to support the case for the licensed deficit application.</a:t>
          </a:r>
        </a:p>
      </xdr:txBody>
    </xdr:sp>
    <xdr:clientData/>
  </xdr:twoCellAnchor>
  <xdr:twoCellAnchor>
    <xdr:from>
      <xdr:col>0</xdr:col>
      <xdr:colOff>17780</xdr:colOff>
      <xdr:row>16</xdr:row>
      <xdr:rowOff>29210</xdr:rowOff>
    </xdr:from>
    <xdr:to>
      <xdr:col>10</xdr:col>
      <xdr:colOff>733425</xdr:colOff>
      <xdr:row>18</xdr:row>
      <xdr:rowOff>127306</xdr:rowOff>
    </xdr:to>
    <xdr:sp macro="" textlink="">
      <xdr:nvSpPr>
        <xdr:cNvPr id="6" name="Text Box 2">
          <a:extLst>
            <a:ext uri="{FF2B5EF4-FFF2-40B4-BE49-F238E27FC236}">
              <a16:creationId xmlns:a16="http://schemas.microsoft.com/office/drawing/2014/main" id="{36474A4B-7EC9-4EB2-9142-873CB8AE34E1}"/>
            </a:ext>
          </a:extLst>
        </xdr:cNvPr>
        <xdr:cNvSpPr txBox="1">
          <a:spLocks noChangeArrowheads="1"/>
        </xdr:cNvSpPr>
      </xdr:nvSpPr>
      <xdr:spPr bwMode="auto">
        <a:xfrm>
          <a:off x="17780" y="2962910"/>
          <a:ext cx="8697595" cy="4790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Please describe the circumstances that have led to the need for a deficit budget</a:t>
          </a:r>
        </a:p>
      </xdr:txBody>
    </xdr:sp>
    <xdr:clientData/>
  </xdr:twoCellAnchor>
  <xdr:twoCellAnchor>
    <xdr:from>
      <xdr:col>0</xdr:col>
      <xdr:colOff>9525</xdr:colOff>
      <xdr:row>18</xdr:row>
      <xdr:rowOff>161925</xdr:rowOff>
    </xdr:from>
    <xdr:to>
      <xdr:col>10</xdr:col>
      <xdr:colOff>723900</xdr:colOff>
      <xdr:row>32</xdr:row>
      <xdr:rowOff>104775</xdr:rowOff>
    </xdr:to>
    <xdr:sp macro="" textlink="">
      <xdr:nvSpPr>
        <xdr:cNvPr id="11" name="Text Box 6">
          <a:extLst>
            <a:ext uri="{FF2B5EF4-FFF2-40B4-BE49-F238E27FC236}">
              <a16:creationId xmlns:a16="http://schemas.microsoft.com/office/drawing/2014/main" id="{2DAE0C82-5527-4018-AAEF-4EF4499734B7}"/>
            </a:ext>
          </a:extLst>
        </xdr:cNvPr>
        <xdr:cNvSpPr txBox="1">
          <a:spLocks noChangeArrowheads="1"/>
        </xdr:cNvSpPr>
      </xdr:nvSpPr>
      <xdr:spPr bwMode="auto">
        <a:xfrm>
          <a:off x="9525" y="3476625"/>
          <a:ext cx="8696325" cy="2609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twoCellAnchor>
    <xdr:from>
      <xdr:col>0</xdr:col>
      <xdr:colOff>28575</xdr:colOff>
      <xdr:row>35</xdr:row>
      <xdr:rowOff>114300</xdr:rowOff>
    </xdr:from>
    <xdr:to>
      <xdr:col>10</xdr:col>
      <xdr:colOff>714375</xdr:colOff>
      <xdr:row>51</xdr:row>
      <xdr:rowOff>38100</xdr:rowOff>
    </xdr:to>
    <xdr:sp macro="" textlink="">
      <xdr:nvSpPr>
        <xdr:cNvPr id="8" name="Text Box 8">
          <a:extLst>
            <a:ext uri="{FF2B5EF4-FFF2-40B4-BE49-F238E27FC236}">
              <a16:creationId xmlns:a16="http://schemas.microsoft.com/office/drawing/2014/main" id="{9ECEDF49-4609-49E2-8D6C-8F6FB3CF0013}"/>
            </a:ext>
          </a:extLst>
        </xdr:cNvPr>
        <xdr:cNvSpPr txBox="1">
          <a:spLocks noChangeArrowheads="1"/>
        </xdr:cNvSpPr>
      </xdr:nvSpPr>
      <xdr:spPr bwMode="auto">
        <a:xfrm>
          <a:off x="28575" y="6667500"/>
          <a:ext cx="8667750" cy="2971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twoCellAnchor>
    <xdr:from>
      <xdr:col>0</xdr:col>
      <xdr:colOff>38099</xdr:colOff>
      <xdr:row>53</xdr:row>
      <xdr:rowOff>171450</xdr:rowOff>
    </xdr:from>
    <xdr:to>
      <xdr:col>10</xdr:col>
      <xdr:colOff>695324</xdr:colOff>
      <xdr:row>84</xdr:row>
      <xdr:rowOff>104775</xdr:rowOff>
    </xdr:to>
    <xdr:sp macro="" textlink="">
      <xdr:nvSpPr>
        <xdr:cNvPr id="9" name="Text Box 9">
          <a:extLst>
            <a:ext uri="{FF2B5EF4-FFF2-40B4-BE49-F238E27FC236}">
              <a16:creationId xmlns:a16="http://schemas.microsoft.com/office/drawing/2014/main" id="{F86D9306-90D6-42EC-9E8C-925C2A1BB86A}"/>
            </a:ext>
          </a:extLst>
        </xdr:cNvPr>
        <xdr:cNvSpPr txBox="1">
          <a:spLocks noChangeArrowheads="1"/>
        </xdr:cNvSpPr>
      </xdr:nvSpPr>
      <xdr:spPr bwMode="auto">
        <a:xfrm>
          <a:off x="38099" y="10153650"/>
          <a:ext cx="8639175" cy="5838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GB"/>
        </a:p>
      </xdr:txBody>
    </xdr:sp>
    <xdr:clientData/>
  </xdr:twoCellAnchor>
  <xdr:twoCellAnchor>
    <xdr:from>
      <xdr:col>0</xdr:col>
      <xdr:colOff>9524</xdr:colOff>
      <xdr:row>86</xdr:row>
      <xdr:rowOff>114300</xdr:rowOff>
    </xdr:from>
    <xdr:to>
      <xdr:col>10</xdr:col>
      <xdr:colOff>704849</xdr:colOff>
      <xdr:row>101</xdr:row>
      <xdr:rowOff>114300</xdr:rowOff>
    </xdr:to>
    <xdr:sp macro="" textlink="">
      <xdr:nvSpPr>
        <xdr:cNvPr id="10" name="Text Box 10">
          <a:extLst>
            <a:ext uri="{FF2B5EF4-FFF2-40B4-BE49-F238E27FC236}">
              <a16:creationId xmlns:a16="http://schemas.microsoft.com/office/drawing/2014/main" id="{9609C788-C8AD-4767-9D15-3131874DA7DB}"/>
            </a:ext>
          </a:extLst>
        </xdr:cNvPr>
        <xdr:cNvSpPr txBox="1">
          <a:spLocks noChangeArrowheads="1"/>
        </xdr:cNvSpPr>
      </xdr:nvSpPr>
      <xdr:spPr bwMode="auto">
        <a:xfrm>
          <a:off x="9524" y="16383000"/>
          <a:ext cx="8677275" cy="2857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Jonty Holden" id="{50841CEF-B656-446B-9C0A-C13C257F99FE}" userId="S::Jonty.Holden@cambridgeshire.gov.uk::fe90d2bb-38d8-4040-b172-907c26054cf9" providerId="AD"/>
  <person displayName="Claire Hughes" id="{F760612C-A47D-4EAF-A03C-89B64802919B}" userId="S::Claire.Hughes@cambridgeshire.gov.uk::0e787fed-0ccd-4118-b4e5-7d7e809c39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3" dT="2023-02-16T09:56:44.37" personId="{F760612C-A47D-4EAF-A03C-89B64802919B}" id="{352A21F1-37D1-41FD-9D47-502AF30497B1}">
    <text>Federated with Newton</text>
  </threadedComment>
  <threadedComment ref="A299" dT="2023-02-16T09:57:32.59" personId="{F760612C-A47D-4EAF-A03C-89B64802919B}" id="{F371C9E9-5F44-4C11-950F-2825FC27FB03}">
    <text>Federated with Stukeley Meadows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1-20T13:55:45.21" personId="{50841CEF-B656-446B-9C0A-C13C257F99FE}" id="{9BB4B8C0-465F-4E49-91D4-7606CC67E545}">
    <text>Paste Report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C105" dT="2023-02-16T09:56:44.37" personId="{F760612C-A47D-4EAF-A03C-89B64802919B}" id="{DB89B573-C5DE-41CE-BD3B-15AE540D74BD}">
    <text>Federated with Newton</text>
  </threadedComment>
  <threadedComment ref="C111" dT="2023-02-16T09:57:32.59" personId="{F760612C-A47D-4EAF-A03C-89B64802919B}" id="{9E567366-9991-4FB1-BA65-9A6B929DA0D2}">
    <text>Federated with Stukeley Meadows</text>
  </threadedComment>
</ThreadedComments>
</file>

<file path=xl/threadedComments/threadedComment4.xml><?xml version="1.0" encoding="utf-8"?>
<ThreadedComments xmlns="http://schemas.microsoft.com/office/spreadsheetml/2018/threadedcomments" xmlns:x="http://schemas.openxmlformats.org/spreadsheetml/2006/main">
  <threadedComment ref="B105" dT="2023-02-16T09:56:44.37" personId="{F760612C-A47D-4EAF-A03C-89B64802919B}" id="{2EA8F5A5-69A8-4FF6-B302-BB1E74614C1E}">
    <text>Federated with Newton</text>
  </threadedComment>
  <threadedComment ref="B111" dT="2023-02-16T09:57:32.59" personId="{F760612C-A47D-4EAF-A03C-89B64802919B}" id="{B2DCBE43-94E7-4625-BB85-CD9B076430DA}">
    <text>Federated with Stukeley Meadows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2.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9C4C-D021-4630-B60A-D60F35FC3A1D}">
  <sheetPr codeName="Sheet15"/>
  <dimension ref="A2:A59"/>
  <sheetViews>
    <sheetView workbookViewId="0">
      <selection activeCell="O8" sqref="O8"/>
    </sheetView>
  </sheetViews>
  <sheetFormatPr defaultRowHeight="13.2"/>
  <sheetData>
    <row r="2" spans="1:1" ht="22.8">
      <c r="A2" s="317" t="s">
        <v>813</v>
      </c>
    </row>
    <row r="3" spans="1:1" ht="22.8">
      <c r="A3" s="317" t="s">
        <v>0</v>
      </c>
    </row>
    <row r="4" spans="1:1" ht="22.8">
      <c r="A4" s="317" t="s">
        <v>1</v>
      </c>
    </row>
    <row r="5" spans="1:1" ht="22.8">
      <c r="A5" s="317" t="s">
        <v>2</v>
      </c>
    </row>
    <row r="13" spans="1:1" ht="22.8">
      <c r="A13" s="317" t="s">
        <v>3</v>
      </c>
    </row>
    <row r="14" spans="1:1" ht="22.8">
      <c r="A14" s="317" t="s">
        <v>812</v>
      </c>
    </row>
    <row r="41" spans="1:1" ht="22.8">
      <c r="A41" s="317" t="s">
        <v>4</v>
      </c>
    </row>
    <row r="59" spans="1:1" ht="22.8">
      <c r="A59" s="317" t="s">
        <v>5</v>
      </c>
    </row>
  </sheetData>
  <pageMargins left="0.7" right="0.7" top="0.75" bottom="0.75" header="0.3" footer="0.3"/>
  <pageSetup paperSize="9" orientation="portrait" horizontalDpi="300" verticalDpi="0" r:id="rId1"/>
  <drawing r:id="rId2"/>
  <legacyDrawing r:id="rId3"/>
  <oleObjects>
    <mc:AlternateContent xmlns:mc="http://schemas.openxmlformats.org/markup-compatibility/2006">
      <mc:Choice Requires="x14">
        <oleObject progId="Document" dvAspect="DVASPECT_ICON" shapeId="13313" r:id="rId4">
          <objectPr defaultSize="0" r:id="rId5">
            <anchor moveWithCells="1">
              <from>
                <xdr:col>1</xdr:col>
                <xdr:colOff>266700</xdr:colOff>
                <xdr:row>6</xdr:row>
                <xdr:rowOff>144780</xdr:rowOff>
              </from>
              <to>
                <xdr:col>2</xdr:col>
                <xdr:colOff>571500</xdr:colOff>
                <xdr:row>11</xdr:row>
                <xdr:rowOff>99060</xdr:rowOff>
              </to>
            </anchor>
          </objectPr>
        </oleObject>
      </mc:Choice>
      <mc:Fallback>
        <oleObject progId="Document" dvAspect="DVASPECT_ICON"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37"/>
    <pageSetUpPr fitToPage="1"/>
  </sheetPr>
  <dimension ref="A1:AI39"/>
  <sheetViews>
    <sheetView zoomScaleNormal="100" workbookViewId="0">
      <selection activeCell="A2" sqref="A2:J2"/>
    </sheetView>
  </sheetViews>
  <sheetFormatPr defaultColWidth="9.109375" defaultRowHeight="13.2"/>
  <cols>
    <col min="1" max="3" width="9.109375" style="18"/>
    <col min="4" max="4" width="59.88671875" style="18" customWidth="1"/>
    <col min="5" max="5" width="12.5546875" style="18" customWidth="1"/>
    <col min="6" max="8" width="9.109375" style="18"/>
    <col min="9" max="9" width="29.44140625" style="18" customWidth="1"/>
    <col min="10" max="10" width="9.109375" style="18"/>
    <col min="11" max="35" width="9.109375" style="262"/>
    <col min="36" max="16384" width="9.109375" style="18"/>
  </cols>
  <sheetData>
    <row r="1" spans="1:10">
      <c r="A1" s="111" t="str">
        <f>'d) IUB reporting March 2025'!A1</f>
        <v>Please Click on Arrow to Choose School</v>
      </c>
      <c r="B1" s="111"/>
      <c r="C1" s="111"/>
      <c r="D1" s="111"/>
      <c r="E1" s="111"/>
      <c r="F1" s="111"/>
      <c r="G1" s="111"/>
      <c r="H1" s="111"/>
      <c r="I1" s="111"/>
      <c r="J1" s="111"/>
    </row>
    <row r="2" spans="1:10" ht="21">
      <c r="A2" s="400" t="s">
        <v>549</v>
      </c>
      <c r="B2" s="400"/>
      <c r="C2" s="400"/>
      <c r="D2" s="400"/>
      <c r="E2" s="400"/>
      <c r="F2" s="400"/>
      <c r="G2" s="400"/>
      <c r="H2" s="400"/>
      <c r="I2" s="400"/>
      <c r="J2" s="400"/>
    </row>
    <row r="3" spans="1:10" ht="9" customHeight="1">
      <c r="A3" s="401"/>
      <c r="B3" s="402"/>
      <c r="C3" s="402"/>
      <c r="D3" s="402"/>
      <c r="E3" s="402"/>
      <c r="F3" s="402"/>
      <c r="G3" s="402"/>
      <c r="H3" s="402"/>
      <c r="I3" s="402"/>
      <c r="J3" s="113"/>
    </row>
    <row r="4" spans="1:10" ht="13.8">
      <c r="A4" s="243" t="s">
        <v>550</v>
      </c>
      <c r="B4" s="112"/>
      <c r="C4" s="112"/>
      <c r="D4" s="112"/>
      <c r="E4" s="112"/>
      <c r="F4" s="112"/>
      <c r="G4" s="112"/>
      <c r="H4" s="112"/>
      <c r="I4" s="112"/>
      <c r="J4" s="113"/>
    </row>
    <row r="5" spans="1:10" ht="13.8">
      <c r="A5" s="243" t="s">
        <v>551</v>
      </c>
      <c r="B5" s="112"/>
      <c r="C5" s="112"/>
      <c r="D5" s="112"/>
      <c r="E5" s="112"/>
      <c r="F5" s="112"/>
      <c r="G5" s="112"/>
      <c r="H5" s="112"/>
      <c r="I5" s="112"/>
      <c r="J5" s="113"/>
    </row>
    <row r="6" spans="1:10" ht="13.8">
      <c r="A6" s="243" t="s">
        <v>552</v>
      </c>
      <c r="B6" s="112"/>
      <c r="C6" s="112"/>
      <c r="D6" s="112"/>
      <c r="E6" s="112"/>
      <c r="F6" s="112"/>
      <c r="G6" s="112"/>
      <c r="H6" s="112"/>
      <c r="I6" s="112"/>
      <c r="J6" s="113"/>
    </row>
    <row r="7" spans="1:10" ht="8.25" customHeight="1">
      <c r="A7" s="243"/>
      <c r="B7" s="112"/>
      <c r="C7" s="112"/>
      <c r="D7" s="112"/>
      <c r="E7" s="112"/>
      <c r="F7" s="112"/>
      <c r="G7" s="112"/>
      <c r="H7" s="112"/>
      <c r="I7" s="112"/>
      <c r="J7" s="113"/>
    </row>
    <row r="8" spans="1:10" ht="15">
      <c r="A8" s="243" t="s">
        <v>553</v>
      </c>
      <c r="B8" s="352"/>
      <c r="C8" s="114"/>
      <c r="D8" s="114"/>
      <c r="E8" s="114"/>
      <c r="F8" s="113"/>
      <c r="G8" s="114"/>
      <c r="H8" s="113"/>
      <c r="I8" s="114"/>
      <c r="J8" s="113"/>
    </row>
    <row r="9" spans="1:10" ht="15.6" thickBot="1">
      <c r="A9" s="243"/>
      <c r="B9" s="352"/>
      <c r="C9" s="114"/>
      <c r="D9" s="114"/>
      <c r="E9" s="114"/>
      <c r="F9" s="113"/>
      <c r="G9" s="114"/>
      <c r="H9" s="113"/>
      <c r="I9" s="114"/>
      <c r="J9" s="113"/>
    </row>
    <row r="10" spans="1:10" ht="40.200000000000003" thickBot="1">
      <c r="A10" s="403" t="s">
        <v>554</v>
      </c>
      <c r="B10" s="404"/>
      <c r="C10" s="404"/>
      <c r="D10" s="405"/>
      <c r="E10" s="168" t="s">
        <v>555</v>
      </c>
      <c r="F10" s="406" t="s">
        <v>556</v>
      </c>
      <c r="G10" s="407"/>
      <c r="H10" s="408"/>
      <c r="I10" s="409"/>
      <c r="J10" s="113"/>
    </row>
    <row r="11" spans="1:10" ht="13.8">
      <c r="A11" s="163" t="s">
        <v>557</v>
      </c>
      <c r="B11" s="164"/>
      <c r="C11" s="164"/>
      <c r="D11" s="165"/>
      <c r="E11" s="149"/>
      <c r="F11" s="399"/>
      <c r="G11" s="399"/>
      <c r="H11" s="399"/>
      <c r="I11" s="399"/>
      <c r="J11" s="113"/>
    </row>
    <row r="12" spans="1:10" ht="13.8">
      <c r="A12" s="159" t="s">
        <v>558</v>
      </c>
      <c r="B12" s="166"/>
      <c r="C12" s="166"/>
      <c r="D12" s="167"/>
      <c r="E12" s="150"/>
      <c r="F12" s="397"/>
      <c r="G12" s="397"/>
      <c r="H12" s="397"/>
      <c r="I12" s="397"/>
      <c r="J12" s="113"/>
    </row>
    <row r="13" spans="1:10" ht="13.8">
      <c r="A13" s="159" t="s">
        <v>559</v>
      </c>
      <c r="B13" s="166"/>
      <c r="C13" s="166"/>
      <c r="D13" s="167"/>
      <c r="E13" s="150"/>
      <c r="F13" s="397"/>
      <c r="G13" s="397"/>
      <c r="H13" s="397"/>
      <c r="I13" s="397"/>
      <c r="J13" s="113"/>
    </row>
    <row r="14" spans="1:10" ht="13.8">
      <c r="A14" s="159" t="s">
        <v>560</v>
      </c>
      <c r="B14" s="166"/>
      <c r="C14" s="166"/>
      <c r="D14" s="167"/>
      <c r="E14" s="150"/>
      <c r="F14" s="397"/>
      <c r="G14" s="397"/>
      <c r="H14" s="397"/>
      <c r="I14" s="397"/>
      <c r="J14" s="113"/>
    </row>
    <row r="15" spans="1:10" ht="13.8">
      <c r="A15" s="159" t="s">
        <v>561</v>
      </c>
      <c r="B15" s="166"/>
      <c r="C15" s="166"/>
      <c r="D15" s="167"/>
      <c r="E15" s="151"/>
      <c r="F15" s="397"/>
      <c r="G15" s="397"/>
      <c r="H15" s="397"/>
      <c r="I15" s="397"/>
      <c r="J15" s="113"/>
    </row>
    <row r="16" spans="1:10" ht="14.4" thickBot="1">
      <c r="A16" s="159" t="s">
        <v>562</v>
      </c>
      <c r="B16" s="166"/>
      <c r="C16" s="166"/>
      <c r="D16" s="167"/>
      <c r="E16" s="152"/>
      <c r="F16" s="397"/>
      <c r="G16" s="397"/>
      <c r="H16" s="397"/>
      <c r="I16" s="397"/>
      <c r="J16" s="113"/>
    </row>
    <row r="17" spans="1:10" ht="16.2" thickBot="1">
      <c r="A17" s="243"/>
      <c r="B17" s="115"/>
      <c r="C17" s="110"/>
      <c r="D17" s="114"/>
      <c r="E17" s="1">
        <f>SUM(E11:E16)</f>
        <v>0</v>
      </c>
      <c r="F17" s="113"/>
      <c r="G17" s="114"/>
      <c r="H17" s="113"/>
      <c r="I17" s="114"/>
      <c r="J17" s="113"/>
    </row>
    <row r="18" spans="1:10" ht="8.25" customHeight="1">
      <c r="A18" s="243"/>
      <c r="B18" s="115"/>
      <c r="C18" s="116"/>
      <c r="D18" s="114"/>
      <c r="E18" s="116"/>
      <c r="F18" s="113"/>
      <c r="G18" s="114"/>
      <c r="H18" s="113"/>
      <c r="I18" s="114"/>
      <c r="J18" s="113"/>
    </row>
    <row r="19" spans="1:10" ht="15">
      <c r="A19" s="244" t="s">
        <v>563</v>
      </c>
      <c r="B19" s="117"/>
      <c r="C19" s="75"/>
      <c r="D19" s="107"/>
      <c r="E19" s="75"/>
      <c r="F19" s="113"/>
      <c r="G19" s="114"/>
      <c r="H19" s="113"/>
      <c r="I19" s="114"/>
      <c r="J19" s="113"/>
    </row>
    <row r="20" spans="1:10" ht="7.5" customHeight="1">
      <c r="A20" s="243"/>
      <c r="B20" s="352"/>
      <c r="C20" s="114"/>
      <c r="D20" s="114"/>
      <c r="E20" s="114"/>
      <c r="F20" s="113"/>
      <c r="G20" s="114"/>
      <c r="H20" s="113"/>
      <c r="I20" s="114"/>
      <c r="J20" s="113"/>
    </row>
    <row r="21" spans="1:10" ht="15">
      <c r="A21" s="118" t="s">
        <v>52</v>
      </c>
      <c r="B21" s="398" t="s">
        <v>564</v>
      </c>
      <c r="C21" s="398"/>
      <c r="D21" s="398"/>
      <c r="E21" s="41" t="s">
        <v>565</v>
      </c>
      <c r="F21" s="113"/>
      <c r="G21" s="114"/>
      <c r="H21" s="113"/>
      <c r="I21" s="114"/>
      <c r="J21" s="113"/>
    </row>
    <row r="22" spans="1:10" ht="15">
      <c r="A22" s="153"/>
      <c r="B22" s="396"/>
      <c r="C22" s="396"/>
      <c r="D22" s="396"/>
      <c r="E22" s="154"/>
      <c r="F22" s="113"/>
      <c r="G22" s="114"/>
      <c r="H22" s="113"/>
      <c r="I22" s="114"/>
      <c r="J22" s="113"/>
    </row>
    <row r="23" spans="1:10" ht="15">
      <c r="A23" s="153"/>
      <c r="B23" s="396"/>
      <c r="C23" s="396"/>
      <c r="D23" s="396"/>
      <c r="E23" s="154"/>
      <c r="F23" s="113"/>
      <c r="G23" s="114"/>
      <c r="H23" s="113"/>
      <c r="I23" s="114"/>
      <c r="J23" s="113"/>
    </row>
    <row r="24" spans="1:10" ht="15">
      <c r="A24" s="153"/>
      <c r="B24" s="396"/>
      <c r="C24" s="396"/>
      <c r="D24" s="396"/>
      <c r="E24" s="154"/>
      <c r="F24" s="113"/>
      <c r="G24" s="114"/>
      <c r="H24" s="113"/>
      <c r="I24" s="114"/>
      <c r="J24" s="113"/>
    </row>
    <row r="25" spans="1:10" ht="15">
      <c r="A25" s="153"/>
      <c r="B25" s="396"/>
      <c r="C25" s="396"/>
      <c r="D25" s="396"/>
      <c r="E25" s="154"/>
      <c r="F25" s="113"/>
      <c r="G25" s="114"/>
      <c r="H25" s="113"/>
      <c r="I25" s="114"/>
      <c r="J25" s="113"/>
    </row>
    <row r="26" spans="1:10" ht="15">
      <c r="A26" s="153"/>
      <c r="B26" s="396"/>
      <c r="C26" s="396"/>
      <c r="D26" s="396"/>
      <c r="E26" s="154"/>
      <c r="F26" s="113"/>
      <c r="G26" s="114"/>
      <c r="H26" s="113"/>
      <c r="I26" s="114"/>
      <c r="J26" s="113"/>
    </row>
    <row r="27" spans="1:10" ht="15">
      <c r="A27" s="153"/>
      <c r="B27" s="396"/>
      <c r="C27" s="396"/>
      <c r="D27" s="396"/>
      <c r="E27" s="154"/>
      <c r="F27" s="113"/>
      <c r="G27" s="114"/>
      <c r="H27" s="113"/>
      <c r="I27" s="114"/>
      <c r="J27" s="113"/>
    </row>
    <row r="28" spans="1:10" ht="15">
      <c r="A28" s="153"/>
      <c r="B28" s="396"/>
      <c r="C28" s="396"/>
      <c r="D28" s="396"/>
      <c r="E28" s="154"/>
      <c r="F28" s="113"/>
      <c r="G28" s="114"/>
      <c r="H28" s="113"/>
      <c r="I28" s="114"/>
      <c r="J28" s="113"/>
    </row>
    <row r="29" spans="1:10" ht="15">
      <c r="A29" s="153"/>
      <c r="B29" s="396"/>
      <c r="C29" s="396"/>
      <c r="D29" s="396"/>
      <c r="E29" s="154"/>
      <c r="F29" s="113"/>
      <c r="G29" s="114"/>
      <c r="H29" s="113"/>
      <c r="I29" s="114"/>
      <c r="J29" s="113"/>
    </row>
    <row r="30" spans="1:10" ht="15">
      <c r="A30" s="153"/>
      <c r="B30" s="396"/>
      <c r="C30" s="396"/>
      <c r="D30" s="396"/>
      <c r="E30" s="154"/>
      <c r="F30" s="113"/>
      <c r="G30" s="114"/>
      <c r="H30" s="113"/>
      <c r="I30" s="114"/>
      <c r="J30" s="113"/>
    </row>
    <row r="31" spans="1:10" ht="15">
      <c r="A31" s="153"/>
      <c r="B31" s="396"/>
      <c r="C31" s="396"/>
      <c r="D31" s="396"/>
      <c r="E31" s="154"/>
      <c r="F31" s="113"/>
      <c r="G31" s="114"/>
      <c r="H31" s="113"/>
      <c r="I31" s="114"/>
      <c r="J31" s="113"/>
    </row>
    <row r="32" spans="1:10" ht="15">
      <c r="A32" s="153"/>
      <c r="B32" s="396"/>
      <c r="C32" s="396"/>
      <c r="D32" s="396"/>
      <c r="E32" s="154"/>
      <c r="F32" s="113"/>
      <c r="G32" s="114"/>
      <c r="H32" s="113"/>
      <c r="I32" s="114"/>
      <c r="J32" s="113"/>
    </row>
    <row r="33" spans="1:10" ht="15">
      <c r="A33" s="153"/>
      <c r="B33" s="396"/>
      <c r="C33" s="396"/>
      <c r="D33" s="396"/>
      <c r="E33" s="154"/>
      <c r="F33" s="113"/>
      <c r="G33" s="114"/>
      <c r="H33" s="113"/>
      <c r="I33" s="114"/>
      <c r="J33" s="113"/>
    </row>
    <row r="34" spans="1:10" ht="15">
      <c r="A34" s="153"/>
      <c r="B34" s="396"/>
      <c r="C34" s="396"/>
      <c r="D34" s="396"/>
      <c r="E34" s="154"/>
      <c r="F34" s="113"/>
      <c r="G34" s="114"/>
      <c r="H34" s="113"/>
      <c r="I34" s="114"/>
      <c r="J34" s="113"/>
    </row>
    <row r="35" spans="1:10" ht="15">
      <c r="A35" s="153"/>
      <c r="B35" s="396"/>
      <c r="C35" s="396"/>
      <c r="D35" s="396"/>
      <c r="E35" s="154"/>
      <c r="F35" s="113"/>
      <c r="G35" s="114"/>
      <c r="H35" s="113"/>
      <c r="I35" s="114"/>
      <c r="J35" s="113"/>
    </row>
    <row r="36" spans="1:10" ht="15.6" thickBot="1">
      <c r="A36" s="153"/>
      <c r="B36" s="396"/>
      <c r="C36" s="396"/>
      <c r="D36" s="396"/>
      <c r="E36" s="154"/>
      <c r="F36" s="113"/>
      <c r="G36" s="114"/>
      <c r="H36" s="113"/>
      <c r="I36" s="114"/>
      <c r="J36" s="113"/>
    </row>
    <row r="37" spans="1:10" ht="16.2" thickBot="1">
      <c r="A37" s="119"/>
      <c r="B37" s="122" t="s">
        <v>566</v>
      </c>
      <c r="C37" s="124"/>
      <c r="D37" s="123"/>
      <c r="E37" s="1">
        <f>SUM(E22:E36)</f>
        <v>0</v>
      </c>
      <c r="F37" s="120"/>
      <c r="G37" s="114"/>
      <c r="H37" s="113"/>
      <c r="I37" s="114"/>
      <c r="J37" s="113"/>
    </row>
    <row r="38" spans="1:10" ht="15">
      <c r="A38" s="121"/>
      <c r="B38" s="114"/>
      <c r="C38" s="114"/>
      <c r="D38" s="114"/>
      <c r="E38" s="114"/>
      <c r="F38" s="113"/>
      <c r="G38" s="114"/>
      <c r="H38" s="113"/>
      <c r="I38" s="114"/>
      <c r="J38" s="113"/>
    </row>
    <row r="39" spans="1:10" ht="15">
      <c r="A39" s="243" t="s">
        <v>567</v>
      </c>
      <c r="B39" s="114"/>
      <c r="C39" s="114"/>
      <c r="D39" s="114"/>
      <c r="E39" s="114"/>
      <c r="F39" s="113"/>
      <c r="G39" s="114"/>
      <c r="H39" s="113"/>
      <c r="I39" s="114"/>
      <c r="J39" s="113"/>
    </row>
  </sheetData>
  <mergeCells count="26">
    <mergeCell ref="A2:J2"/>
    <mergeCell ref="A3:I3"/>
    <mergeCell ref="A10:D10"/>
    <mergeCell ref="F10:I10"/>
    <mergeCell ref="F15:I15"/>
    <mergeCell ref="F16:I16"/>
    <mergeCell ref="B21:D21"/>
    <mergeCell ref="B22:D22"/>
    <mergeCell ref="F11:I11"/>
    <mergeCell ref="F12:I12"/>
    <mergeCell ref="F13:I13"/>
    <mergeCell ref="F14:I14"/>
    <mergeCell ref="B27:D27"/>
    <mergeCell ref="B28:D28"/>
    <mergeCell ref="B29:D29"/>
    <mergeCell ref="B30:D30"/>
    <mergeCell ref="B23:D23"/>
    <mergeCell ref="B24:D24"/>
    <mergeCell ref="B25:D25"/>
    <mergeCell ref="B26:D26"/>
    <mergeCell ref="B34:D34"/>
    <mergeCell ref="B35:D35"/>
    <mergeCell ref="B36:D36"/>
    <mergeCell ref="B31:D31"/>
    <mergeCell ref="B32:D32"/>
    <mergeCell ref="B33:D33"/>
  </mergeCells>
  <phoneticPr fontId="11" type="noConversion"/>
  <conditionalFormatting sqref="E11:E16">
    <cfRule type="expression" dxfId="1" priority="1" stopIfTrue="1">
      <formula>LEFT(OFFSET(E11,0,16))="W"</formula>
    </cfRule>
    <cfRule type="expression" dxfId="0" priority="2" stopIfTrue="1">
      <formula>LEFT(OFFSET(E11,0,16))="E"</formula>
    </cfRule>
  </conditionalFormatting>
  <pageMargins left="0.15748031496062992" right="0.15748031496062992" top="0.39370078740157483" bottom="0.39370078740157483" header="0.51181102362204722" footer="0.51181102362204722"/>
  <pageSetup paperSize="9" scale="8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pageSetUpPr fitToPage="1"/>
  </sheetPr>
  <dimension ref="A1:T93"/>
  <sheetViews>
    <sheetView workbookViewId="0">
      <selection activeCell="A2" sqref="A2:J2"/>
    </sheetView>
  </sheetViews>
  <sheetFormatPr defaultColWidth="9.109375" defaultRowHeight="12.6"/>
  <cols>
    <col min="1" max="1" width="5.6640625" style="170" customWidth="1"/>
    <col min="2" max="3" width="9.109375" style="170"/>
    <col min="4" max="4" width="69.33203125" style="170" customWidth="1"/>
    <col min="5" max="5" width="17" style="170" customWidth="1"/>
    <col min="6" max="6" width="17.33203125" style="170" customWidth="1"/>
    <col min="7" max="8" width="9.109375" style="170"/>
    <col min="9" max="9" width="29.44140625" style="170" customWidth="1"/>
    <col min="10" max="10" width="9.109375" style="170"/>
    <col min="11" max="20" width="9.109375" style="269"/>
    <col min="21" max="16384" width="9.109375" style="170"/>
  </cols>
  <sheetData>
    <row r="1" spans="1:10">
      <c r="A1" s="169" t="str">
        <f>'b) Budget Template'!B3</f>
        <v>Please Click on Arrow to Choose School</v>
      </c>
      <c r="B1" s="169"/>
      <c r="C1" s="169"/>
      <c r="D1" s="169"/>
      <c r="E1" s="169"/>
      <c r="F1" s="169"/>
      <c r="G1" s="169"/>
      <c r="H1" s="169"/>
      <c r="I1" s="169"/>
      <c r="J1" s="194">
        <f>'b) Budget Template'!I3</f>
        <v>0</v>
      </c>
    </row>
    <row r="2" spans="1:10" ht="21">
      <c r="A2" s="400" t="s">
        <v>568</v>
      </c>
      <c r="B2" s="400"/>
      <c r="C2" s="400"/>
      <c r="D2" s="400"/>
      <c r="E2" s="400"/>
      <c r="F2" s="400"/>
      <c r="G2" s="400"/>
      <c r="H2" s="400"/>
      <c r="I2" s="400"/>
      <c r="J2" s="400"/>
    </row>
    <row r="3" spans="1:10" ht="9" customHeight="1">
      <c r="A3" s="401"/>
      <c r="B3" s="417"/>
      <c r="C3" s="417"/>
      <c r="D3" s="417"/>
      <c r="E3" s="417"/>
      <c r="F3" s="417"/>
      <c r="G3" s="417"/>
      <c r="H3" s="417"/>
      <c r="I3" s="417"/>
      <c r="J3" s="113"/>
    </row>
    <row r="4" spans="1:10" ht="13.8">
      <c r="A4" s="243" t="s">
        <v>569</v>
      </c>
      <c r="B4" s="243"/>
      <c r="C4" s="243"/>
      <c r="D4" s="243"/>
      <c r="E4" s="243"/>
      <c r="F4" s="243"/>
      <c r="G4" s="243"/>
      <c r="H4" s="243"/>
      <c r="I4" s="243"/>
      <c r="J4" s="243"/>
    </row>
    <row r="5" spans="1:10" ht="13.8">
      <c r="A5" s="243" t="s">
        <v>570</v>
      </c>
      <c r="B5" s="171"/>
      <c r="C5" s="171"/>
      <c r="D5" s="171"/>
      <c r="E5" s="171"/>
      <c r="F5" s="171"/>
      <c r="G5" s="171"/>
      <c r="H5" s="171"/>
      <c r="I5" s="171"/>
      <c r="J5" s="113"/>
    </row>
    <row r="6" spans="1:10" ht="13.8">
      <c r="A6" s="243" t="s">
        <v>571</v>
      </c>
      <c r="B6" s="171"/>
      <c r="C6" s="171"/>
      <c r="D6" s="171"/>
      <c r="E6" s="171"/>
      <c r="F6" s="171"/>
      <c r="G6" s="171"/>
      <c r="H6" s="171"/>
      <c r="I6" s="171"/>
      <c r="J6" s="113"/>
    </row>
    <row r="7" spans="1:10" ht="13.8" hidden="1">
      <c r="A7" s="243" t="s">
        <v>572</v>
      </c>
      <c r="B7" s="171"/>
      <c r="C7" s="171"/>
      <c r="D7" s="171"/>
      <c r="E7" s="171"/>
      <c r="F7" s="171"/>
      <c r="G7" s="171"/>
      <c r="H7" s="171"/>
      <c r="I7" s="171"/>
      <c r="J7" s="113"/>
    </row>
    <row r="8" spans="1:10" ht="6.75" hidden="1" customHeight="1">
      <c r="A8" s="243"/>
      <c r="B8" s="171"/>
      <c r="C8" s="171"/>
      <c r="D8" s="171"/>
      <c r="E8" s="171"/>
      <c r="F8" s="171"/>
      <c r="G8" s="171"/>
      <c r="H8" s="171"/>
      <c r="I8" s="171"/>
      <c r="J8" s="113"/>
    </row>
    <row r="9" spans="1:10" ht="13.8" hidden="1">
      <c r="A9" s="243" t="s">
        <v>573</v>
      </c>
      <c r="B9" s="171"/>
      <c r="C9" s="171"/>
      <c r="D9" s="171"/>
      <c r="E9" s="171"/>
      <c r="F9" s="171"/>
      <c r="G9" s="171"/>
      <c r="H9" s="171"/>
      <c r="I9" s="171"/>
      <c r="J9" s="113"/>
    </row>
    <row r="10" spans="1:10" ht="4.5" hidden="1" customHeight="1">
      <c r="A10" s="243"/>
      <c r="B10" s="171"/>
      <c r="C10" s="171"/>
      <c r="D10" s="171"/>
      <c r="E10" s="171"/>
      <c r="F10" s="171"/>
      <c r="G10" s="171"/>
      <c r="H10" s="171"/>
      <c r="I10" s="171"/>
      <c r="J10" s="113"/>
    </row>
    <row r="11" spans="1:10" ht="13.8" hidden="1">
      <c r="A11" s="243" t="s">
        <v>574</v>
      </c>
      <c r="B11" s="171"/>
      <c r="C11" s="171"/>
      <c r="D11" s="171"/>
      <c r="E11" s="171"/>
      <c r="F11" s="171"/>
      <c r="G11" s="171"/>
      <c r="H11" s="171"/>
      <c r="I11" s="171"/>
      <c r="J11" s="113"/>
    </row>
    <row r="12" spans="1:10" ht="5.25" customHeight="1">
      <c r="A12" s="243"/>
      <c r="B12" s="171"/>
      <c r="C12" s="171"/>
      <c r="D12" s="171"/>
      <c r="E12" s="171"/>
      <c r="F12" s="171"/>
      <c r="G12" s="171"/>
      <c r="H12" s="171"/>
      <c r="I12" s="171"/>
      <c r="J12" s="113"/>
    </row>
    <row r="13" spans="1:10" ht="13.8">
      <c r="A13" s="243" t="s">
        <v>575</v>
      </c>
      <c r="B13" s="171"/>
      <c r="C13" s="171"/>
      <c r="D13" s="171"/>
      <c r="E13" s="171"/>
      <c r="F13" s="171"/>
      <c r="G13" s="171"/>
      <c r="H13" s="171"/>
      <c r="I13" s="171"/>
      <c r="J13" s="113"/>
    </row>
    <row r="14" spans="1:10" ht="14.4" thickBot="1">
      <c r="A14" s="243"/>
      <c r="B14" s="171"/>
      <c r="C14" s="171"/>
      <c r="D14" s="171"/>
      <c r="E14" s="171"/>
      <c r="F14" s="171"/>
      <c r="G14" s="171"/>
      <c r="H14" s="171"/>
      <c r="I14" s="171"/>
      <c r="J14" s="113"/>
    </row>
    <row r="15" spans="1:10" ht="14.4" thickBot="1">
      <c r="A15" s="243" t="s">
        <v>576</v>
      </c>
      <c r="B15" s="131"/>
      <c r="C15" s="171"/>
      <c r="D15" s="171"/>
      <c r="E15" s="171"/>
      <c r="F15" s="195" t="e">
        <f>'b) Budget Template'!E98</f>
        <v>#N/A</v>
      </c>
      <c r="G15" s="171"/>
      <c r="H15" s="171"/>
      <c r="I15" s="171"/>
      <c r="J15" s="113"/>
    </row>
    <row r="16" spans="1:10" ht="7.5" customHeight="1" thickBot="1">
      <c r="A16" s="243"/>
      <c r="B16" s="131"/>
      <c r="C16" s="171"/>
      <c r="D16" s="171"/>
      <c r="E16" s="171"/>
      <c r="F16" s="172"/>
      <c r="G16" s="171"/>
      <c r="H16" s="171"/>
      <c r="I16" s="171"/>
      <c r="J16" s="113"/>
    </row>
    <row r="17" spans="1:20" ht="14.4" thickBot="1">
      <c r="A17" s="131" t="s">
        <v>577</v>
      </c>
      <c r="B17" s="131"/>
      <c r="C17" s="171"/>
      <c r="D17" s="171"/>
      <c r="E17" s="171"/>
      <c r="F17" s="195" t="e">
        <f>VLOOKUP(J1,'Data - IUB Limits March 2025'!$A$4:$D$71,4,FALSE)</f>
        <v>#N/A</v>
      </c>
      <c r="G17" s="171"/>
      <c r="H17" s="171"/>
      <c r="I17" s="171"/>
      <c r="J17" s="113"/>
    </row>
    <row r="18" spans="1:20" ht="13.8">
      <c r="A18" s="254" t="s">
        <v>578</v>
      </c>
      <c r="B18" s="131"/>
      <c r="C18" s="171"/>
      <c r="D18" s="171"/>
      <c r="E18" s="171"/>
      <c r="F18" s="172"/>
      <c r="G18" s="171"/>
      <c r="H18" s="171"/>
      <c r="I18" s="171"/>
      <c r="J18" s="113"/>
    </row>
    <row r="19" spans="1:20" ht="7.5" customHeight="1" thickBot="1">
      <c r="A19" s="243"/>
      <c r="B19" s="131"/>
      <c r="C19" s="171"/>
      <c r="D19" s="171"/>
      <c r="E19" s="171"/>
      <c r="F19" s="173"/>
      <c r="G19" s="171"/>
      <c r="H19" s="171"/>
      <c r="I19" s="171"/>
      <c r="J19" s="113"/>
    </row>
    <row r="20" spans="1:20" ht="14.4" thickBot="1">
      <c r="A20" s="148" t="s">
        <v>579</v>
      </c>
      <c r="B20" s="353"/>
      <c r="C20" s="174"/>
      <c r="D20" s="174"/>
      <c r="E20" s="174"/>
      <c r="F20" s="175" t="e">
        <f>F15-F17</f>
        <v>#N/A</v>
      </c>
      <c r="G20" s="171"/>
      <c r="H20" s="171"/>
      <c r="I20" s="171"/>
      <c r="J20" s="113"/>
    </row>
    <row r="21" spans="1:20" ht="13.8">
      <c r="A21" s="147" t="s">
        <v>580</v>
      </c>
      <c r="B21" s="131"/>
      <c r="C21" s="171"/>
      <c r="D21" s="171"/>
      <c r="E21" s="171"/>
      <c r="F21" s="146"/>
      <c r="G21" s="171"/>
      <c r="H21" s="171"/>
      <c r="I21" s="171"/>
      <c r="J21" s="113"/>
    </row>
    <row r="22" spans="1:20" ht="6" customHeight="1">
      <c r="A22" s="147"/>
      <c r="B22" s="131"/>
      <c r="C22" s="171"/>
      <c r="D22" s="171"/>
      <c r="E22" s="171"/>
      <c r="F22" s="146"/>
      <c r="G22" s="171"/>
      <c r="H22" s="171"/>
      <c r="I22" s="171"/>
      <c r="J22" s="113"/>
    </row>
    <row r="23" spans="1:20" ht="13.8">
      <c r="A23" s="243" t="s">
        <v>581</v>
      </c>
      <c r="B23" s="131"/>
      <c r="C23" s="171"/>
      <c r="D23" s="171"/>
      <c r="E23" s="171"/>
      <c r="F23" s="146"/>
      <c r="G23" s="171"/>
      <c r="H23" s="171"/>
      <c r="I23" s="171"/>
      <c r="J23" s="113"/>
    </row>
    <row r="24" spans="1:20" ht="13.8">
      <c r="A24" s="243" t="s">
        <v>582</v>
      </c>
      <c r="B24" s="131"/>
      <c r="C24" s="171"/>
      <c r="D24" s="171"/>
      <c r="E24" s="171"/>
      <c r="F24" s="146"/>
      <c r="G24" s="171"/>
      <c r="H24" s="171"/>
      <c r="I24" s="171"/>
      <c r="J24" s="113"/>
    </row>
    <row r="25" spans="1:20" ht="13.8">
      <c r="A25" s="243" t="s">
        <v>583</v>
      </c>
      <c r="B25" s="171"/>
      <c r="C25" s="171"/>
      <c r="D25" s="171"/>
      <c r="E25" s="171"/>
      <c r="F25" s="171"/>
      <c r="G25" s="171"/>
      <c r="H25" s="171"/>
      <c r="I25" s="171"/>
      <c r="J25" s="113"/>
    </row>
    <row r="26" spans="1:20" ht="7.5" customHeight="1" thickBot="1">
      <c r="A26" s="243"/>
      <c r="B26" s="352"/>
      <c r="C26" s="114"/>
      <c r="D26" s="114"/>
      <c r="E26" s="114"/>
      <c r="F26" s="113"/>
      <c r="G26" s="114"/>
      <c r="H26" s="113"/>
      <c r="I26" s="114"/>
      <c r="J26" s="113"/>
    </row>
    <row r="27" spans="1:20" s="176" customFormat="1" ht="39" customHeight="1" thickBot="1">
      <c r="A27" s="141"/>
      <c r="B27" s="418" t="s">
        <v>584</v>
      </c>
      <c r="C27" s="419"/>
      <c r="D27" s="420"/>
      <c r="E27" s="143" t="s">
        <v>585</v>
      </c>
      <c r="F27" s="191" t="s">
        <v>586</v>
      </c>
      <c r="G27" s="421" t="s">
        <v>556</v>
      </c>
      <c r="H27" s="407"/>
      <c r="I27" s="408"/>
      <c r="J27" s="409"/>
      <c r="K27" s="270"/>
      <c r="L27" s="270"/>
      <c r="M27" s="270"/>
      <c r="N27" s="270"/>
      <c r="O27" s="270"/>
      <c r="P27" s="270"/>
      <c r="Q27" s="270"/>
      <c r="R27" s="270"/>
      <c r="S27" s="270"/>
      <c r="T27" s="270"/>
    </row>
    <row r="28" spans="1:20" ht="15" customHeight="1">
      <c r="A28" s="144"/>
      <c r="B28" s="184" t="s">
        <v>587</v>
      </c>
      <c r="C28" s="184"/>
      <c r="D28" s="187"/>
      <c r="E28" s="142"/>
      <c r="F28" s="192"/>
      <c r="G28" s="415"/>
      <c r="H28" s="399"/>
      <c r="I28" s="399"/>
      <c r="J28" s="416"/>
    </row>
    <row r="29" spans="1:20" ht="15">
      <c r="A29" s="145"/>
      <c r="B29" s="184" t="s">
        <v>557</v>
      </c>
      <c r="C29" s="186"/>
      <c r="D29" s="187"/>
      <c r="E29" s="142"/>
      <c r="F29" s="192"/>
      <c r="G29" s="410"/>
      <c r="H29" s="397"/>
      <c r="I29" s="397"/>
      <c r="J29" s="411"/>
    </row>
    <row r="30" spans="1:20" ht="15">
      <c r="A30" s="145"/>
      <c r="B30" s="184" t="s">
        <v>558</v>
      </c>
      <c r="C30" s="188"/>
      <c r="D30" s="188"/>
      <c r="E30" s="142"/>
      <c r="F30" s="192"/>
      <c r="G30" s="410"/>
      <c r="H30" s="397"/>
      <c r="I30" s="397"/>
      <c r="J30" s="411"/>
    </row>
    <row r="31" spans="1:20" ht="15">
      <c r="A31" s="145"/>
      <c r="B31" s="184" t="s">
        <v>559</v>
      </c>
      <c r="C31" s="188"/>
      <c r="D31" s="188"/>
      <c r="E31" s="142"/>
      <c r="F31" s="192"/>
      <c r="G31" s="410"/>
      <c r="H31" s="397"/>
      <c r="I31" s="397"/>
      <c r="J31" s="411"/>
    </row>
    <row r="32" spans="1:20" ht="15">
      <c r="A32" s="145"/>
      <c r="B32" s="184" t="s">
        <v>560</v>
      </c>
      <c r="C32" s="186"/>
      <c r="D32" s="187"/>
      <c r="E32" s="142"/>
      <c r="F32" s="192"/>
      <c r="G32" s="410"/>
      <c r="H32" s="397"/>
      <c r="I32" s="397"/>
      <c r="J32" s="411"/>
    </row>
    <row r="33" spans="1:20" ht="15">
      <c r="A33" s="145"/>
      <c r="B33" s="184" t="s">
        <v>561</v>
      </c>
      <c r="C33" s="186"/>
      <c r="D33" s="187"/>
      <c r="E33" s="142"/>
      <c r="F33" s="192"/>
      <c r="G33" s="410"/>
      <c r="H33" s="397"/>
      <c r="I33" s="397"/>
      <c r="J33" s="411"/>
    </row>
    <row r="34" spans="1:20" ht="15.6" thickBot="1">
      <c r="A34" s="145"/>
      <c r="B34" s="185" t="s">
        <v>562</v>
      </c>
      <c r="C34" s="189"/>
      <c r="D34" s="190"/>
      <c r="E34" s="177"/>
      <c r="F34" s="193"/>
      <c r="G34" s="412"/>
      <c r="H34" s="413"/>
      <c r="I34" s="413"/>
      <c r="J34" s="414"/>
    </row>
    <row r="35" spans="1:20" ht="16.2" thickBot="1">
      <c r="A35" s="119"/>
      <c r="B35" s="178" t="s">
        <v>566</v>
      </c>
      <c r="C35" s="179"/>
      <c r="D35" s="180"/>
      <c r="E35" s="181">
        <f>SUM(E28:E34)</f>
        <v>0</v>
      </c>
      <c r="F35" s="120"/>
      <c r="G35" s="114"/>
      <c r="H35" s="113"/>
      <c r="I35" s="114"/>
      <c r="J35" s="113"/>
    </row>
    <row r="36" spans="1:20" ht="15">
      <c r="A36" s="121"/>
      <c r="B36" s="114"/>
      <c r="C36" s="114"/>
      <c r="D36" s="114"/>
      <c r="E36" s="114"/>
      <c r="F36" s="113"/>
      <c r="G36" s="114"/>
      <c r="H36" s="113"/>
      <c r="I36" s="114"/>
      <c r="J36" s="113"/>
    </row>
    <row r="37" spans="1:20" ht="15">
      <c r="A37" s="243" t="s">
        <v>588</v>
      </c>
      <c r="B37" s="114"/>
      <c r="C37" s="114"/>
      <c r="D37" s="114"/>
      <c r="E37" s="114"/>
      <c r="F37" s="113"/>
      <c r="G37" s="114"/>
      <c r="H37" s="113"/>
      <c r="I37" s="114"/>
      <c r="J37" s="113"/>
    </row>
    <row r="38" spans="1:20" s="169" customFormat="1" hidden="1">
      <c r="K38" s="269"/>
      <c r="L38" s="269"/>
      <c r="M38" s="269"/>
      <c r="N38" s="269"/>
      <c r="O38" s="269"/>
      <c r="P38" s="269"/>
      <c r="Q38" s="269"/>
      <c r="R38" s="269"/>
      <c r="S38" s="269"/>
      <c r="T38" s="269"/>
    </row>
    <row r="39" spans="1:20" s="169" customFormat="1" ht="13.2" hidden="1" thickBot="1">
      <c r="E39" s="169" t="s">
        <v>589</v>
      </c>
      <c r="F39" s="182" t="e">
        <v>#N/A</v>
      </c>
      <c r="K39" s="269"/>
      <c r="L39" s="269"/>
      <c r="M39" s="269"/>
      <c r="N39" s="269"/>
      <c r="O39" s="269"/>
      <c r="P39" s="269"/>
      <c r="Q39" s="269"/>
      <c r="R39" s="269"/>
      <c r="S39" s="269"/>
      <c r="T39" s="269"/>
    </row>
    <row r="40" spans="1:20" s="169" customFormat="1" ht="13.2" hidden="1" thickBot="1">
      <c r="E40" s="169" t="s">
        <v>590</v>
      </c>
      <c r="F40" s="183">
        <v>0</v>
      </c>
      <c r="K40" s="269"/>
      <c r="L40" s="269"/>
      <c r="M40" s="269"/>
      <c r="N40" s="269"/>
      <c r="O40" s="269"/>
      <c r="P40" s="269"/>
      <c r="Q40" s="269"/>
      <c r="R40" s="269"/>
      <c r="S40" s="269"/>
      <c r="T40" s="269"/>
    </row>
    <row r="41" spans="1:20" s="169" customFormat="1" ht="13.2" hidden="1" thickBot="1">
      <c r="E41" s="169" t="s">
        <v>591</v>
      </c>
      <c r="F41" s="182" t="e">
        <v>#N/A</v>
      </c>
      <c r="K41" s="269"/>
      <c r="L41" s="269"/>
      <c r="M41" s="269"/>
      <c r="N41" s="269"/>
      <c r="O41" s="269"/>
      <c r="P41" s="269"/>
      <c r="Q41" s="269"/>
      <c r="R41" s="269"/>
      <c r="S41" s="269"/>
      <c r="T41" s="269"/>
    </row>
    <row r="42" spans="1:20" s="169" customFormat="1" ht="13.2" hidden="1" thickBot="1">
      <c r="E42" s="169" t="s">
        <v>592</v>
      </c>
      <c r="F42" s="182" t="e">
        <v>#N/A</v>
      </c>
      <c r="K42" s="269"/>
      <c r="L42" s="269"/>
      <c r="M42" s="269"/>
      <c r="N42" s="269"/>
      <c r="O42" s="269"/>
      <c r="P42" s="269"/>
      <c r="Q42" s="269"/>
      <c r="R42" s="269"/>
      <c r="S42" s="269"/>
      <c r="T42" s="269"/>
    </row>
    <row r="43" spans="1:20" s="169" customFormat="1" hidden="1">
      <c r="K43" s="269"/>
      <c r="L43" s="269"/>
      <c r="M43" s="269"/>
      <c r="N43" s="269"/>
      <c r="O43" s="269"/>
      <c r="P43" s="269"/>
      <c r="Q43" s="269"/>
      <c r="R43" s="269"/>
      <c r="S43" s="269"/>
      <c r="T43" s="269"/>
    </row>
    <row r="44" spans="1:20" s="169" customFormat="1" ht="13.8">
      <c r="A44" s="243"/>
      <c r="K44" s="269"/>
      <c r="L44" s="269"/>
      <c r="M44" s="269"/>
      <c r="N44" s="269"/>
      <c r="O44" s="269"/>
      <c r="P44" s="269"/>
      <c r="Q44" s="269"/>
      <c r="R44" s="269"/>
      <c r="S44" s="269"/>
      <c r="T44" s="269"/>
    </row>
    <row r="45" spans="1:20" s="169" customFormat="1">
      <c r="K45" s="269"/>
      <c r="L45" s="269"/>
      <c r="M45" s="269"/>
      <c r="N45" s="269"/>
      <c r="O45" s="269"/>
      <c r="P45" s="269"/>
      <c r="Q45" s="269"/>
      <c r="R45" s="269"/>
      <c r="S45" s="269"/>
      <c r="T45" s="269"/>
    </row>
    <row r="46" spans="1:20" s="169" customFormat="1">
      <c r="K46" s="269"/>
      <c r="L46" s="269"/>
      <c r="M46" s="269"/>
      <c r="N46" s="269"/>
      <c r="O46" s="269"/>
      <c r="P46" s="269"/>
      <c r="Q46" s="269"/>
      <c r="R46" s="269"/>
      <c r="S46" s="269"/>
      <c r="T46" s="269"/>
    </row>
    <row r="47" spans="1:20" s="169" customFormat="1">
      <c r="K47" s="269"/>
      <c r="L47" s="269"/>
      <c r="M47" s="269"/>
      <c r="N47" s="269"/>
      <c r="O47" s="269"/>
      <c r="P47" s="269"/>
      <c r="Q47" s="269"/>
      <c r="R47" s="269"/>
      <c r="S47" s="269"/>
      <c r="T47" s="269"/>
    </row>
    <row r="48" spans="1:20" s="169" customFormat="1">
      <c r="K48" s="269"/>
      <c r="L48" s="269"/>
      <c r="M48" s="269"/>
      <c r="N48" s="269"/>
      <c r="O48" s="269"/>
      <c r="P48" s="269"/>
      <c r="Q48" s="269"/>
      <c r="R48" s="269"/>
      <c r="S48" s="269"/>
      <c r="T48" s="269"/>
    </row>
    <row r="49" spans="11:20" s="169" customFormat="1">
      <c r="K49" s="269"/>
      <c r="L49" s="269"/>
      <c r="M49" s="269"/>
      <c r="N49" s="269"/>
      <c r="O49" s="269"/>
      <c r="P49" s="269"/>
      <c r="Q49" s="269"/>
      <c r="R49" s="269"/>
      <c r="S49" s="269"/>
      <c r="T49" s="269"/>
    </row>
    <row r="50" spans="11:20" s="169" customFormat="1">
      <c r="K50" s="269"/>
      <c r="L50" s="269"/>
      <c r="M50" s="269"/>
      <c r="N50" s="269"/>
      <c r="O50" s="269"/>
      <c r="P50" s="269"/>
      <c r="Q50" s="269"/>
      <c r="R50" s="269"/>
      <c r="S50" s="269"/>
      <c r="T50" s="269"/>
    </row>
    <row r="51" spans="11:20" s="169" customFormat="1">
      <c r="K51" s="269"/>
      <c r="L51" s="269"/>
      <c r="M51" s="269"/>
      <c r="N51" s="269"/>
      <c r="O51" s="269"/>
      <c r="P51" s="269"/>
      <c r="Q51" s="269"/>
      <c r="R51" s="269"/>
      <c r="S51" s="269"/>
      <c r="T51" s="269"/>
    </row>
    <row r="52" spans="11:20" s="169" customFormat="1">
      <c r="K52" s="269"/>
      <c r="L52" s="269"/>
      <c r="M52" s="269"/>
      <c r="N52" s="269"/>
      <c r="O52" s="269"/>
      <c r="P52" s="269"/>
      <c r="Q52" s="269"/>
      <c r="R52" s="269"/>
      <c r="S52" s="269"/>
      <c r="T52" s="269"/>
    </row>
    <row r="53" spans="11:20" s="169" customFormat="1">
      <c r="K53" s="269"/>
      <c r="L53" s="269"/>
      <c r="M53" s="269"/>
      <c r="N53" s="269"/>
      <c r="O53" s="269"/>
      <c r="P53" s="269"/>
      <c r="Q53" s="269"/>
      <c r="R53" s="269"/>
      <c r="S53" s="269"/>
      <c r="T53" s="269"/>
    </row>
    <row r="54" spans="11:20" s="169" customFormat="1">
      <c r="K54" s="269"/>
      <c r="L54" s="269"/>
      <c r="M54" s="269"/>
      <c r="N54" s="269"/>
      <c r="O54" s="269"/>
      <c r="P54" s="269"/>
      <c r="Q54" s="269"/>
      <c r="R54" s="269"/>
      <c r="S54" s="269"/>
      <c r="T54" s="269"/>
    </row>
    <row r="55" spans="11:20" s="169" customFormat="1">
      <c r="K55" s="269"/>
      <c r="L55" s="269"/>
      <c r="M55" s="269"/>
      <c r="N55" s="269"/>
      <c r="O55" s="269"/>
      <c r="P55" s="269"/>
      <c r="Q55" s="269"/>
      <c r="R55" s="269"/>
      <c r="S55" s="269"/>
      <c r="T55" s="269"/>
    </row>
    <row r="56" spans="11:20" s="169" customFormat="1">
      <c r="K56" s="269"/>
      <c r="L56" s="269"/>
      <c r="M56" s="269"/>
      <c r="N56" s="269"/>
      <c r="O56" s="269"/>
      <c r="P56" s="269"/>
      <c r="Q56" s="269"/>
      <c r="R56" s="269"/>
      <c r="S56" s="269"/>
      <c r="T56" s="269"/>
    </row>
    <row r="57" spans="11:20" s="169" customFormat="1">
      <c r="K57" s="269"/>
      <c r="L57" s="269"/>
      <c r="M57" s="269"/>
      <c r="N57" s="269"/>
      <c r="O57" s="269"/>
      <c r="P57" s="269"/>
      <c r="Q57" s="269"/>
      <c r="R57" s="269"/>
      <c r="S57" s="269"/>
      <c r="T57" s="269"/>
    </row>
    <row r="58" spans="11:20" s="169" customFormat="1">
      <c r="K58" s="269"/>
      <c r="L58" s="269"/>
      <c r="M58" s="269"/>
      <c r="N58" s="269"/>
      <c r="O58" s="269"/>
      <c r="P58" s="269"/>
      <c r="Q58" s="269"/>
      <c r="R58" s="269"/>
      <c r="S58" s="269"/>
      <c r="T58" s="269"/>
    </row>
    <row r="59" spans="11:20" s="169" customFormat="1">
      <c r="K59" s="269"/>
      <c r="L59" s="269"/>
      <c r="M59" s="269"/>
      <c r="N59" s="269"/>
      <c r="O59" s="269"/>
      <c r="P59" s="269"/>
      <c r="Q59" s="269"/>
      <c r="R59" s="269"/>
      <c r="S59" s="269"/>
      <c r="T59" s="269"/>
    </row>
    <row r="60" spans="11:20" s="169" customFormat="1">
      <c r="K60" s="269"/>
      <c r="L60" s="269"/>
      <c r="M60" s="269"/>
      <c r="N60" s="269"/>
      <c r="O60" s="269"/>
      <c r="P60" s="269"/>
      <c r="Q60" s="269"/>
      <c r="R60" s="269"/>
      <c r="S60" s="269"/>
      <c r="T60" s="269"/>
    </row>
    <row r="61" spans="11:20" s="169" customFormat="1">
      <c r="K61" s="269"/>
      <c r="L61" s="269"/>
      <c r="M61" s="269"/>
      <c r="N61" s="269"/>
      <c r="O61" s="269"/>
      <c r="P61" s="269"/>
      <c r="Q61" s="269"/>
      <c r="R61" s="269"/>
      <c r="S61" s="269"/>
      <c r="T61" s="269"/>
    </row>
    <row r="62" spans="11:20" s="169" customFormat="1">
      <c r="K62" s="269"/>
      <c r="L62" s="269"/>
      <c r="M62" s="269"/>
      <c r="N62" s="269"/>
      <c r="O62" s="269"/>
      <c r="P62" s="269"/>
      <c r="Q62" s="269"/>
      <c r="R62" s="269"/>
      <c r="S62" s="269"/>
      <c r="T62" s="269"/>
    </row>
    <row r="63" spans="11:20" s="169" customFormat="1">
      <c r="K63" s="269"/>
      <c r="L63" s="269"/>
      <c r="M63" s="269"/>
      <c r="N63" s="269"/>
      <c r="O63" s="269"/>
      <c r="P63" s="269"/>
      <c r="Q63" s="269"/>
      <c r="R63" s="269"/>
      <c r="S63" s="269"/>
      <c r="T63" s="269"/>
    </row>
    <row r="64" spans="11:20" s="169" customFormat="1">
      <c r="K64" s="269"/>
      <c r="L64" s="269"/>
      <c r="M64" s="269"/>
      <c r="N64" s="269"/>
      <c r="O64" s="269"/>
      <c r="P64" s="269"/>
      <c r="Q64" s="269"/>
      <c r="R64" s="269"/>
      <c r="S64" s="269"/>
      <c r="T64" s="269"/>
    </row>
    <row r="65" spans="11:20" s="169" customFormat="1">
      <c r="K65" s="269"/>
      <c r="L65" s="269"/>
      <c r="M65" s="269"/>
      <c r="N65" s="269"/>
      <c r="O65" s="269"/>
      <c r="P65" s="269"/>
      <c r="Q65" s="269"/>
      <c r="R65" s="269"/>
      <c r="S65" s="269"/>
      <c r="T65" s="269"/>
    </row>
    <row r="66" spans="11:20" s="169" customFormat="1">
      <c r="K66" s="269"/>
      <c r="L66" s="269"/>
      <c r="M66" s="269"/>
      <c r="N66" s="269"/>
      <c r="O66" s="269"/>
      <c r="P66" s="269"/>
      <c r="Q66" s="269"/>
      <c r="R66" s="269"/>
      <c r="S66" s="269"/>
      <c r="T66" s="269"/>
    </row>
    <row r="67" spans="11:20" s="169" customFormat="1">
      <c r="K67" s="269"/>
      <c r="L67" s="269"/>
      <c r="M67" s="269"/>
      <c r="N67" s="269"/>
      <c r="O67" s="269"/>
      <c r="P67" s="269"/>
      <c r="Q67" s="269"/>
      <c r="R67" s="269"/>
      <c r="S67" s="269"/>
      <c r="T67" s="269"/>
    </row>
    <row r="68" spans="11:20" s="169" customFormat="1">
      <c r="K68" s="269"/>
      <c r="L68" s="269"/>
      <c r="M68" s="269"/>
      <c r="N68" s="269"/>
      <c r="O68" s="269"/>
      <c r="P68" s="269"/>
      <c r="Q68" s="269"/>
      <c r="R68" s="269"/>
      <c r="S68" s="269"/>
      <c r="T68" s="269"/>
    </row>
    <row r="69" spans="11:20" s="169" customFormat="1">
      <c r="K69" s="269"/>
      <c r="L69" s="269"/>
      <c r="M69" s="269"/>
      <c r="N69" s="269"/>
      <c r="O69" s="269"/>
      <c r="P69" s="269"/>
      <c r="Q69" s="269"/>
      <c r="R69" s="269"/>
      <c r="S69" s="269"/>
      <c r="T69" s="269"/>
    </row>
    <row r="70" spans="11:20" s="169" customFormat="1">
      <c r="K70" s="269"/>
      <c r="L70" s="269"/>
      <c r="M70" s="269"/>
      <c r="N70" s="269"/>
      <c r="O70" s="269"/>
      <c r="P70" s="269"/>
      <c r="Q70" s="269"/>
      <c r="R70" s="269"/>
      <c r="S70" s="269"/>
      <c r="T70" s="269"/>
    </row>
    <row r="71" spans="11:20" s="169" customFormat="1">
      <c r="K71" s="269"/>
      <c r="L71" s="269"/>
      <c r="M71" s="269"/>
      <c r="N71" s="269"/>
      <c r="O71" s="269"/>
      <c r="P71" s="269"/>
      <c r="Q71" s="269"/>
      <c r="R71" s="269"/>
      <c r="S71" s="269"/>
      <c r="T71" s="269"/>
    </row>
    <row r="72" spans="11:20" s="169" customFormat="1">
      <c r="K72" s="269"/>
      <c r="L72" s="269"/>
      <c r="M72" s="269"/>
      <c r="N72" s="269"/>
      <c r="O72" s="269"/>
      <c r="P72" s="269"/>
      <c r="Q72" s="269"/>
      <c r="R72" s="269"/>
      <c r="S72" s="269"/>
      <c r="T72" s="269"/>
    </row>
    <row r="73" spans="11:20" s="169" customFormat="1">
      <c r="K73" s="269"/>
      <c r="L73" s="269"/>
      <c r="M73" s="269"/>
      <c r="N73" s="269"/>
      <c r="O73" s="269"/>
      <c r="P73" s="269"/>
      <c r="Q73" s="269"/>
      <c r="R73" s="269"/>
      <c r="S73" s="269"/>
      <c r="T73" s="269"/>
    </row>
    <row r="74" spans="11:20" s="169" customFormat="1">
      <c r="K74" s="269"/>
      <c r="L74" s="269"/>
      <c r="M74" s="269"/>
      <c r="N74" s="269"/>
      <c r="O74" s="269"/>
      <c r="P74" s="269"/>
      <c r="Q74" s="269"/>
      <c r="R74" s="269"/>
      <c r="S74" s="269"/>
      <c r="T74" s="269"/>
    </row>
    <row r="75" spans="11:20" s="169" customFormat="1">
      <c r="K75" s="269"/>
      <c r="L75" s="269"/>
      <c r="M75" s="269"/>
      <c r="N75" s="269"/>
      <c r="O75" s="269"/>
      <c r="P75" s="269"/>
      <c r="Q75" s="269"/>
      <c r="R75" s="269"/>
      <c r="S75" s="269"/>
      <c r="T75" s="269"/>
    </row>
    <row r="76" spans="11:20" s="169" customFormat="1">
      <c r="K76" s="269"/>
      <c r="L76" s="269"/>
      <c r="M76" s="269"/>
      <c r="N76" s="269"/>
      <c r="O76" s="269"/>
      <c r="P76" s="269"/>
      <c r="Q76" s="269"/>
      <c r="R76" s="269"/>
      <c r="S76" s="269"/>
      <c r="T76" s="269"/>
    </row>
    <row r="77" spans="11:20" s="169" customFormat="1">
      <c r="K77" s="269"/>
      <c r="L77" s="269"/>
      <c r="M77" s="269"/>
      <c r="N77" s="269"/>
      <c r="O77" s="269"/>
      <c r="P77" s="269"/>
      <c r="Q77" s="269"/>
      <c r="R77" s="269"/>
      <c r="S77" s="269"/>
      <c r="T77" s="269"/>
    </row>
    <row r="78" spans="11:20" s="169" customFormat="1">
      <c r="K78" s="269"/>
      <c r="L78" s="269"/>
      <c r="M78" s="269"/>
      <c r="N78" s="269"/>
      <c r="O78" s="269"/>
      <c r="P78" s="269"/>
      <c r="Q78" s="269"/>
      <c r="R78" s="269"/>
      <c r="S78" s="269"/>
      <c r="T78" s="269"/>
    </row>
    <row r="79" spans="11:20" s="169" customFormat="1">
      <c r="K79" s="269"/>
      <c r="L79" s="269"/>
      <c r="M79" s="269"/>
      <c r="N79" s="269"/>
      <c r="O79" s="269"/>
      <c r="P79" s="269"/>
      <c r="Q79" s="269"/>
      <c r="R79" s="269"/>
      <c r="S79" s="269"/>
      <c r="T79" s="269"/>
    </row>
    <row r="80" spans="11:20" s="169" customFormat="1">
      <c r="K80" s="269"/>
      <c r="L80" s="269"/>
      <c r="M80" s="269"/>
      <c r="N80" s="269"/>
      <c r="O80" s="269"/>
      <c r="P80" s="269"/>
      <c r="Q80" s="269"/>
      <c r="R80" s="269"/>
      <c r="S80" s="269"/>
      <c r="T80" s="269"/>
    </row>
    <row r="81" spans="11:20" s="169" customFormat="1">
      <c r="K81" s="269"/>
      <c r="L81" s="269"/>
      <c r="M81" s="269"/>
      <c r="N81" s="269"/>
      <c r="O81" s="269"/>
      <c r="P81" s="269"/>
      <c r="Q81" s="269"/>
      <c r="R81" s="269"/>
      <c r="S81" s="269"/>
      <c r="T81" s="269"/>
    </row>
    <row r="82" spans="11:20" s="169" customFormat="1">
      <c r="K82" s="269"/>
      <c r="L82" s="269"/>
      <c r="M82" s="269"/>
      <c r="N82" s="269"/>
      <c r="O82" s="269"/>
      <c r="P82" s="269"/>
      <c r="Q82" s="269"/>
      <c r="R82" s="269"/>
      <c r="S82" s="269"/>
      <c r="T82" s="269"/>
    </row>
    <row r="83" spans="11:20" s="169" customFormat="1">
      <c r="K83" s="269"/>
      <c r="L83" s="269"/>
      <c r="M83" s="269"/>
      <c r="N83" s="269"/>
      <c r="O83" s="269"/>
      <c r="P83" s="269"/>
      <c r="Q83" s="269"/>
      <c r="R83" s="269"/>
      <c r="S83" s="269"/>
      <c r="T83" s="269"/>
    </row>
    <row r="84" spans="11:20" s="169" customFormat="1">
      <c r="K84" s="269"/>
      <c r="L84" s="269"/>
      <c r="M84" s="269"/>
      <c r="N84" s="269"/>
      <c r="O84" s="269"/>
      <c r="P84" s="269"/>
      <c r="Q84" s="269"/>
      <c r="R84" s="269"/>
      <c r="S84" s="269"/>
      <c r="T84" s="269"/>
    </row>
    <row r="85" spans="11:20" s="169" customFormat="1">
      <c r="K85" s="269"/>
      <c r="L85" s="269"/>
      <c r="M85" s="269"/>
      <c r="N85" s="269"/>
      <c r="O85" s="269"/>
      <c r="P85" s="269"/>
      <c r="Q85" s="269"/>
      <c r="R85" s="269"/>
      <c r="S85" s="269"/>
      <c r="T85" s="269"/>
    </row>
    <row r="86" spans="11:20" s="169" customFormat="1">
      <c r="K86" s="269"/>
      <c r="L86" s="269"/>
      <c r="M86" s="269"/>
      <c r="N86" s="269"/>
      <c r="O86" s="269"/>
      <c r="P86" s="269"/>
      <c r="Q86" s="269"/>
      <c r="R86" s="269"/>
      <c r="S86" s="269"/>
      <c r="T86" s="269"/>
    </row>
    <row r="87" spans="11:20" s="169" customFormat="1">
      <c r="K87" s="269"/>
      <c r="L87" s="269"/>
      <c r="M87" s="269"/>
      <c r="N87" s="269"/>
      <c r="O87" s="269"/>
      <c r="P87" s="269"/>
      <c r="Q87" s="269"/>
      <c r="R87" s="269"/>
      <c r="S87" s="269"/>
      <c r="T87" s="269"/>
    </row>
    <row r="88" spans="11:20" s="169" customFormat="1">
      <c r="K88" s="269"/>
      <c r="L88" s="269"/>
      <c r="M88" s="269"/>
      <c r="N88" s="269"/>
      <c r="O88" s="269"/>
      <c r="P88" s="269"/>
      <c r="Q88" s="269"/>
      <c r="R88" s="269"/>
      <c r="S88" s="269"/>
      <c r="T88" s="269"/>
    </row>
    <row r="89" spans="11:20" s="169" customFormat="1">
      <c r="K89" s="269"/>
      <c r="L89" s="269"/>
      <c r="M89" s="269"/>
      <c r="N89" s="269"/>
      <c r="O89" s="269"/>
      <c r="P89" s="269"/>
      <c r="Q89" s="269"/>
      <c r="R89" s="269"/>
      <c r="S89" s="269"/>
      <c r="T89" s="269"/>
    </row>
    <row r="90" spans="11:20" s="169" customFormat="1">
      <c r="K90" s="269"/>
      <c r="L90" s="269"/>
      <c r="M90" s="269"/>
      <c r="N90" s="269"/>
      <c r="O90" s="269"/>
      <c r="P90" s="269"/>
      <c r="Q90" s="269"/>
      <c r="R90" s="269"/>
      <c r="S90" s="269"/>
      <c r="T90" s="269"/>
    </row>
    <row r="91" spans="11:20" s="169" customFormat="1">
      <c r="K91" s="269"/>
      <c r="L91" s="269"/>
      <c r="M91" s="269"/>
      <c r="N91" s="269"/>
      <c r="O91" s="269"/>
      <c r="P91" s="269"/>
      <c r="Q91" s="269"/>
      <c r="R91" s="269"/>
      <c r="S91" s="269"/>
      <c r="T91" s="269"/>
    </row>
    <row r="92" spans="11:20" s="169" customFormat="1">
      <c r="K92" s="269"/>
      <c r="L92" s="269"/>
      <c r="M92" s="269"/>
      <c r="N92" s="269"/>
      <c r="O92" s="269"/>
      <c r="P92" s="269"/>
      <c r="Q92" s="269"/>
      <c r="R92" s="269"/>
      <c r="S92" s="269"/>
      <c r="T92" s="269"/>
    </row>
    <row r="93" spans="11:20" s="169" customFormat="1">
      <c r="K93" s="269"/>
      <c r="L93" s="269"/>
      <c r="M93" s="269"/>
      <c r="N93" s="269"/>
      <c r="O93" s="269"/>
      <c r="P93" s="269"/>
      <c r="Q93" s="269"/>
      <c r="R93" s="269"/>
      <c r="S93" s="269"/>
      <c r="T93" s="269"/>
    </row>
  </sheetData>
  <mergeCells count="11">
    <mergeCell ref="A2:J2"/>
    <mergeCell ref="A3:I3"/>
    <mergeCell ref="B27:D27"/>
    <mergeCell ref="G27:J27"/>
    <mergeCell ref="G32:J32"/>
    <mergeCell ref="G33:J33"/>
    <mergeCell ref="G34:J34"/>
    <mergeCell ref="G28:J28"/>
    <mergeCell ref="G29:J29"/>
    <mergeCell ref="G30:J30"/>
    <mergeCell ref="G31:J31"/>
  </mergeCells>
  <phoneticPr fontId="11" type="noConversion"/>
  <pageMargins left="0.15748031496062992" right="0.15748031496062992" top="0.39370078740157483" bottom="0.39370078740157483" header="0.51181102362204722" footer="0.51181102362204722"/>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3" tint="0.39997558519241921"/>
    <pageSetUpPr fitToPage="1"/>
  </sheetPr>
  <dimension ref="A1:N56"/>
  <sheetViews>
    <sheetView workbookViewId="0">
      <selection activeCell="I21" sqref="I21"/>
    </sheetView>
  </sheetViews>
  <sheetFormatPr defaultRowHeight="13.2"/>
  <cols>
    <col min="9" max="11" width="15.88671875" style="161" customWidth="1"/>
    <col min="12" max="12" width="2.5546875" customWidth="1"/>
  </cols>
  <sheetData>
    <row r="1" spans="1:12" ht="15.6">
      <c r="A1" s="422" t="s">
        <v>593</v>
      </c>
      <c r="B1" s="422"/>
      <c r="C1" s="422"/>
      <c r="D1" s="422"/>
      <c r="E1" s="422"/>
      <c r="F1" s="422"/>
      <c r="G1" s="422"/>
      <c r="H1" s="422"/>
      <c r="I1" s="422"/>
      <c r="J1" s="422"/>
      <c r="K1"/>
    </row>
    <row r="2" spans="1:12" ht="13.8" thickBot="1"/>
    <row r="3" spans="1:12">
      <c r="A3" s="285" t="s">
        <v>594</v>
      </c>
      <c r="B3" s="277"/>
      <c r="C3" s="277"/>
      <c r="D3" s="277"/>
      <c r="E3" s="277"/>
      <c r="F3" s="277"/>
      <c r="G3" s="277"/>
      <c r="H3" s="277"/>
      <c r="I3" s="287"/>
      <c r="J3" s="287"/>
      <c r="K3" s="287"/>
      <c r="L3" s="278"/>
    </row>
    <row r="4" spans="1:12">
      <c r="A4" s="286" t="s">
        <v>595</v>
      </c>
      <c r="B4" s="280"/>
      <c r="C4" s="280"/>
      <c r="D4" s="280"/>
      <c r="E4" s="280"/>
      <c r="F4" s="280"/>
      <c r="G4" s="280"/>
      <c r="H4" s="280"/>
      <c r="I4" s="288"/>
      <c r="J4" s="288"/>
      <c r="K4" s="288"/>
      <c r="L4" s="281"/>
    </row>
    <row r="5" spans="1:12">
      <c r="A5" s="286" t="s">
        <v>596</v>
      </c>
      <c r="B5" s="280"/>
      <c r="C5" s="280"/>
      <c r="D5" s="280"/>
      <c r="E5" s="280"/>
      <c r="F5" s="280"/>
      <c r="G5" s="280"/>
      <c r="H5" s="280"/>
      <c r="I5" s="288"/>
      <c r="J5" s="288"/>
      <c r="K5" s="288"/>
      <c r="L5" s="281"/>
    </row>
    <row r="6" spans="1:12">
      <c r="A6" s="286" t="s">
        <v>597</v>
      </c>
      <c r="B6" s="280"/>
      <c r="C6" s="280"/>
      <c r="D6" s="280"/>
      <c r="E6" s="280"/>
      <c r="F6" s="280"/>
      <c r="G6" s="280"/>
      <c r="H6" s="280"/>
      <c r="I6" s="288"/>
      <c r="J6" s="288"/>
      <c r="K6" s="288"/>
      <c r="L6" s="281"/>
    </row>
    <row r="7" spans="1:12">
      <c r="A7" s="279"/>
      <c r="B7" s="280"/>
      <c r="C7" s="280"/>
      <c r="D7" s="280"/>
      <c r="E7" s="280"/>
      <c r="F7" s="280"/>
      <c r="G7" s="280"/>
      <c r="H7" s="280"/>
      <c r="I7" s="288"/>
      <c r="J7" s="288"/>
      <c r="K7" s="288"/>
      <c r="L7" s="281"/>
    </row>
    <row r="8" spans="1:12">
      <c r="A8" s="279"/>
      <c r="B8" s="280"/>
      <c r="C8" s="280"/>
      <c r="D8" s="280"/>
      <c r="E8" s="280"/>
      <c r="F8" s="280"/>
      <c r="G8" s="280"/>
      <c r="H8" s="280"/>
      <c r="I8" s="288"/>
      <c r="J8" s="288"/>
      <c r="K8" s="288"/>
      <c r="L8" s="281"/>
    </row>
    <row r="9" spans="1:12">
      <c r="A9" s="279"/>
      <c r="B9" s="280"/>
      <c r="C9" s="280"/>
      <c r="D9" s="280"/>
      <c r="E9" s="280"/>
      <c r="F9" s="280"/>
      <c r="G9" s="280"/>
      <c r="H9" s="280"/>
      <c r="I9" s="288"/>
      <c r="J9" s="288"/>
      <c r="K9" s="288"/>
      <c r="L9" s="281"/>
    </row>
    <row r="10" spans="1:12">
      <c r="A10" s="279"/>
      <c r="B10" s="280"/>
      <c r="C10" s="280"/>
      <c r="D10" s="280"/>
      <c r="E10" s="280"/>
      <c r="F10" s="280"/>
      <c r="G10" s="280"/>
      <c r="H10" s="280"/>
      <c r="I10" s="288"/>
      <c r="J10" s="288"/>
      <c r="K10" s="288"/>
      <c r="L10" s="281"/>
    </row>
    <row r="11" spans="1:12">
      <c r="A11" s="279"/>
      <c r="B11" s="280"/>
      <c r="C11" s="280"/>
      <c r="D11" s="280"/>
      <c r="E11" s="280"/>
      <c r="F11" s="280"/>
      <c r="G11" s="280"/>
      <c r="H11" s="280"/>
      <c r="I11" s="288"/>
      <c r="J11" s="288"/>
      <c r="K11" s="288"/>
      <c r="L11" s="281"/>
    </row>
    <row r="12" spans="1:12">
      <c r="A12" s="279"/>
      <c r="B12" s="280"/>
      <c r="C12" s="280"/>
      <c r="D12" s="280"/>
      <c r="E12" s="280"/>
      <c r="F12" s="280"/>
      <c r="G12" s="280"/>
      <c r="H12" s="280"/>
      <c r="I12" s="288"/>
      <c r="J12" s="288"/>
      <c r="K12" s="288"/>
      <c r="L12" s="281"/>
    </row>
    <row r="13" spans="1:12" ht="13.8" thickBot="1">
      <c r="A13" s="282"/>
      <c r="B13" s="283"/>
      <c r="C13" s="283"/>
      <c r="D13" s="283"/>
      <c r="E13" s="283"/>
      <c r="F13" s="283"/>
      <c r="G13" s="283"/>
      <c r="H13" s="283"/>
      <c r="I13" s="289"/>
      <c r="J13" s="289"/>
      <c r="K13" s="289"/>
      <c r="L13" s="284"/>
    </row>
    <row r="14" spans="1:12" ht="13.8" thickBot="1"/>
    <row r="15" spans="1:12" ht="13.8" thickBot="1">
      <c r="I15" s="295" t="s">
        <v>598</v>
      </c>
      <c r="J15" s="295" t="s">
        <v>599</v>
      </c>
      <c r="K15" s="295" t="s">
        <v>600</v>
      </c>
    </row>
    <row r="16" spans="1:12" ht="5.0999999999999996" customHeight="1"/>
    <row r="17" spans="1:14" ht="5.0999999999999996" customHeight="1"/>
    <row r="18" spans="1:14">
      <c r="A18" s="218" t="s">
        <v>601</v>
      </c>
    </row>
    <row r="19" spans="1:14" ht="5.4" customHeight="1"/>
    <row r="20" spans="1:14">
      <c r="A20" s="257" t="s">
        <v>602</v>
      </c>
      <c r="I20" s="291"/>
      <c r="J20" s="291"/>
      <c r="K20" s="291"/>
      <c r="N20" s="290"/>
    </row>
    <row r="21" spans="1:14" ht="13.8" thickBot="1">
      <c r="A21" s="257" t="s">
        <v>603</v>
      </c>
      <c r="I21" s="292"/>
      <c r="J21" s="292"/>
      <c r="K21" s="292"/>
    </row>
    <row r="22" spans="1:14" ht="13.8" thickBot="1">
      <c r="A22" s="155" t="s">
        <v>604</v>
      </c>
      <c r="I22" s="293" t="e">
        <f>I20/I21</f>
        <v>#DIV/0!</v>
      </c>
      <c r="J22" s="293" t="e">
        <f>J20/J21</f>
        <v>#DIV/0!</v>
      </c>
      <c r="K22" s="293" t="e">
        <f>K20/K21</f>
        <v>#DIV/0!</v>
      </c>
    </row>
    <row r="25" spans="1:14">
      <c r="A25" s="218" t="s">
        <v>605</v>
      </c>
    </row>
    <row r="26" spans="1:14" ht="5.0999999999999996" customHeight="1"/>
    <row r="27" spans="1:14">
      <c r="A27" s="257" t="s">
        <v>602</v>
      </c>
      <c r="I27" s="294">
        <f>I20</f>
        <v>0</v>
      </c>
      <c r="J27" s="294">
        <f>J20</f>
        <v>0</v>
      </c>
      <c r="K27" s="294">
        <f>K20</f>
        <v>0</v>
      </c>
      <c r="N27" s="290"/>
    </row>
    <row r="28" spans="1:14" ht="13.8" thickBot="1">
      <c r="A28" s="257" t="s">
        <v>606</v>
      </c>
      <c r="I28" s="292"/>
      <c r="J28" s="292"/>
      <c r="K28" s="292"/>
    </row>
    <row r="29" spans="1:14" ht="13.8" thickBot="1">
      <c r="A29" s="155" t="s">
        <v>607</v>
      </c>
      <c r="I29" s="293" t="e">
        <f>I27/I28</f>
        <v>#DIV/0!</v>
      </c>
      <c r="J29" s="293" t="e">
        <f>J27/J28</f>
        <v>#DIV/0!</v>
      </c>
      <c r="K29" s="293" t="e">
        <f>K27/K28</f>
        <v>#DIV/0!</v>
      </c>
    </row>
    <row r="32" spans="1:14">
      <c r="A32" s="218" t="s">
        <v>608</v>
      </c>
    </row>
    <row r="33" spans="1:1" ht="5.0999999999999996" customHeight="1"/>
    <row r="38" spans="1:1">
      <c r="A38" s="290" t="s">
        <v>609</v>
      </c>
    </row>
    <row r="44" spans="1:1">
      <c r="A44" t="s">
        <v>610</v>
      </c>
    </row>
    <row r="45" spans="1:1">
      <c r="A45" t="s">
        <v>611</v>
      </c>
    </row>
    <row r="46" spans="1:1">
      <c r="A46" t="s">
        <v>612</v>
      </c>
    </row>
    <row r="47" spans="1:1">
      <c r="A47" t="s">
        <v>613</v>
      </c>
    </row>
    <row r="48" spans="1:1">
      <c r="A48" t="s">
        <v>614</v>
      </c>
    </row>
    <row r="49" spans="1:1">
      <c r="A49" t="s">
        <v>615</v>
      </c>
    </row>
    <row r="50" spans="1:1">
      <c r="A50" t="s">
        <v>616</v>
      </c>
    </row>
    <row r="51" spans="1:1">
      <c r="A51" t="s">
        <v>617</v>
      </c>
    </row>
    <row r="52" spans="1:1">
      <c r="A52" t="s">
        <v>618</v>
      </c>
    </row>
    <row r="53" spans="1:1">
      <c r="A53" t="s">
        <v>619</v>
      </c>
    </row>
    <row r="54" spans="1:1">
      <c r="A54" t="s">
        <v>620</v>
      </c>
    </row>
    <row r="55" spans="1:1">
      <c r="A55" t="s">
        <v>621</v>
      </c>
    </row>
    <row r="56" spans="1:1">
      <c r="A56" t="s">
        <v>622</v>
      </c>
    </row>
  </sheetData>
  <mergeCells count="1">
    <mergeCell ref="A1:J1"/>
  </mergeCells>
  <pageMargins left="0.25" right="0.25"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Z124"/>
  <sheetViews>
    <sheetView zoomScaleNormal="100" workbookViewId="0">
      <selection activeCell="H24" sqref="H24"/>
    </sheetView>
  </sheetViews>
  <sheetFormatPr defaultColWidth="9.109375" defaultRowHeight="13.2"/>
  <cols>
    <col min="1" max="1" width="11.109375" style="18" customWidth="1"/>
    <col min="2" max="2" width="7" style="18" bestFit="1" customWidth="1"/>
    <col min="3" max="3" width="44.88671875" style="18" bestFit="1" customWidth="1"/>
    <col min="4" max="4" width="12.6640625" style="196" bestFit="1" customWidth="1"/>
    <col min="5" max="5" width="13.6640625" style="197" bestFit="1" customWidth="1"/>
    <col min="6" max="6" width="12" style="18" customWidth="1"/>
    <col min="7" max="7" width="12" style="18" bestFit="1" customWidth="1"/>
    <col min="8" max="179" width="12.6640625" style="18" customWidth="1"/>
    <col min="180" max="180" width="9.109375" style="18" customWidth="1"/>
    <col min="181" max="181" width="10.5546875" style="18" customWidth="1"/>
    <col min="182" max="182" width="11.6640625" style="18" customWidth="1"/>
    <col min="183" max="183" width="9.109375" style="18" customWidth="1"/>
    <col min="184" max="16384" width="9.109375" style="18"/>
  </cols>
  <sheetData>
    <row r="1" spans="1:182" ht="12.75" customHeight="1">
      <c r="S1" s="27" t="s">
        <v>623</v>
      </c>
      <c r="BI1" s="423" t="s">
        <v>624</v>
      </c>
      <c r="BJ1" s="423"/>
      <c r="BK1" s="423"/>
      <c r="BL1" s="423"/>
      <c r="BM1" s="423"/>
      <c r="BN1" s="423"/>
      <c r="BO1" s="423"/>
      <c r="BP1" s="423"/>
      <c r="BQ1" s="423"/>
      <c r="BR1" s="424" t="s">
        <v>625</v>
      </c>
      <c r="BS1" s="424"/>
      <c r="BT1" s="424"/>
      <c r="BU1" s="424"/>
      <c r="BV1" s="425" t="s">
        <v>626</v>
      </c>
      <c r="BW1" s="426"/>
      <c r="BX1" s="426"/>
      <c r="BY1" s="426"/>
      <c r="BZ1" s="426"/>
      <c r="CA1" s="426"/>
      <c r="CB1" s="426"/>
      <c r="CC1" s="426"/>
      <c r="CD1" s="426"/>
      <c r="CE1" s="426"/>
      <c r="CF1" s="426"/>
      <c r="CG1" s="426"/>
      <c r="CH1" s="426"/>
      <c r="CI1" s="426"/>
      <c r="CJ1" s="426"/>
      <c r="CK1" s="426"/>
      <c r="CL1" s="426"/>
      <c r="CM1" s="426"/>
      <c r="CN1" s="426"/>
    </row>
    <row r="2" spans="1:182" s="198" customFormat="1" ht="26.4">
      <c r="A2" s="198" t="s">
        <v>627</v>
      </c>
      <c r="B2" s="198" t="s">
        <v>628</v>
      </c>
      <c r="C2" s="199" t="s">
        <v>547</v>
      </c>
      <c r="D2" s="199" t="s">
        <v>590</v>
      </c>
      <c r="E2" s="198" t="s">
        <v>629</v>
      </c>
      <c r="F2" s="198" t="s">
        <v>55</v>
      </c>
      <c r="G2" s="198" t="s">
        <v>58</v>
      </c>
      <c r="H2" s="198" t="s">
        <v>61</v>
      </c>
      <c r="I2" s="198" t="s">
        <v>64</v>
      </c>
      <c r="J2" s="198" t="s">
        <v>67</v>
      </c>
      <c r="K2" s="198" t="s">
        <v>70</v>
      </c>
      <c r="L2" s="198" t="s">
        <v>73</v>
      </c>
      <c r="M2" s="198" t="s">
        <v>76</v>
      </c>
      <c r="N2" s="198" t="s">
        <v>79</v>
      </c>
      <c r="O2" s="198" t="s">
        <v>82</v>
      </c>
      <c r="P2" s="198" t="s">
        <v>85</v>
      </c>
      <c r="Q2" s="198" t="s">
        <v>88</v>
      </c>
      <c r="R2" s="198" t="s">
        <v>91</v>
      </c>
      <c r="S2" s="198" t="s">
        <v>94</v>
      </c>
      <c r="T2" s="198" t="s">
        <v>96</v>
      </c>
      <c r="U2" s="198" t="s">
        <v>98</v>
      </c>
      <c r="V2" s="198" t="s">
        <v>100</v>
      </c>
      <c r="W2" s="198" t="s">
        <v>102</v>
      </c>
      <c r="X2" s="198" t="s">
        <v>104</v>
      </c>
      <c r="Y2" s="198" t="s">
        <v>27</v>
      </c>
      <c r="Z2" s="198" t="s">
        <v>107</v>
      </c>
      <c r="AA2" s="198" t="s">
        <v>110</v>
      </c>
      <c r="AB2" s="198" t="s">
        <v>113</v>
      </c>
      <c r="AC2" s="198" t="s">
        <v>116</v>
      </c>
      <c r="AD2" s="198" t="s">
        <v>119</v>
      </c>
      <c r="AE2" s="198" t="s">
        <v>122</v>
      </c>
      <c r="AF2" s="198" t="s">
        <v>125</v>
      </c>
      <c r="AG2" s="198" t="s">
        <v>128</v>
      </c>
      <c r="AH2" s="198" t="s">
        <v>131</v>
      </c>
      <c r="AI2" s="198" t="s">
        <v>134</v>
      </c>
      <c r="AJ2" s="198" t="s">
        <v>137</v>
      </c>
      <c r="AK2" s="198" t="s">
        <v>140</v>
      </c>
      <c r="AL2" s="198" t="s">
        <v>143</v>
      </c>
      <c r="AM2" s="198" t="s">
        <v>146</v>
      </c>
      <c r="AN2" s="198" t="s">
        <v>149</v>
      </c>
      <c r="AO2" s="198" t="s">
        <v>152</v>
      </c>
      <c r="AP2" s="198" t="s">
        <v>155</v>
      </c>
      <c r="AQ2" s="198" t="s">
        <v>158</v>
      </c>
      <c r="AR2" s="198" t="s">
        <v>161</v>
      </c>
      <c r="AS2" s="198" t="s">
        <v>164</v>
      </c>
      <c r="AT2" s="198" t="s">
        <v>166</v>
      </c>
      <c r="AU2" s="198" t="s">
        <v>169</v>
      </c>
      <c r="AV2" s="198" t="s">
        <v>172</v>
      </c>
      <c r="AW2" s="198" t="s">
        <v>175</v>
      </c>
      <c r="AX2" s="198" t="s">
        <v>178</v>
      </c>
      <c r="AY2" s="198" t="s">
        <v>181</v>
      </c>
      <c r="AZ2" s="198" t="s">
        <v>184</v>
      </c>
      <c r="BA2" s="198" t="s">
        <v>187</v>
      </c>
      <c r="BB2" s="198" t="s">
        <v>190</v>
      </c>
      <c r="BC2" s="198" t="s">
        <v>193</v>
      </c>
      <c r="BD2" s="198" t="s">
        <v>196</v>
      </c>
      <c r="BE2" s="198" t="s">
        <v>630</v>
      </c>
      <c r="BF2" s="198" t="s">
        <v>631</v>
      </c>
      <c r="BG2" s="198" t="s">
        <v>632</v>
      </c>
      <c r="BH2" s="198" t="s">
        <v>633</v>
      </c>
      <c r="BI2" s="198" t="s">
        <v>204</v>
      </c>
      <c r="BJ2" s="198" t="s">
        <v>207</v>
      </c>
      <c r="BK2" s="198" t="s">
        <v>53</v>
      </c>
      <c r="BL2" s="198" t="s">
        <v>212</v>
      </c>
      <c r="BM2" s="198" t="s">
        <v>215</v>
      </c>
      <c r="BN2" s="198" t="s">
        <v>634</v>
      </c>
      <c r="BO2" s="198" t="s">
        <v>635</v>
      </c>
      <c r="BP2" s="198" t="s">
        <v>636</v>
      </c>
      <c r="BQ2" s="198" t="s">
        <v>637</v>
      </c>
      <c r="BR2" s="198" t="s">
        <v>638</v>
      </c>
      <c r="BS2" s="198" t="s">
        <v>639</v>
      </c>
      <c r="BT2" s="198" t="s">
        <v>640</v>
      </c>
      <c r="BU2" s="198" t="s">
        <v>641</v>
      </c>
      <c r="BV2" s="198" t="s">
        <v>642</v>
      </c>
      <c r="BW2" s="198" t="s">
        <v>642</v>
      </c>
      <c r="BX2" s="198" t="s">
        <v>642</v>
      </c>
      <c r="BY2" s="198" t="s">
        <v>235</v>
      </c>
      <c r="BZ2" s="198" t="s">
        <v>237</v>
      </c>
      <c r="CA2" s="198" t="s">
        <v>240</v>
      </c>
      <c r="CB2" s="198" t="s">
        <v>643</v>
      </c>
      <c r="CC2" s="198" t="s">
        <v>244</v>
      </c>
      <c r="CD2" s="198" t="s">
        <v>247</v>
      </c>
      <c r="CE2" s="198" t="s">
        <v>250</v>
      </c>
      <c r="CF2" s="198" t="s">
        <v>253</v>
      </c>
      <c r="CG2" s="198" t="s">
        <v>644</v>
      </c>
      <c r="CH2" s="198" t="s">
        <v>645</v>
      </c>
      <c r="CI2" s="198" t="s">
        <v>646</v>
      </c>
      <c r="CJ2" s="198" t="s">
        <v>647</v>
      </c>
      <c r="CK2" s="198" t="s">
        <v>257</v>
      </c>
      <c r="CL2" s="198" t="s">
        <v>259</v>
      </c>
      <c r="CM2" s="198" t="s">
        <v>637</v>
      </c>
      <c r="CN2" s="198" t="s">
        <v>642</v>
      </c>
      <c r="CO2" s="198" t="s">
        <v>648</v>
      </c>
      <c r="CP2" s="198" t="s">
        <v>649</v>
      </c>
      <c r="CQ2" s="198" t="s">
        <v>648</v>
      </c>
      <c r="CR2" s="198" t="s">
        <v>649</v>
      </c>
      <c r="CS2" s="198" t="s">
        <v>648</v>
      </c>
      <c r="CT2" s="198" t="s">
        <v>649</v>
      </c>
      <c r="CU2" s="198" t="s">
        <v>648</v>
      </c>
      <c r="CV2" s="198" t="s">
        <v>649</v>
      </c>
      <c r="CW2" s="198" t="s">
        <v>648</v>
      </c>
      <c r="CX2" s="198" t="s">
        <v>649</v>
      </c>
      <c r="CY2" s="198" t="s">
        <v>648</v>
      </c>
      <c r="CZ2" s="198" t="s">
        <v>649</v>
      </c>
      <c r="DA2" s="198" t="s">
        <v>650</v>
      </c>
      <c r="DB2" s="198" t="s">
        <v>651</v>
      </c>
      <c r="DC2" s="198" t="s">
        <v>649</v>
      </c>
      <c r="DD2" s="198" t="s">
        <v>648</v>
      </c>
      <c r="DE2" s="198" t="s">
        <v>651</v>
      </c>
      <c r="DF2" s="198" t="s">
        <v>649</v>
      </c>
      <c r="DG2" s="198" t="s">
        <v>648</v>
      </c>
      <c r="DH2" s="198" t="s">
        <v>651</v>
      </c>
      <c r="DI2" s="198" t="s">
        <v>649</v>
      </c>
      <c r="DJ2" s="198" t="s">
        <v>648</v>
      </c>
      <c r="DK2" s="198" t="s">
        <v>651</v>
      </c>
      <c r="DL2" s="198" t="s">
        <v>649</v>
      </c>
      <c r="DM2" s="198" t="s">
        <v>648</v>
      </c>
      <c r="DN2" s="198" t="s">
        <v>651</v>
      </c>
      <c r="DO2" s="198" t="s">
        <v>649</v>
      </c>
      <c r="DP2" s="198" t="s">
        <v>648</v>
      </c>
      <c r="DQ2" s="198" t="s">
        <v>651</v>
      </c>
      <c r="DR2" s="198" t="s">
        <v>649</v>
      </c>
      <c r="DS2" s="198" t="s">
        <v>648</v>
      </c>
      <c r="DT2" s="198" t="s">
        <v>651</v>
      </c>
      <c r="DU2" s="198" t="s">
        <v>649</v>
      </c>
      <c r="DV2" s="198" t="s">
        <v>648</v>
      </c>
      <c r="DW2" s="198" t="s">
        <v>651</v>
      </c>
      <c r="DX2" s="198" t="s">
        <v>649</v>
      </c>
      <c r="DY2" s="198" t="s">
        <v>648</v>
      </c>
      <c r="DZ2" s="198" t="s">
        <v>651</v>
      </c>
      <c r="EA2" s="198" t="s">
        <v>649</v>
      </c>
      <c r="EB2" s="198" t="s">
        <v>648</v>
      </c>
      <c r="EC2" s="198" t="s">
        <v>651</v>
      </c>
      <c r="ED2" s="198" t="s">
        <v>649</v>
      </c>
      <c r="EE2" s="198" t="s">
        <v>648</v>
      </c>
      <c r="EF2" s="198" t="s">
        <v>651</v>
      </c>
      <c r="EG2" s="198" t="s">
        <v>649</v>
      </c>
      <c r="EH2" s="198" t="s">
        <v>648</v>
      </c>
      <c r="EI2" s="198" t="s">
        <v>651</v>
      </c>
      <c r="EJ2" s="198" t="s">
        <v>649</v>
      </c>
      <c r="EK2" s="198" t="s">
        <v>648</v>
      </c>
      <c r="EL2" s="198" t="s">
        <v>651</v>
      </c>
      <c r="EM2" s="198" t="s">
        <v>649</v>
      </c>
      <c r="EN2" s="198" t="s">
        <v>648</v>
      </c>
      <c r="EO2" s="198" t="s">
        <v>651</v>
      </c>
      <c r="EP2" s="198" t="s">
        <v>649</v>
      </c>
      <c r="EQ2" s="198" t="s">
        <v>648</v>
      </c>
      <c r="ER2" s="198" t="s">
        <v>651</v>
      </c>
      <c r="ES2" s="198" t="s">
        <v>649</v>
      </c>
      <c r="ET2" s="198" t="s">
        <v>648</v>
      </c>
      <c r="EU2" s="198" t="s">
        <v>650</v>
      </c>
      <c r="EV2" s="200" t="s">
        <v>652</v>
      </c>
      <c r="EW2" s="200" t="s">
        <v>653</v>
      </c>
      <c r="EX2" s="200" t="s">
        <v>654</v>
      </c>
      <c r="EY2" s="200" t="s">
        <v>655</v>
      </c>
      <c r="EZ2" s="200" t="s">
        <v>656</v>
      </c>
      <c r="FA2" s="200"/>
      <c r="FB2" s="201" t="s">
        <v>648</v>
      </c>
      <c r="FC2" s="201" t="s">
        <v>649</v>
      </c>
      <c r="FD2" s="201" t="s">
        <v>656</v>
      </c>
      <c r="FE2" s="201" t="s">
        <v>648</v>
      </c>
      <c r="FF2" s="201" t="s">
        <v>649</v>
      </c>
      <c r="FG2" s="201" t="s">
        <v>657</v>
      </c>
      <c r="FH2" s="201" t="s">
        <v>648</v>
      </c>
      <c r="FI2" s="201" t="s">
        <v>649</v>
      </c>
      <c r="FJ2" s="201" t="s">
        <v>657</v>
      </c>
      <c r="FK2" s="201" t="s">
        <v>648</v>
      </c>
      <c r="FL2" s="201" t="s">
        <v>649</v>
      </c>
      <c r="FM2" s="201" t="s">
        <v>657</v>
      </c>
      <c r="FN2" s="201" t="s">
        <v>648</v>
      </c>
      <c r="FO2" s="201" t="s">
        <v>649</v>
      </c>
      <c r="FP2" s="201" t="s">
        <v>657</v>
      </c>
      <c r="FQ2" s="201" t="s">
        <v>648</v>
      </c>
      <c r="FR2" s="201" t="s">
        <v>649</v>
      </c>
      <c r="FS2" s="201" t="s">
        <v>657</v>
      </c>
      <c r="FT2" s="201" t="s">
        <v>648</v>
      </c>
      <c r="FU2" s="201" t="s">
        <v>649</v>
      </c>
      <c r="FV2" s="201" t="s">
        <v>657</v>
      </c>
      <c r="FW2" s="201" t="s">
        <v>658</v>
      </c>
      <c r="FX2" s="202" t="s">
        <v>659</v>
      </c>
      <c r="FY2" s="202" t="s">
        <v>660</v>
      </c>
      <c r="FZ2" s="202" t="s">
        <v>661</v>
      </c>
    </row>
    <row r="3" spans="1:182" s="198" customFormat="1" ht="6.75" customHeight="1" thickBot="1">
      <c r="A3" s="214"/>
      <c r="D3" s="199"/>
    </row>
    <row r="4" spans="1:182">
      <c r="A4" s="204" t="s">
        <v>24</v>
      </c>
      <c r="B4" s="205">
        <f>'b) Budget Template'!$I$3</f>
        <v>0</v>
      </c>
      <c r="C4" s="205" t="str">
        <f>'b) Budget Template'!$B$3</f>
        <v>Please Click on Arrow to Choose School</v>
      </c>
      <c r="D4" s="222">
        <f>'b) Budget Template'!C3</f>
        <v>0</v>
      </c>
      <c r="E4" s="223" t="str">
        <f>(CONCATENATE('b) Budget Template'!$I$3,A4))</f>
        <v>02025/26</v>
      </c>
      <c r="F4" s="274">
        <f>'b) Budget Template'!$E$12</f>
        <v>0</v>
      </c>
      <c r="G4" s="274">
        <f>'b) Budget Template'!$E$13</f>
        <v>0</v>
      </c>
      <c r="H4" s="274">
        <f>'b) Budget Template'!$E$14</f>
        <v>0</v>
      </c>
      <c r="I4" s="274">
        <f>'b) Budget Template'!$E$15</f>
        <v>0</v>
      </c>
      <c r="J4" s="274">
        <f>'b) Budget Template'!$E$16</f>
        <v>0</v>
      </c>
      <c r="K4" s="274">
        <f>'b) Budget Template'!$E$17</f>
        <v>0</v>
      </c>
      <c r="L4" s="274">
        <f>'b) Budget Template'!$E$18</f>
        <v>0</v>
      </c>
      <c r="M4" s="274">
        <f>'b) Budget Template'!$E$19</f>
        <v>0</v>
      </c>
      <c r="N4" s="274">
        <f>'b) Budget Template'!$E$20</f>
        <v>0</v>
      </c>
      <c r="O4" s="274">
        <f>'b) Budget Template'!$E$21</f>
        <v>0</v>
      </c>
      <c r="P4" s="274">
        <f>'b) Budget Template'!$E$22</f>
        <v>0</v>
      </c>
      <c r="Q4" s="274">
        <f>'b) Budget Template'!$E$23</f>
        <v>0</v>
      </c>
      <c r="R4" s="274">
        <f>'b) Budget Template'!$E$24</f>
        <v>0</v>
      </c>
      <c r="S4" s="274">
        <f>'b) Budget Template'!$E$25</f>
        <v>0</v>
      </c>
      <c r="T4" s="274">
        <f>'b) Budget Template'!$E$26</f>
        <v>0</v>
      </c>
      <c r="U4" s="274">
        <f>'b) Budget Template'!$E$27</f>
        <v>0</v>
      </c>
      <c r="V4" s="274">
        <f>'b) Budget Template'!$E$28</f>
        <v>0</v>
      </c>
      <c r="W4" s="274">
        <f>'b) Budget Template'!$E$29</f>
        <v>0</v>
      </c>
      <c r="X4" s="274">
        <f>'b) Budget Template'!$E$30</f>
        <v>0</v>
      </c>
      <c r="Y4" s="274">
        <f>'b) Budget Template'!$E$31</f>
        <v>0</v>
      </c>
      <c r="Z4" s="274">
        <f>'b) Budget Template'!$E$35</f>
        <v>0</v>
      </c>
      <c r="AA4" s="274">
        <f>'b) Budget Template'!$E$36</f>
        <v>0</v>
      </c>
      <c r="AB4" s="274">
        <f>'b) Budget Template'!$E$37</f>
        <v>0</v>
      </c>
      <c r="AC4" s="274">
        <f>'b) Budget Template'!$E$38</f>
        <v>0</v>
      </c>
      <c r="AD4" s="274">
        <f>'b) Budget Template'!$E$39</f>
        <v>0</v>
      </c>
      <c r="AE4" s="274">
        <f>'b) Budget Template'!$E$40</f>
        <v>0</v>
      </c>
      <c r="AF4" s="274">
        <f>'b) Budget Template'!$E$41</f>
        <v>0</v>
      </c>
      <c r="AG4" s="274">
        <f>'b) Budget Template'!$E$42</f>
        <v>0</v>
      </c>
      <c r="AH4" s="274">
        <f>'b) Budget Template'!$E$43</f>
        <v>0</v>
      </c>
      <c r="AI4" s="274">
        <f>'b) Budget Template'!$E$44</f>
        <v>0</v>
      </c>
      <c r="AJ4" s="274">
        <f>'b) Budget Template'!$E$45</f>
        <v>0</v>
      </c>
      <c r="AK4" s="274">
        <f>'b) Budget Template'!$E$46</f>
        <v>0</v>
      </c>
      <c r="AL4" s="274">
        <f>'b) Budget Template'!$E$47</f>
        <v>0</v>
      </c>
      <c r="AM4" s="274">
        <f>'b) Budget Template'!$E$48</f>
        <v>0</v>
      </c>
      <c r="AN4" s="274">
        <f>'b) Budget Template'!$E$49</f>
        <v>0</v>
      </c>
      <c r="AO4" s="274">
        <f>'b) Budget Template'!$E$50</f>
        <v>0</v>
      </c>
      <c r="AP4" s="274">
        <f>'b) Budget Template'!$E$51</f>
        <v>0</v>
      </c>
      <c r="AQ4" s="274">
        <f>'b) Budget Template'!$E$52</f>
        <v>0</v>
      </c>
      <c r="AR4" s="274">
        <f>'b) Budget Template'!$E$53</f>
        <v>0</v>
      </c>
      <c r="AS4" s="274">
        <f>'b) Budget Template'!$E$54</f>
        <v>0</v>
      </c>
      <c r="AT4" s="274">
        <f>'b) Budget Template'!$E$55</f>
        <v>0</v>
      </c>
      <c r="AU4" s="274">
        <f>'b) Budget Template'!$E$56</f>
        <v>0</v>
      </c>
      <c r="AV4" s="274">
        <f>'b) Budget Template'!$E$57</f>
        <v>0</v>
      </c>
      <c r="AW4" s="274">
        <f>'b) Budget Template'!$E$58</f>
        <v>0</v>
      </c>
      <c r="AX4" s="274">
        <f>'b) Budget Template'!$E$59</f>
        <v>0</v>
      </c>
      <c r="AY4" s="274">
        <f>'b) Budget Template'!$E$60</f>
        <v>0</v>
      </c>
      <c r="AZ4" s="274">
        <f>'b) Budget Template'!$E$61</f>
        <v>0</v>
      </c>
      <c r="BA4" s="274">
        <f>'b) Budget Template'!$E$62</f>
        <v>0</v>
      </c>
      <c r="BB4" s="274">
        <f>'b) Budget Template'!$E$63</f>
        <v>0</v>
      </c>
      <c r="BC4" s="274">
        <f>'b) Budget Template'!$E$64</f>
        <v>0</v>
      </c>
      <c r="BD4" s="274">
        <f>'b) Budget Template'!$E$65</f>
        <v>0</v>
      </c>
      <c r="BE4" s="274">
        <f>'b) Budget Template'!$E$66</f>
        <v>0</v>
      </c>
      <c r="BF4" s="274">
        <f>'b) Budget Template'!$E$70</f>
        <v>0</v>
      </c>
      <c r="BG4" s="274" t="e">
        <f>'b) Budget Template'!$E$71</f>
        <v>#N/A</v>
      </c>
      <c r="BH4" s="274" t="e">
        <f>'b) Budget Template'!$E$72</f>
        <v>#N/A</v>
      </c>
      <c r="BI4" s="274">
        <f>'b) Budget Template'!$E$77</f>
        <v>0</v>
      </c>
      <c r="BJ4" s="274">
        <f>'b) Budget Template'!$E$78</f>
        <v>0</v>
      </c>
      <c r="BK4" s="274">
        <f>'b) Budget Template'!$E$79</f>
        <v>0</v>
      </c>
      <c r="BL4" s="274">
        <f>'b) Budget Template'!$E$83</f>
        <v>0</v>
      </c>
      <c r="BM4" s="274">
        <f>'b) Budget Template'!$E$84</f>
        <v>0</v>
      </c>
      <c r="BN4" s="274">
        <f>'b) Budget Template'!$E$85</f>
        <v>0</v>
      </c>
      <c r="BO4" s="274">
        <f>'b) Budget Template'!$E$89</f>
        <v>0</v>
      </c>
      <c r="BP4" s="274" t="e">
        <f>'b) Budget Template'!$E$90</f>
        <v>#N/A</v>
      </c>
      <c r="BQ4" s="274" t="e">
        <f>'b) Budget Template'!$E$91</f>
        <v>#N/A</v>
      </c>
      <c r="BR4" s="274">
        <f>'b) Budget Template'!$E$94</f>
        <v>0</v>
      </c>
      <c r="BS4" s="274" t="e">
        <f>'b) Budget Template'!$E$95</f>
        <v>#N/A</v>
      </c>
      <c r="BT4" s="274" t="e">
        <f>'b) Budget Template'!$E$96</f>
        <v>#N/A</v>
      </c>
      <c r="BU4" s="274" t="e">
        <f>'b) Budget Template'!$E$98</f>
        <v>#N/A</v>
      </c>
      <c r="BV4" s="274">
        <f>'b) Budget Template'!$E$107</f>
        <v>0</v>
      </c>
      <c r="BW4" s="274">
        <f>'b) Budget Template'!$E$108</f>
        <v>0</v>
      </c>
      <c r="BX4" s="274">
        <f>'b) Budget Template'!$E$110</f>
        <v>0</v>
      </c>
      <c r="BY4" s="274">
        <f>'b) Budget Template'!$E$114</f>
        <v>0</v>
      </c>
      <c r="BZ4" s="274">
        <f>'b) Budget Template'!$E$115</f>
        <v>0</v>
      </c>
      <c r="CA4" s="274">
        <f>'b) Budget Template'!$E$116</f>
        <v>0</v>
      </c>
      <c r="CB4" s="274">
        <f>'b) Budget Template'!$E$117</f>
        <v>0</v>
      </c>
      <c r="CC4" s="274">
        <f>'b) Budget Template'!$E$121</f>
        <v>0</v>
      </c>
      <c r="CD4" s="274">
        <f>'b) Budget Template'!$E$122</f>
        <v>0</v>
      </c>
      <c r="CE4" s="274">
        <f>'b) Budget Template'!$E$123</f>
        <v>0</v>
      </c>
      <c r="CF4" s="274">
        <f>'b) Budget Template'!$E$124</f>
        <v>0</v>
      </c>
      <c r="CG4" s="274">
        <f>'b) Budget Template'!$E$125</f>
        <v>0</v>
      </c>
      <c r="CH4" s="274">
        <f>'b) Budget Template'!$E$127</f>
        <v>0</v>
      </c>
      <c r="CI4" s="274" t="e">
        <f>'b) Budget Template'!$E$128</f>
        <v>#N/A</v>
      </c>
      <c r="CJ4" s="274" t="e">
        <f>'b) Budget Template'!$E$130</f>
        <v>#N/A</v>
      </c>
      <c r="CK4" s="274" t="e">
        <f>'b) Budget Template'!$E$132</f>
        <v>#N/A</v>
      </c>
      <c r="CL4" s="274">
        <f>'b) Budget Template'!$E$133</f>
        <v>0</v>
      </c>
      <c r="CM4" s="224" t="e">
        <f>'b) Budget Template'!$E$134</f>
        <v>#N/A</v>
      </c>
      <c r="CN4" s="224"/>
      <c r="CO4" s="224">
        <f>'c) IUB reporting March 2024'!$E$11</f>
        <v>0</v>
      </c>
      <c r="CP4" s="224">
        <f>'c) IUB reporting March 2024'!$F$11</f>
        <v>0</v>
      </c>
      <c r="CQ4" s="224">
        <f>'c) IUB reporting March 2024'!$E$12</f>
        <v>0</v>
      </c>
      <c r="CR4" s="224">
        <f>'c) IUB reporting March 2024'!$F$12</f>
        <v>0</v>
      </c>
      <c r="CS4" s="224">
        <f>'c) IUB reporting March 2024'!$E$13</f>
        <v>0</v>
      </c>
      <c r="CT4" s="224">
        <f>'c) IUB reporting March 2024'!$F$13</f>
        <v>0</v>
      </c>
      <c r="CU4" s="224">
        <f>'c) IUB reporting March 2024'!$E$14</f>
        <v>0</v>
      </c>
      <c r="CV4" s="224">
        <f>'c) IUB reporting March 2024'!$F$14</f>
        <v>0</v>
      </c>
      <c r="CW4" s="224">
        <f>'c) IUB reporting March 2024'!$E$15</f>
        <v>0</v>
      </c>
      <c r="CX4" s="224">
        <f>'c) IUB reporting March 2024'!$F$15</f>
        <v>0</v>
      </c>
      <c r="CY4" s="224">
        <f>'c) IUB reporting March 2024'!$E$16</f>
        <v>0</v>
      </c>
      <c r="CZ4" s="224">
        <f>'c) IUB reporting March 2024'!$F$16</f>
        <v>0</v>
      </c>
      <c r="DA4" s="224">
        <f>'c) IUB reporting March 2024'!$E$17</f>
        <v>0</v>
      </c>
      <c r="DB4" s="224">
        <f>'c) IUB reporting March 2024'!$A$22</f>
        <v>0</v>
      </c>
      <c r="DC4" s="224">
        <f>'c) IUB reporting March 2024'!$B$22</f>
        <v>0</v>
      </c>
      <c r="DD4" s="224">
        <f>'c) IUB reporting March 2024'!$E$22</f>
        <v>0</v>
      </c>
      <c r="DE4" s="224">
        <f>'c) IUB reporting March 2024'!$A$23</f>
        <v>0</v>
      </c>
      <c r="DF4" s="224">
        <f>'c) IUB reporting March 2024'!$B$23</f>
        <v>0</v>
      </c>
      <c r="DG4" s="224">
        <f>'c) IUB reporting March 2024'!$E$23</f>
        <v>0</v>
      </c>
      <c r="DH4" s="224">
        <f>'c) IUB reporting March 2024'!$A$24</f>
        <v>0</v>
      </c>
      <c r="DI4" s="224">
        <f>'c) IUB reporting March 2024'!$B$24</f>
        <v>0</v>
      </c>
      <c r="DJ4" s="224">
        <f>'c) IUB reporting March 2024'!$E$24</f>
        <v>0</v>
      </c>
      <c r="DK4" s="224">
        <f>'c) IUB reporting March 2024'!$A$25</f>
        <v>0</v>
      </c>
      <c r="DL4" s="224">
        <f>'c) IUB reporting March 2024'!$B$25</f>
        <v>0</v>
      </c>
      <c r="DM4" s="224">
        <f>'c) IUB reporting March 2024'!$E$25</f>
        <v>0</v>
      </c>
      <c r="DN4" s="224">
        <f>'c) IUB reporting March 2024'!$A$26</f>
        <v>0</v>
      </c>
      <c r="DO4" s="224">
        <f>'c) IUB reporting March 2024'!$B$26</f>
        <v>0</v>
      </c>
      <c r="DP4" s="224">
        <f>'c) IUB reporting March 2024'!$E$26</f>
        <v>0</v>
      </c>
      <c r="DQ4" s="224">
        <f>'c) IUB reporting March 2024'!$A$27</f>
        <v>0</v>
      </c>
      <c r="DR4" s="224">
        <f>'c) IUB reporting March 2024'!$B$27</f>
        <v>0</v>
      </c>
      <c r="DS4" s="224">
        <f>'c) IUB reporting March 2024'!$E$27</f>
        <v>0</v>
      </c>
      <c r="DT4" s="224">
        <f>'c) IUB reporting March 2024'!$A$28</f>
        <v>0</v>
      </c>
      <c r="DU4" s="224">
        <f>'c) IUB reporting March 2024'!$B$28</f>
        <v>0</v>
      </c>
      <c r="DV4" s="224">
        <f>'c) IUB reporting March 2024'!$E$28</f>
        <v>0</v>
      </c>
      <c r="DW4" s="224">
        <f>'c) IUB reporting March 2024'!$A$29</f>
        <v>0</v>
      </c>
      <c r="DX4" s="224">
        <f>'c) IUB reporting March 2024'!$B$29</f>
        <v>0</v>
      </c>
      <c r="DY4" s="224">
        <f>'c) IUB reporting March 2024'!$E$29</f>
        <v>0</v>
      </c>
      <c r="DZ4" s="224">
        <f>'c) IUB reporting March 2024'!$A$30</f>
        <v>0</v>
      </c>
      <c r="EA4" s="224">
        <f>'c) IUB reporting March 2024'!$B$30</f>
        <v>0</v>
      </c>
      <c r="EB4" s="224">
        <f>'c) IUB reporting March 2024'!$E$30</f>
        <v>0</v>
      </c>
      <c r="EC4" s="224">
        <f>'c) IUB reporting March 2024'!$A$31</f>
        <v>0</v>
      </c>
      <c r="ED4" s="224">
        <f>'c) IUB reporting March 2024'!$B$31</f>
        <v>0</v>
      </c>
      <c r="EE4" s="224">
        <f>'c) IUB reporting March 2024'!$E$31</f>
        <v>0</v>
      </c>
      <c r="EF4" s="224">
        <f>'c) IUB reporting March 2024'!$A$32</f>
        <v>0</v>
      </c>
      <c r="EG4" s="224">
        <f>'c) IUB reporting March 2024'!$B$32</f>
        <v>0</v>
      </c>
      <c r="EH4" s="224">
        <f>'c) IUB reporting March 2024'!$E$32</f>
        <v>0</v>
      </c>
      <c r="EI4" s="224">
        <f>'c) IUB reporting March 2024'!$A$33</f>
        <v>0</v>
      </c>
      <c r="EJ4" s="224">
        <f>'c) IUB reporting March 2024'!$B$33</f>
        <v>0</v>
      </c>
      <c r="EK4" s="224">
        <f>'c) IUB reporting March 2024'!$E$33</f>
        <v>0</v>
      </c>
      <c r="EL4" s="224">
        <f>'c) IUB reporting March 2024'!$A$34</f>
        <v>0</v>
      </c>
      <c r="EM4" s="224">
        <f>'c) IUB reporting March 2024'!$B$34</f>
        <v>0</v>
      </c>
      <c r="EN4" s="224">
        <f>'c) IUB reporting March 2024'!$E$34</f>
        <v>0</v>
      </c>
      <c r="EO4" s="224">
        <f>'c) IUB reporting March 2024'!$A$35</f>
        <v>0</v>
      </c>
      <c r="EP4" s="224">
        <f>'c) IUB reporting March 2024'!$B$35</f>
        <v>0</v>
      </c>
      <c r="EQ4" s="224">
        <f>'c) IUB reporting March 2024'!$E$35</f>
        <v>0</v>
      </c>
      <c r="ER4" s="224">
        <f>'c) IUB reporting March 2024'!$A$36</f>
        <v>0</v>
      </c>
      <c r="ES4" s="224">
        <f>'c) IUB reporting March 2024'!$B$36</f>
        <v>0</v>
      </c>
      <c r="ET4" s="224">
        <f>'c) IUB reporting March 2024'!$E$36</f>
        <v>0</v>
      </c>
      <c r="EU4" s="224">
        <f>'c) IUB reporting March 2024'!$E$37</f>
        <v>0</v>
      </c>
      <c r="EV4" s="225" t="str">
        <f>+'a) Governor Authorisation'!$E$10</f>
        <v>3 YEAR</v>
      </c>
      <c r="EW4" s="225" t="str">
        <f>+'a) Governor Authorisation'!$E$16</f>
        <v>CHOOSE</v>
      </c>
      <c r="EX4" s="225">
        <f>+'a) Governor Authorisation'!$C$21</f>
        <v>0</v>
      </c>
      <c r="EY4" s="225">
        <f>+'a) Governor Authorisation'!$C$23</f>
        <v>0</v>
      </c>
      <c r="EZ4" s="226">
        <f>+'a) Governor Authorisation'!$C$25</f>
        <v>0</v>
      </c>
      <c r="FA4" s="225"/>
      <c r="FB4" s="227">
        <f>'d) IUB reporting March 2025'!$E$28</f>
        <v>0</v>
      </c>
      <c r="FC4" s="227">
        <f>'d) IUB reporting March 2025'!$G$28</f>
        <v>0</v>
      </c>
      <c r="FD4" s="227">
        <f>+'d) IUB reporting March 2025'!$F$28</f>
        <v>0</v>
      </c>
      <c r="FE4" s="227">
        <f>'d) IUB reporting March 2025'!$E$29</f>
        <v>0</v>
      </c>
      <c r="FF4" s="227">
        <f>'d) IUB reporting March 2025'!$G$29</f>
        <v>0</v>
      </c>
      <c r="FG4" s="227">
        <f>+'d) IUB reporting March 2025'!$F$29</f>
        <v>0</v>
      </c>
      <c r="FH4" s="227">
        <f>'d) IUB reporting March 2025'!$E$30</f>
        <v>0</v>
      </c>
      <c r="FI4" s="227">
        <f>'d) IUB reporting March 2025'!$G$30</f>
        <v>0</v>
      </c>
      <c r="FJ4" s="227">
        <f>+'d) IUB reporting March 2025'!$F$30</f>
        <v>0</v>
      </c>
      <c r="FK4" s="227">
        <f>'d) IUB reporting March 2025'!$E$31</f>
        <v>0</v>
      </c>
      <c r="FL4" s="227">
        <f>'d) IUB reporting March 2025'!$G$31</f>
        <v>0</v>
      </c>
      <c r="FM4" s="227">
        <f>+'d) IUB reporting March 2025'!$F$31</f>
        <v>0</v>
      </c>
      <c r="FN4" s="227">
        <f>'d) IUB reporting March 2025'!$E$32</f>
        <v>0</v>
      </c>
      <c r="FO4" s="227">
        <f>'d) IUB reporting March 2025'!$G$32</f>
        <v>0</v>
      </c>
      <c r="FP4" s="227">
        <f>+'d) IUB reporting March 2025'!$F$32</f>
        <v>0</v>
      </c>
      <c r="FQ4" s="227">
        <f>'d) IUB reporting March 2025'!$E$33</f>
        <v>0</v>
      </c>
      <c r="FR4" s="227">
        <f>'d) IUB reporting March 2025'!$G$33</f>
        <v>0</v>
      </c>
      <c r="FS4" s="227">
        <f>+'d) IUB reporting March 2025'!$F$33</f>
        <v>0</v>
      </c>
      <c r="FT4" s="227">
        <f>'d) IUB reporting March 2025'!$E$34</f>
        <v>0</v>
      </c>
      <c r="FU4" s="227">
        <f>'d) IUB reporting March 2025'!$G$34</f>
        <v>0</v>
      </c>
      <c r="FV4" s="227">
        <f>+'d) IUB reporting March 2025'!$F$34</f>
        <v>0</v>
      </c>
      <c r="FW4" s="227">
        <f>'d) IUB reporting March 2025'!$E$35</f>
        <v>0</v>
      </c>
      <c r="FX4" s="263" t="e">
        <f>'d) IUB reporting March 2025'!F15</f>
        <v>#N/A</v>
      </c>
      <c r="FY4" s="263" t="e">
        <f>'d) IUB reporting March 2025'!F17</f>
        <v>#N/A</v>
      </c>
      <c r="FZ4" s="264" t="e">
        <f>'d) IUB reporting March 2025'!F20</f>
        <v>#N/A</v>
      </c>
    </row>
    <row r="5" spans="1:182">
      <c r="A5" s="204" t="s">
        <v>25</v>
      </c>
      <c r="B5" s="205">
        <f>'b) Budget Template'!$I$3</f>
        <v>0</v>
      </c>
      <c r="C5" s="205" t="str">
        <f>'b) Budget Template'!$B$3</f>
        <v>Please Click on Arrow to Choose School</v>
      </c>
      <c r="D5" s="228">
        <f>D4</f>
        <v>0</v>
      </c>
      <c r="E5" s="229" t="str">
        <f>(CONCATENATE('b) Budget Template'!$I$3,A5))</f>
        <v>02026/27</v>
      </c>
      <c r="F5" s="275">
        <f>'b) Budget Template'!$G$12</f>
        <v>0</v>
      </c>
      <c r="G5" s="275">
        <f>'b) Budget Template'!$G$13</f>
        <v>0</v>
      </c>
      <c r="H5" s="275">
        <f>'b) Budget Template'!$G$14</f>
        <v>0</v>
      </c>
      <c r="I5" s="275">
        <f>'b) Budget Template'!$G$15</f>
        <v>0</v>
      </c>
      <c r="J5" s="275">
        <f>'b) Budget Template'!$G$16</f>
        <v>0</v>
      </c>
      <c r="K5" s="275">
        <f>'b) Budget Template'!$G$17</f>
        <v>0</v>
      </c>
      <c r="L5" s="275">
        <f>'b) Budget Template'!$G$18</f>
        <v>0</v>
      </c>
      <c r="M5" s="275">
        <f>'b) Budget Template'!$G$19</f>
        <v>0</v>
      </c>
      <c r="N5" s="275">
        <f>'b) Budget Template'!$G$20</f>
        <v>0</v>
      </c>
      <c r="O5" s="275">
        <f>'b) Budget Template'!$G$21</f>
        <v>0</v>
      </c>
      <c r="P5" s="275">
        <f>'b) Budget Template'!$G$22</f>
        <v>0</v>
      </c>
      <c r="Q5" s="275">
        <f>'b) Budget Template'!$G$23</f>
        <v>0</v>
      </c>
      <c r="R5" s="275">
        <f>'b) Budget Template'!$G$24</f>
        <v>0</v>
      </c>
      <c r="S5" s="275">
        <f>'b) Budget Template'!$G$25</f>
        <v>0</v>
      </c>
      <c r="T5" s="275">
        <f>'b) Budget Template'!$G$26</f>
        <v>0</v>
      </c>
      <c r="U5" s="275">
        <f>'b) Budget Template'!$G$27</f>
        <v>0</v>
      </c>
      <c r="V5" s="275">
        <f>'b) Budget Template'!$G$28</f>
        <v>0</v>
      </c>
      <c r="W5" s="275">
        <f>'b) Budget Template'!$G$29</f>
        <v>0</v>
      </c>
      <c r="X5" s="275">
        <f>'b) Budget Template'!$G$30</f>
        <v>0</v>
      </c>
      <c r="Y5" s="275">
        <f>'b) Budget Template'!$G$31</f>
        <v>0</v>
      </c>
      <c r="Z5" s="275">
        <f>'b) Budget Template'!$G$35</f>
        <v>0</v>
      </c>
      <c r="AA5" s="275">
        <f>'b) Budget Template'!$G$36</f>
        <v>0</v>
      </c>
      <c r="AB5" s="275">
        <f>'b) Budget Template'!$G$37</f>
        <v>0</v>
      </c>
      <c r="AC5" s="275">
        <f>'b) Budget Template'!$G$38</f>
        <v>0</v>
      </c>
      <c r="AD5" s="275">
        <f>'b) Budget Template'!$G$39</f>
        <v>0</v>
      </c>
      <c r="AE5" s="275">
        <f>'b) Budget Template'!$G$40</f>
        <v>0</v>
      </c>
      <c r="AF5" s="275">
        <f>'b) Budget Template'!$G$41</f>
        <v>0</v>
      </c>
      <c r="AG5" s="275">
        <f>'b) Budget Template'!$G$42</f>
        <v>0</v>
      </c>
      <c r="AH5" s="275">
        <f>'b) Budget Template'!$G$43</f>
        <v>0</v>
      </c>
      <c r="AI5" s="275">
        <f>'b) Budget Template'!$G$44</f>
        <v>0</v>
      </c>
      <c r="AJ5" s="275">
        <f>'b) Budget Template'!$G$45</f>
        <v>0</v>
      </c>
      <c r="AK5" s="275">
        <f>'b) Budget Template'!$G$46</f>
        <v>0</v>
      </c>
      <c r="AL5" s="275">
        <f>'b) Budget Template'!$G$47</f>
        <v>0</v>
      </c>
      <c r="AM5" s="275">
        <f>'b) Budget Template'!$G$48</f>
        <v>0</v>
      </c>
      <c r="AN5" s="275">
        <f>'b) Budget Template'!$G$49</f>
        <v>0</v>
      </c>
      <c r="AO5" s="275">
        <f>'b) Budget Template'!$G$50</f>
        <v>0</v>
      </c>
      <c r="AP5" s="275">
        <f>'b) Budget Template'!$G$51</f>
        <v>0</v>
      </c>
      <c r="AQ5" s="275">
        <f>'b) Budget Template'!$G$52</f>
        <v>0</v>
      </c>
      <c r="AR5" s="275">
        <f>'b) Budget Template'!$G$53</f>
        <v>0</v>
      </c>
      <c r="AS5" s="275">
        <f>'b) Budget Template'!$G$54</f>
        <v>0</v>
      </c>
      <c r="AT5" s="275">
        <f>'b) Budget Template'!$G$55</f>
        <v>0</v>
      </c>
      <c r="AU5" s="275">
        <f>'b) Budget Template'!$G$56</f>
        <v>0</v>
      </c>
      <c r="AV5" s="275">
        <f>'b) Budget Template'!$G$57</f>
        <v>0</v>
      </c>
      <c r="AW5" s="275">
        <f>'b) Budget Template'!$G$58</f>
        <v>0</v>
      </c>
      <c r="AX5" s="275">
        <f>'b) Budget Template'!$G$59</f>
        <v>0</v>
      </c>
      <c r="AY5" s="275">
        <f>'b) Budget Template'!$G$60</f>
        <v>0</v>
      </c>
      <c r="AZ5" s="275">
        <f>'b) Budget Template'!$G$61</f>
        <v>0</v>
      </c>
      <c r="BA5" s="275">
        <f>'b) Budget Template'!$G$62</f>
        <v>0</v>
      </c>
      <c r="BB5" s="275">
        <f>'b) Budget Template'!$G$63</f>
        <v>0</v>
      </c>
      <c r="BC5" s="275">
        <f>'b) Budget Template'!$G$64</f>
        <v>0</v>
      </c>
      <c r="BD5" s="275">
        <f>'b) Budget Template'!$G$65</f>
        <v>0</v>
      </c>
      <c r="BE5" s="275">
        <f>'b) Budget Template'!$G$66</f>
        <v>0</v>
      </c>
      <c r="BF5" s="275">
        <f>'b) Budget Template'!$G$70</f>
        <v>0</v>
      </c>
      <c r="BG5" s="275" t="e">
        <f>'b) Budget Template'!$G$71</f>
        <v>#N/A</v>
      </c>
      <c r="BH5" s="275" t="e">
        <f>'b) Budget Template'!$G$72</f>
        <v>#N/A</v>
      </c>
      <c r="BI5" s="275">
        <f>'b) Budget Template'!$G$77</f>
        <v>0</v>
      </c>
      <c r="BJ5" s="275">
        <f>'b) Budget Template'!$G$78</f>
        <v>0</v>
      </c>
      <c r="BK5" s="275">
        <f>'b) Budget Template'!$G$79</f>
        <v>0</v>
      </c>
      <c r="BL5" s="275">
        <f>'b) Budget Template'!$G$83</f>
        <v>0</v>
      </c>
      <c r="BM5" s="275">
        <f>'b) Budget Template'!$G$84</f>
        <v>0</v>
      </c>
      <c r="BN5" s="275">
        <f>'b) Budget Template'!$G$85</f>
        <v>0</v>
      </c>
      <c r="BO5" s="275">
        <f>'b) Budget Template'!$G$89</f>
        <v>0</v>
      </c>
      <c r="BP5" s="275" t="e">
        <f>'b) Budget Template'!$G$90</f>
        <v>#N/A</v>
      </c>
      <c r="BQ5" s="275" t="e">
        <f>'b) Budget Template'!$G$91</f>
        <v>#N/A</v>
      </c>
      <c r="BR5" s="275">
        <f>'b) Budget Template'!$G$94</f>
        <v>0</v>
      </c>
      <c r="BS5" s="275" t="e">
        <f>'b) Budget Template'!$G$95</f>
        <v>#N/A</v>
      </c>
      <c r="BT5" s="275" t="e">
        <f>'b) Budget Template'!$G$96</f>
        <v>#N/A</v>
      </c>
      <c r="BU5" s="275" t="e">
        <f>'b) Budget Template'!$G$98</f>
        <v>#N/A</v>
      </c>
      <c r="BV5" s="275"/>
      <c r="BW5" s="275"/>
      <c r="BX5" s="275"/>
      <c r="BY5" s="275">
        <f>'b) Budget Template'!$G$114</f>
        <v>0</v>
      </c>
      <c r="BZ5" s="275">
        <f>'b) Budget Template'!$G$115</f>
        <v>0</v>
      </c>
      <c r="CA5" s="275">
        <f>'b) Budget Template'!$G$116</f>
        <v>0</v>
      </c>
      <c r="CB5" s="275">
        <f>'b) Budget Template'!$G$117</f>
        <v>0</v>
      </c>
      <c r="CC5" s="275">
        <f>'b) Budget Template'!$G$121</f>
        <v>0</v>
      </c>
      <c r="CD5" s="275">
        <f>'b) Budget Template'!$G$123</f>
        <v>0</v>
      </c>
      <c r="CE5" s="275">
        <f>'b) Budget Template'!$G$123</f>
        <v>0</v>
      </c>
      <c r="CF5" s="275">
        <f>'b) Budget Template'!$G$124</f>
        <v>0</v>
      </c>
      <c r="CG5" s="275">
        <f>'b) Budget Template'!$G$125</f>
        <v>0</v>
      </c>
      <c r="CH5" s="275">
        <f>'b) Budget Template'!$G$127</f>
        <v>0</v>
      </c>
      <c r="CI5" s="275" t="e">
        <f>'b) Budget Template'!$G$128</f>
        <v>#N/A</v>
      </c>
      <c r="CJ5" s="275" t="e">
        <f>'b) Budget Template'!$G$130</f>
        <v>#N/A</v>
      </c>
      <c r="CK5" s="275" t="e">
        <f>'b) Budget Template'!$G$132</f>
        <v>#N/A</v>
      </c>
      <c r="CL5" s="275">
        <f>'b) Budget Template'!$G$133</f>
        <v>0</v>
      </c>
      <c r="CM5" s="207" t="e">
        <f>'b) Budget Template'!$G$134</f>
        <v>#N/A</v>
      </c>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08"/>
      <c r="EW5" s="208"/>
      <c r="EX5" s="208"/>
      <c r="EY5" s="208"/>
      <c r="EZ5" s="208"/>
      <c r="FA5" s="208"/>
      <c r="FB5" s="211"/>
      <c r="FC5" s="211"/>
      <c r="FD5" s="211"/>
      <c r="FE5" s="211"/>
      <c r="FF5" s="211"/>
      <c r="FG5" s="211"/>
      <c r="FH5" s="211"/>
      <c r="FI5" s="211"/>
      <c r="FJ5" s="211"/>
      <c r="FK5" s="211"/>
      <c r="FL5" s="211"/>
      <c r="FM5" s="211"/>
      <c r="FN5" s="211"/>
      <c r="FO5" s="211"/>
      <c r="FP5" s="211"/>
      <c r="FQ5" s="211"/>
      <c r="FR5" s="211"/>
      <c r="FS5" s="211"/>
      <c r="FT5" s="211"/>
      <c r="FU5" s="211"/>
      <c r="FV5" s="211"/>
      <c r="FW5" s="211"/>
      <c r="FX5" s="265"/>
      <c r="FY5" s="265"/>
      <c r="FZ5" s="266"/>
    </row>
    <row r="6" spans="1:182" ht="13.8" thickBot="1">
      <c r="A6" s="204" t="s">
        <v>26</v>
      </c>
      <c r="B6" s="205">
        <f>'b) Budget Template'!$I$3</f>
        <v>0</v>
      </c>
      <c r="C6" s="205" t="str">
        <f>'b) Budget Template'!$B$3</f>
        <v>Please Click on Arrow to Choose School</v>
      </c>
      <c r="D6" s="230">
        <f>D5</f>
        <v>0</v>
      </c>
      <c r="E6" s="231" t="str">
        <f>(CONCATENATE('b) Budget Template'!$I$3,A6))</f>
        <v>02027/28</v>
      </c>
      <c r="F6" s="276">
        <f>'b) Budget Template'!$I$12</f>
        <v>0</v>
      </c>
      <c r="G6" s="276">
        <f>'b) Budget Template'!$I$13</f>
        <v>0</v>
      </c>
      <c r="H6" s="276">
        <f>'b) Budget Template'!$I$14</f>
        <v>0</v>
      </c>
      <c r="I6" s="276">
        <f>'b) Budget Template'!$I$15</f>
        <v>0</v>
      </c>
      <c r="J6" s="276">
        <f>'b) Budget Template'!$I$16</f>
        <v>0</v>
      </c>
      <c r="K6" s="276">
        <f>'b) Budget Template'!$I$17</f>
        <v>0</v>
      </c>
      <c r="L6" s="276">
        <f>'b) Budget Template'!$I$18</f>
        <v>0</v>
      </c>
      <c r="M6" s="276">
        <f>'b) Budget Template'!$I$19</f>
        <v>0</v>
      </c>
      <c r="N6" s="276">
        <f>'b) Budget Template'!$I$20</f>
        <v>0</v>
      </c>
      <c r="O6" s="276">
        <f>'b) Budget Template'!$I$21</f>
        <v>0</v>
      </c>
      <c r="P6" s="276">
        <f>'b) Budget Template'!$I$22</f>
        <v>0</v>
      </c>
      <c r="Q6" s="276">
        <f>'b) Budget Template'!$I$23</f>
        <v>0</v>
      </c>
      <c r="R6" s="276">
        <f>'b) Budget Template'!$I$24</f>
        <v>0</v>
      </c>
      <c r="S6" s="276">
        <f>'b) Budget Template'!$I$25</f>
        <v>0</v>
      </c>
      <c r="T6" s="276">
        <f>'b) Budget Template'!$I$26</f>
        <v>0</v>
      </c>
      <c r="U6" s="276">
        <f>'b) Budget Template'!$I$27</f>
        <v>0</v>
      </c>
      <c r="V6" s="276">
        <f>'b) Budget Template'!$I$28</f>
        <v>0</v>
      </c>
      <c r="W6" s="276">
        <f>'b) Budget Template'!$I$29</f>
        <v>0</v>
      </c>
      <c r="X6" s="276">
        <f>'b) Budget Template'!$I$30</f>
        <v>0</v>
      </c>
      <c r="Y6" s="276">
        <f>'b) Budget Template'!$I$31</f>
        <v>0</v>
      </c>
      <c r="Z6" s="276">
        <f>'b) Budget Template'!$I$35</f>
        <v>0</v>
      </c>
      <c r="AA6" s="276">
        <f>'b) Budget Template'!$I$36</f>
        <v>0</v>
      </c>
      <c r="AB6" s="276">
        <f>'b) Budget Template'!$I$37</f>
        <v>0</v>
      </c>
      <c r="AC6" s="276">
        <f>'b) Budget Template'!$I$38</f>
        <v>0</v>
      </c>
      <c r="AD6" s="276">
        <f>'b) Budget Template'!$I$39</f>
        <v>0</v>
      </c>
      <c r="AE6" s="276">
        <f>'b) Budget Template'!$I$40</f>
        <v>0</v>
      </c>
      <c r="AF6" s="276">
        <f>'b) Budget Template'!$I$41</f>
        <v>0</v>
      </c>
      <c r="AG6" s="276">
        <f>'b) Budget Template'!$I$42</f>
        <v>0</v>
      </c>
      <c r="AH6" s="276">
        <f>'b) Budget Template'!$I$43</f>
        <v>0</v>
      </c>
      <c r="AI6" s="276">
        <f>'b) Budget Template'!$I$44</f>
        <v>0</v>
      </c>
      <c r="AJ6" s="276">
        <f>'b) Budget Template'!$I$45</f>
        <v>0</v>
      </c>
      <c r="AK6" s="276">
        <f>'b) Budget Template'!$I$46</f>
        <v>0</v>
      </c>
      <c r="AL6" s="276">
        <f>'b) Budget Template'!$I$47</f>
        <v>0</v>
      </c>
      <c r="AM6" s="276">
        <f>'b) Budget Template'!$I$48</f>
        <v>0</v>
      </c>
      <c r="AN6" s="276">
        <f>'b) Budget Template'!$I$49</f>
        <v>0</v>
      </c>
      <c r="AO6" s="276">
        <f>'b) Budget Template'!$I$50</f>
        <v>0</v>
      </c>
      <c r="AP6" s="276">
        <f>'b) Budget Template'!$I$51</f>
        <v>0</v>
      </c>
      <c r="AQ6" s="276">
        <f>'b) Budget Template'!$I$52</f>
        <v>0</v>
      </c>
      <c r="AR6" s="276">
        <f>'b) Budget Template'!$I$53</f>
        <v>0</v>
      </c>
      <c r="AS6" s="276">
        <f>'b) Budget Template'!$I$54</f>
        <v>0</v>
      </c>
      <c r="AT6" s="276">
        <f>'b) Budget Template'!$I$55</f>
        <v>0</v>
      </c>
      <c r="AU6" s="276">
        <f>'b) Budget Template'!$I$56</f>
        <v>0</v>
      </c>
      <c r="AV6" s="276">
        <f>'b) Budget Template'!$I$57</f>
        <v>0</v>
      </c>
      <c r="AW6" s="276">
        <f>'b) Budget Template'!$I$58</f>
        <v>0</v>
      </c>
      <c r="AX6" s="276">
        <f>'b) Budget Template'!$I$59</f>
        <v>0</v>
      </c>
      <c r="AY6" s="276">
        <f>'b) Budget Template'!$I$60</f>
        <v>0</v>
      </c>
      <c r="AZ6" s="276">
        <f>'b) Budget Template'!$I$61</f>
        <v>0</v>
      </c>
      <c r="BA6" s="276">
        <f>'b) Budget Template'!$I$62</f>
        <v>0</v>
      </c>
      <c r="BB6" s="276">
        <f>'b) Budget Template'!$I$63</f>
        <v>0</v>
      </c>
      <c r="BC6" s="276">
        <f>'b) Budget Template'!$I$64</f>
        <v>0</v>
      </c>
      <c r="BD6" s="276">
        <f>'b) Budget Template'!$I$65</f>
        <v>0</v>
      </c>
      <c r="BE6" s="276">
        <f>'b) Budget Template'!$I$66</f>
        <v>0</v>
      </c>
      <c r="BF6" s="276">
        <f>'b) Budget Template'!$I$70</f>
        <v>0</v>
      </c>
      <c r="BG6" s="276" t="e">
        <f>'b) Budget Template'!$I$71</f>
        <v>#N/A</v>
      </c>
      <c r="BH6" s="276" t="e">
        <f>'b) Budget Template'!$I$72</f>
        <v>#N/A</v>
      </c>
      <c r="BI6" s="276">
        <f>'b) Budget Template'!$I$77</f>
        <v>0</v>
      </c>
      <c r="BJ6" s="276">
        <f>'b) Budget Template'!$I$78</f>
        <v>0</v>
      </c>
      <c r="BK6" s="276">
        <f>'b) Budget Template'!$I$79</f>
        <v>0</v>
      </c>
      <c r="BL6" s="276">
        <f>'b) Budget Template'!$I$83</f>
        <v>0</v>
      </c>
      <c r="BM6" s="276">
        <f>'b) Budget Template'!$I$84</f>
        <v>0</v>
      </c>
      <c r="BN6" s="276">
        <f>'b) Budget Template'!$I$85</f>
        <v>0</v>
      </c>
      <c r="BO6" s="276">
        <f>'b) Budget Template'!$I$89</f>
        <v>0</v>
      </c>
      <c r="BP6" s="276" t="e">
        <f>'b) Budget Template'!$I$90</f>
        <v>#N/A</v>
      </c>
      <c r="BQ6" s="276" t="e">
        <f>'b) Budget Template'!$I$91</f>
        <v>#N/A</v>
      </c>
      <c r="BR6" s="276">
        <f>'b) Budget Template'!$I$94</f>
        <v>0</v>
      </c>
      <c r="BS6" s="276" t="e">
        <f>'b) Budget Template'!$I$95</f>
        <v>#N/A</v>
      </c>
      <c r="BT6" s="276" t="e">
        <f>'b) Budget Template'!$I$96</f>
        <v>#N/A</v>
      </c>
      <c r="BU6" s="276" t="e">
        <f>'b) Budget Template'!$I$98</f>
        <v>#N/A</v>
      </c>
      <c r="BV6" s="276"/>
      <c r="BW6" s="276"/>
      <c r="BX6" s="276"/>
      <c r="BY6" s="276">
        <f>'b) Budget Template'!$I$114</f>
        <v>0</v>
      </c>
      <c r="BZ6" s="276">
        <f>'b) Budget Template'!$I$115</f>
        <v>0</v>
      </c>
      <c r="CA6" s="276">
        <f>'b) Budget Template'!$I$116</f>
        <v>0</v>
      </c>
      <c r="CB6" s="276">
        <f>'b) Budget Template'!$I$117</f>
        <v>0</v>
      </c>
      <c r="CC6" s="276">
        <f>'b) Budget Template'!$I$121</f>
        <v>0</v>
      </c>
      <c r="CD6" s="276">
        <f>'b) Budget Template'!$I$122</f>
        <v>0</v>
      </c>
      <c r="CE6" s="276">
        <f>'b) Budget Template'!$I$123</f>
        <v>0</v>
      </c>
      <c r="CF6" s="276">
        <f>'b) Budget Template'!$I$124</f>
        <v>0</v>
      </c>
      <c r="CG6" s="276">
        <f>'b) Budget Template'!$I$125</f>
        <v>0</v>
      </c>
      <c r="CH6" s="276">
        <f>'b) Budget Template'!$I$127</f>
        <v>0</v>
      </c>
      <c r="CI6" s="276" t="e">
        <f>'b) Budget Template'!$I$128</f>
        <v>#N/A</v>
      </c>
      <c r="CJ6" s="276" t="e">
        <f>'b) Budget Template'!$I$130</f>
        <v>#N/A</v>
      </c>
      <c r="CK6" s="276" t="e">
        <f>'b) Budget Template'!$I$132</f>
        <v>#N/A</v>
      </c>
      <c r="CL6" s="276">
        <f>'b) Budget Template'!$I$133</f>
        <v>0</v>
      </c>
      <c r="CM6" s="232" t="e">
        <f>'b) Budget Template'!$I$134</f>
        <v>#N/A</v>
      </c>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4"/>
      <c r="EW6" s="234"/>
      <c r="EX6" s="234"/>
      <c r="EY6" s="234"/>
      <c r="EZ6" s="234"/>
      <c r="FA6" s="234"/>
      <c r="FB6" s="235"/>
      <c r="FC6" s="235"/>
      <c r="FD6" s="235"/>
      <c r="FE6" s="235"/>
      <c r="FF6" s="235"/>
      <c r="FG6" s="235"/>
      <c r="FH6" s="235"/>
      <c r="FI6" s="235"/>
      <c r="FJ6" s="235"/>
      <c r="FK6" s="235"/>
      <c r="FL6" s="235"/>
      <c r="FM6" s="235"/>
      <c r="FN6" s="235"/>
      <c r="FO6" s="235"/>
      <c r="FP6" s="235"/>
      <c r="FQ6" s="235"/>
      <c r="FR6" s="235"/>
      <c r="FS6" s="235"/>
      <c r="FT6" s="235"/>
      <c r="FU6" s="235"/>
      <c r="FV6" s="235"/>
      <c r="FW6" s="235"/>
      <c r="FX6" s="267"/>
      <c r="FY6" s="267"/>
      <c r="FZ6" s="268"/>
    </row>
    <row r="7" spans="1:182" hidden="1">
      <c r="A7" s="205"/>
      <c r="B7" s="205"/>
      <c r="C7" s="205"/>
      <c r="D7" s="212"/>
      <c r="E7" s="213"/>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7"/>
      <c r="CN7" s="210"/>
      <c r="CO7" s="210"/>
      <c r="CP7" s="210"/>
      <c r="CQ7" s="210"/>
      <c r="CR7" s="210"/>
      <c r="CS7" s="210"/>
      <c r="CT7" s="210"/>
      <c r="CU7" s="210"/>
      <c r="CV7" s="210"/>
      <c r="CW7" s="210"/>
      <c r="CX7" s="210"/>
      <c r="CY7" s="210"/>
      <c r="CZ7" s="210"/>
      <c r="DA7" s="210"/>
      <c r="DB7" s="210"/>
      <c r="DC7" s="210"/>
      <c r="DD7" s="210"/>
      <c r="DE7" s="210"/>
      <c r="DF7" s="210"/>
      <c r="DG7" s="210"/>
      <c r="DH7" s="210"/>
      <c r="DI7" s="210"/>
      <c r="DJ7" s="210"/>
      <c r="DK7" s="210"/>
      <c r="DL7" s="210"/>
      <c r="DM7" s="210"/>
      <c r="DN7" s="210"/>
      <c r="DO7" s="210"/>
      <c r="DP7" s="210"/>
      <c r="DQ7" s="210"/>
      <c r="DR7" s="210"/>
      <c r="DS7" s="210"/>
      <c r="DT7" s="210"/>
      <c r="DU7" s="210"/>
      <c r="DV7" s="210"/>
      <c r="DW7" s="210"/>
      <c r="DX7" s="210"/>
      <c r="DY7" s="210"/>
      <c r="DZ7" s="210"/>
      <c r="EA7" s="210"/>
      <c r="EB7" s="210"/>
      <c r="EC7" s="210"/>
      <c r="ED7" s="210"/>
      <c r="EE7" s="210"/>
      <c r="EF7" s="210"/>
      <c r="EG7" s="210"/>
      <c r="EH7" s="210"/>
      <c r="EI7" s="210"/>
      <c r="EJ7" s="210"/>
      <c r="EK7" s="210"/>
      <c r="EL7" s="210"/>
      <c r="EM7" s="210"/>
      <c r="EN7" s="210"/>
      <c r="EO7" s="210"/>
      <c r="EP7" s="210"/>
      <c r="EQ7" s="210"/>
      <c r="ER7" s="210"/>
      <c r="ES7" s="210"/>
      <c r="ET7" s="210"/>
      <c r="EU7" s="210"/>
      <c r="EV7" s="208"/>
      <c r="EW7" s="208"/>
      <c r="EX7" s="208"/>
      <c r="EY7" s="208"/>
      <c r="EZ7" s="208"/>
      <c r="FA7" s="208"/>
      <c r="FB7" s="211"/>
      <c r="FC7" s="211"/>
      <c r="FD7" s="211"/>
      <c r="FE7" s="211"/>
      <c r="FF7" s="211"/>
      <c r="FG7" s="211"/>
      <c r="FH7" s="211"/>
      <c r="FI7" s="211"/>
      <c r="FJ7" s="211"/>
      <c r="FK7" s="211"/>
      <c r="FL7" s="211"/>
      <c r="FM7" s="211"/>
      <c r="FN7" s="211"/>
      <c r="FO7" s="211"/>
      <c r="FP7" s="211"/>
      <c r="FQ7" s="211"/>
      <c r="FR7" s="211"/>
      <c r="FS7" s="211"/>
      <c r="FT7" s="211"/>
      <c r="FU7" s="211"/>
      <c r="FV7" s="211"/>
      <c r="FW7" s="211"/>
      <c r="FX7" s="209"/>
      <c r="FY7" s="209"/>
      <c r="FZ7" s="209"/>
    </row>
    <row r="8" spans="1:182" hidden="1">
      <c r="A8" s="205"/>
      <c r="B8" s="205"/>
      <c r="C8" s="205"/>
      <c r="D8" s="212"/>
      <c r="E8" s="213"/>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08"/>
      <c r="EW8" s="208"/>
      <c r="EX8" s="208"/>
      <c r="EY8" s="208"/>
      <c r="EZ8" s="208"/>
      <c r="FA8" s="208"/>
      <c r="FB8" s="211"/>
      <c r="FC8" s="211"/>
      <c r="FD8" s="211"/>
      <c r="FE8" s="211"/>
      <c r="FF8" s="211"/>
      <c r="FG8" s="211"/>
      <c r="FH8" s="211"/>
      <c r="FI8" s="211"/>
      <c r="FJ8" s="211"/>
      <c r="FK8" s="211"/>
      <c r="FL8" s="211"/>
      <c r="FM8" s="211"/>
      <c r="FN8" s="211"/>
      <c r="FO8" s="211"/>
      <c r="FP8" s="211"/>
      <c r="FQ8" s="211"/>
      <c r="FR8" s="211"/>
      <c r="FS8" s="211"/>
      <c r="FT8" s="211"/>
      <c r="FU8" s="211"/>
      <c r="FV8" s="211"/>
      <c r="FW8" s="211"/>
      <c r="FX8" s="209"/>
      <c r="FY8" s="209"/>
      <c r="FZ8" s="209"/>
    </row>
    <row r="9" spans="1:182" hidden="1">
      <c r="A9" s="203"/>
      <c r="B9" s="205"/>
      <c r="C9" s="205"/>
      <c r="D9" s="212"/>
      <c r="E9" s="213"/>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08"/>
      <c r="EW9" s="208"/>
      <c r="EX9" s="208"/>
      <c r="EY9" s="208"/>
      <c r="EZ9" s="208"/>
      <c r="FA9" s="208"/>
      <c r="FB9" s="211"/>
      <c r="FC9" s="211"/>
      <c r="FD9" s="211"/>
      <c r="FE9" s="211"/>
      <c r="FF9" s="211"/>
      <c r="FG9" s="211"/>
      <c r="FH9" s="211"/>
      <c r="FI9" s="211"/>
      <c r="FJ9" s="211"/>
      <c r="FK9" s="211"/>
      <c r="FL9" s="211"/>
      <c r="FM9" s="211"/>
      <c r="FN9" s="211"/>
      <c r="FO9" s="211"/>
      <c r="FP9" s="211"/>
      <c r="FQ9" s="211"/>
      <c r="FR9" s="211"/>
      <c r="FS9" s="211"/>
      <c r="FT9" s="211"/>
      <c r="FU9" s="211"/>
      <c r="FV9" s="211"/>
      <c r="FW9" s="211"/>
      <c r="FX9" s="209"/>
      <c r="FY9" s="209"/>
      <c r="FZ9" s="209"/>
    </row>
    <row r="10" spans="1:182" hidden="1">
      <c r="A10" s="205"/>
      <c r="B10" s="205"/>
      <c r="C10" s="205"/>
      <c r="D10" s="212"/>
      <c r="E10" s="213"/>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7"/>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08"/>
      <c r="EW10" s="208"/>
      <c r="EX10" s="208"/>
      <c r="EY10" s="208"/>
      <c r="EZ10" s="208"/>
      <c r="FA10" s="208"/>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09"/>
      <c r="FY10" s="209"/>
      <c r="FZ10" s="209"/>
    </row>
    <row r="13" spans="1:182">
      <c r="A13" s="27" t="s">
        <v>662</v>
      </c>
    </row>
    <row r="15" spans="1:182">
      <c r="A15" s="196"/>
    </row>
    <row r="16" spans="1:182">
      <c r="A16" s="196"/>
    </row>
    <row r="17" spans="1:1">
      <c r="A17" s="196"/>
    </row>
    <row r="18" spans="1:1">
      <c r="A18" s="196"/>
    </row>
    <row r="19" spans="1:1">
      <c r="A19" s="196"/>
    </row>
    <row r="20" spans="1:1">
      <c r="A20" s="196"/>
    </row>
    <row r="21" spans="1:1">
      <c r="A21" s="196"/>
    </row>
    <row r="22" spans="1:1">
      <c r="A22" s="196"/>
    </row>
    <row r="23" spans="1:1">
      <c r="A23" s="196"/>
    </row>
    <row r="24" spans="1:1">
      <c r="A24" s="196"/>
    </row>
    <row r="25" spans="1:1">
      <c r="A25" s="196"/>
    </row>
    <row r="26" spans="1:1">
      <c r="A26" s="196"/>
    </row>
    <row r="27" spans="1:1">
      <c r="A27" s="196"/>
    </row>
    <row r="28" spans="1:1">
      <c r="A28" s="196"/>
    </row>
    <row r="29" spans="1:1">
      <c r="A29" s="196"/>
    </row>
    <row r="30" spans="1:1">
      <c r="A30" s="196"/>
    </row>
    <row r="31" spans="1:1">
      <c r="A31" s="196"/>
    </row>
    <row r="32" spans="1:1">
      <c r="A32" s="196"/>
    </row>
    <row r="33" spans="1:1">
      <c r="A33" s="196"/>
    </row>
    <row r="34" spans="1:1">
      <c r="A34" s="196"/>
    </row>
    <row r="35" spans="1:1">
      <c r="A35" s="196"/>
    </row>
    <row r="36" spans="1:1">
      <c r="A36" s="196"/>
    </row>
    <row r="37" spans="1:1">
      <c r="A37" s="196"/>
    </row>
    <row r="38" spans="1:1">
      <c r="A38" s="196"/>
    </row>
    <row r="39" spans="1:1">
      <c r="A39" s="196"/>
    </row>
    <row r="40" spans="1:1">
      <c r="A40" s="196"/>
    </row>
    <row r="41" spans="1:1">
      <c r="A41" s="196"/>
    </row>
    <row r="42" spans="1:1">
      <c r="A42" s="196"/>
    </row>
    <row r="43" spans="1:1">
      <c r="A43" s="196"/>
    </row>
    <row r="44" spans="1:1">
      <c r="A44" s="196"/>
    </row>
    <row r="45" spans="1:1">
      <c r="A45" s="196"/>
    </row>
    <row r="46" spans="1:1">
      <c r="A46" s="196"/>
    </row>
    <row r="47" spans="1:1">
      <c r="A47" s="196"/>
    </row>
    <row r="48" spans="1:1">
      <c r="A48" s="196"/>
    </row>
    <row r="49" spans="1:1">
      <c r="A49" s="196"/>
    </row>
    <row r="50" spans="1:1">
      <c r="A50" s="196"/>
    </row>
    <row r="51" spans="1:1">
      <c r="A51" s="196"/>
    </row>
    <row r="52" spans="1:1">
      <c r="A52" s="196"/>
    </row>
    <row r="53" spans="1:1">
      <c r="A53" s="196"/>
    </row>
    <row r="54" spans="1:1">
      <c r="A54" s="196"/>
    </row>
    <row r="55" spans="1:1">
      <c r="A55" s="196"/>
    </row>
    <row r="56" spans="1:1">
      <c r="A56" s="196"/>
    </row>
    <row r="57" spans="1:1">
      <c r="A57" s="196"/>
    </row>
    <row r="58" spans="1:1">
      <c r="A58" s="196"/>
    </row>
    <row r="59" spans="1:1">
      <c r="A59" s="196"/>
    </row>
    <row r="60" spans="1:1">
      <c r="A60" s="196"/>
    </row>
    <row r="61" spans="1:1">
      <c r="A61" s="196"/>
    </row>
    <row r="62" spans="1:1">
      <c r="A62" s="196"/>
    </row>
    <row r="63" spans="1:1">
      <c r="A63" s="196"/>
    </row>
    <row r="64" spans="1:1">
      <c r="A64" s="196"/>
    </row>
    <row r="65" spans="1:1">
      <c r="A65" s="196"/>
    </row>
    <row r="66" spans="1:1">
      <c r="A66" s="196"/>
    </row>
    <row r="67" spans="1:1">
      <c r="A67" s="196"/>
    </row>
    <row r="68" spans="1:1">
      <c r="A68" s="196"/>
    </row>
    <row r="69" spans="1:1">
      <c r="A69" s="196"/>
    </row>
    <row r="70" spans="1:1">
      <c r="A70" s="196"/>
    </row>
    <row r="71" spans="1:1">
      <c r="A71" s="196"/>
    </row>
    <row r="72" spans="1:1">
      <c r="A72" s="196"/>
    </row>
    <row r="73" spans="1:1">
      <c r="A73" s="196"/>
    </row>
    <row r="74" spans="1:1">
      <c r="A74" s="196"/>
    </row>
    <row r="75" spans="1:1">
      <c r="A75" s="196"/>
    </row>
    <row r="76" spans="1:1">
      <c r="A76" s="196"/>
    </row>
    <row r="77" spans="1:1">
      <c r="A77" s="196"/>
    </row>
    <row r="78" spans="1:1">
      <c r="A78" s="196"/>
    </row>
    <row r="79" spans="1:1">
      <c r="A79" s="196"/>
    </row>
    <row r="80" spans="1:1">
      <c r="A80" s="196"/>
    </row>
    <row r="81" spans="1:1">
      <c r="A81" s="196"/>
    </row>
    <row r="82" spans="1:1">
      <c r="A82" s="196"/>
    </row>
    <row r="83" spans="1:1">
      <c r="A83" s="196"/>
    </row>
    <row r="84" spans="1:1">
      <c r="A84" s="196"/>
    </row>
    <row r="85" spans="1:1">
      <c r="A85" s="196"/>
    </row>
    <row r="86" spans="1:1">
      <c r="A86" s="196"/>
    </row>
    <row r="87" spans="1:1">
      <c r="A87" s="196"/>
    </row>
    <row r="88" spans="1:1">
      <c r="A88" s="196"/>
    </row>
    <row r="89" spans="1:1">
      <c r="A89" s="196"/>
    </row>
    <row r="90" spans="1:1">
      <c r="A90" s="196"/>
    </row>
    <row r="91" spans="1:1">
      <c r="A91" s="196"/>
    </row>
    <row r="92" spans="1:1">
      <c r="A92" s="196"/>
    </row>
    <row r="93" spans="1:1">
      <c r="A93" s="196"/>
    </row>
    <row r="94" spans="1:1">
      <c r="A94" s="196"/>
    </row>
    <row r="95" spans="1:1">
      <c r="A95" s="196"/>
    </row>
    <row r="96" spans="1:1">
      <c r="A96" s="196"/>
    </row>
    <row r="97" spans="1:1">
      <c r="A97" s="196"/>
    </row>
    <row r="98" spans="1:1">
      <c r="A98" s="196"/>
    </row>
    <row r="99" spans="1:1">
      <c r="A99" s="196"/>
    </row>
    <row r="100" spans="1:1">
      <c r="A100" s="196"/>
    </row>
    <row r="101" spans="1:1">
      <c r="A101" s="196"/>
    </row>
    <row r="102" spans="1:1">
      <c r="A102" s="196"/>
    </row>
    <row r="103" spans="1:1">
      <c r="A103" s="196"/>
    </row>
    <row r="104" spans="1:1">
      <c r="A104" s="196"/>
    </row>
    <row r="105" spans="1:1">
      <c r="A105" s="196"/>
    </row>
    <row r="106" spans="1:1">
      <c r="A106" s="196"/>
    </row>
    <row r="107" spans="1:1">
      <c r="A107" s="196"/>
    </row>
    <row r="108" spans="1:1">
      <c r="A108" s="196"/>
    </row>
    <row r="109" spans="1:1">
      <c r="A109" s="196"/>
    </row>
    <row r="110" spans="1:1">
      <c r="A110" s="196"/>
    </row>
    <row r="111" spans="1:1">
      <c r="A111" s="196"/>
    </row>
    <row r="112" spans="1:1">
      <c r="A112" s="196"/>
    </row>
    <row r="113" spans="1:1">
      <c r="A113" s="196"/>
    </row>
    <row r="114" spans="1:1">
      <c r="A114" s="196"/>
    </row>
    <row r="115" spans="1:1">
      <c r="A115" s="196"/>
    </row>
    <row r="116" spans="1:1">
      <c r="A116" s="196"/>
    </row>
    <row r="117" spans="1:1">
      <c r="A117" s="196"/>
    </row>
    <row r="118" spans="1:1">
      <c r="A118" s="196"/>
    </row>
    <row r="119" spans="1:1">
      <c r="A119" s="196"/>
    </row>
    <row r="120" spans="1:1">
      <c r="A120" s="196"/>
    </row>
    <row r="121" spans="1:1">
      <c r="A121" s="196"/>
    </row>
    <row r="122" spans="1:1">
      <c r="A122" s="196"/>
    </row>
    <row r="123" spans="1:1">
      <c r="A123" s="196"/>
    </row>
    <row r="124" spans="1:1">
      <c r="A124" s="196"/>
    </row>
  </sheetData>
  <sheetProtection algorithmName="SHA-512" hashValue="h1VNV8Go9WORKBK/3bk8t5nZqSvnQOEsZcGKcvuBUWXDUw5ZES88Dbh8OoT/b7UKCFXpF0PX0aToZ3u67NNBDA==" saltValue="hTpuDgAx/RPRkNZHE1EeAQ==" spinCount="100000" sheet="1" objects="1" scenarios="1"/>
  <mergeCells count="3">
    <mergeCell ref="BI1:BQ1"/>
    <mergeCell ref="BR1:BU1"/>
    <mergeCell ref="BV1:CN1"/>
  </mergeCells>
  <phoneticPr fontId="11"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E1B0-F359-4A21-BDB6-4AA7FEEF68D4}">
  <sheetPr codeName="Sheet16"/>
  <dimension ref="A1"/>
  <sheetViews>
    <sheetView workbookViewId="0">
      <selection activeCell="D4" sqref="D4"/>
    </sheetView>
  </sheetViews>
  <sheetFormatPr defaultRowHeight="13.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13"/>
  </sheetPr>
  <dimension ref="A1:G69"/>
  <sheetViews>
    <sheetView workbookViewId="0">
      <pane xSplit="3" ySplit="3" topLeftCell="D4" activePane="bottomRight" state="frozen"/>
      <selection pane="topRight" activeCell="D1" sqref="D1"/>
      <selection pane="bottomLeft" activeCell="A4" sqref="A4"/>
      <selection pane="bottomRight" activeCell="D57" sqref="D57"/>
    </sheetView>
  </sheetViews>
  <sheetFormatPr defaultRowHeight="13.2"/>
  <cols>
    <col min="2" max="2" width="44.88671875" bestFit="1" customWidth="1"/>
    <col min="3" max="3" width="13.33203125" customWidth="1"/>
    <col min="4" max="4" width="11.109375" style="162" bestFit="1" customWidth="1"/>
    <col min="5" max="5" width="1.88671875" customWidth="1"/>
    <col min="6" max="6" width="10.109375" bestFit="1" customWidth="1"/>
  </cols>
  <sheetData>
    <row r="1" spans="1:7">
      <c r="A1" s="218" t="s">
        <v>663</v>
      </c>
      <c r="C1" s="217"/>
      <c r="D1" s="272" t="s">
        <v>664</v>
      </c>
      <c r="G1" s="256"/>
    </row>
    <row r="2" spans="1:7">
      <c r="C2" s="217"/>
    </row>
    <row r="3" spans="1:7" s="160" customFormat="1" ht="25.5" customHeight="1">
      <c r="A3" s="160" t="s">
        <v>546</v>
      </c>
      <c r="B3" s="299" t="s">
        <v>547</v>
      </c>
      <c r="C3" s="160" t="s">
        <v>590</v>
      </c>
      <c r="D3" s="298" t="s">
        <v>665</v>
      </c>
    </row>
    <row r="4" spans="1:7">
      <c r="A4" t="s">
        <v>666</v>
      </c>
      <c r="B4" t="s">
        <v>667</v>
      </c>
      <c r="C4" t="s">
        <v>668</v>
      </c>
      <c r="D4" s="354">
        <v>60000</v>
      </c>
      <c r="G4" s="257"/>
    </row>
    <row r="5" spans="1:7">
      <c r="A5" t="s">
        <v>669</v>
      </c>
      <c r="B5" t="s">
        <v>670</v>
      </c>
      <c r="C5" t="s">
        <v>668</v>
      </c>
      <c r="D5" s="354">
        <v>67192.946929440775</v>
      </c>
    </row>
    <row r="6" spans="1:7">
      <c r="A6" t="s">
        <v>671</v>
      </c>
      <c r="B6" t="s">
        <v>672</v>
      </c>
      <c r="C6" t="s">
        <v>668</v>
      </c>
      <c r="D6" s="354">
        <v>60000</v>
      </c>
    </row>
    <row r="7" spans="1:7">
      <c r="A7" t="s">
        <v>673</v>
      </c>
      <c r="B7" t="s">
        <v>674</v>
      </c>
      <c r="C7" t="s">
        <v>668</v>
      </c>
      <c r="D7" s="354">
        <v>60000</v>
      </c>
    </row>
    <row r="8" spans="1:7">
      <c r="A8" t="s">
        <v>675</v>
      </c>
      <c r="B8" t="s">
        <v>676</v>
      </c>
      <c r="C8" t="s">
        <v>668</v>
      </c>
      <c r="D8" s="354">
        <v>60000</v>
      </c>
    </row>
    <row r="9" spans="1:7">
      <c r="A9" t="s">
        <v>677</v>
      </c>
      <c r="B9" t="s">
        <v>678</v>
      </c>
      <c r="C9" t="s">
        <v>668</v>
      </c>
      <c r="D9" s="354">
        <v>81239.627652305644</v>
      </c>
    </row>
    <row r="10" spans="1:7">
      <c r="A10" s="219" t="s">
        <v>679</v>
      </c>
      <c r="B10" s="219" t="s">
        <v>680</v>
      </c>
      <c r="C10" s="219" t="s">
        <v>668</v>
      </c>
      <c r="D10" s="355">
        <v>60000</v>
      </c>
    </row>
    <row r="11" spans="1:7">
      <c r="A11" t="s">
        <v>681</v>
      </c>
      <c r="B11" t="s">
        <v>682</v>
      </c>
      <c r="C11" t="s">
        <v>683</v>
      </c>
      <c r="D11" s="354">
        <v>64484.54309835413</v>
      </c>
      <c r="G11" s="273"/>
    </row>
    <row r="12" spans="1:7">
      <c r="A12" t="s">
        <v>684</v>
      </c>
      <c r="B12" t="s">
        <v>685</v>
      </c>
      <c r="C12" t="s">
        <v>683</v>
      </c>
      <c r="D12" s="354">
        <v>199632.99565419366</v>
      </c>
      <c r="G12" s="273"/>
    </row>
    <row r="13" spans="1:7">
      <c r="A13" t="s">
        <v>686</v>
      </c>
      <c r="B13" t="s">
        <v>687</v>
      </c>
      <c r="C13" t="s">
        <v>683</v>
      </c>
      <c r="D13" s="354">
        <v>101445.61195614</v>
      </c>
      <c r="G13" s="273"/>
    </row>
    <row r="14" spans="1:7">
      <c r="A14" t="s">
        <v>688</v>
      </c>
      <c r="B14" t="s">
        <v>689</v>
      </c>
      <c r="C14" t="s">
        <v>683</v>
      </c>
      <c r="D14" s="354">
        <v>88176.903519648593</v>
      </c>
      <c r="G14" s="273"/>
    </row>
    <row r="15" spans="1:7">
      <c r="A15" t="s">
        <v>690</v>
      </c>
      <c r="B15" t="s">
        <v>691</v>
      </c>
      <c r="C15" t="s">
        <v>683</v>
      </c>
      <c r="D15" s="354">
        <v>60000</v>
      </c>
      <c r="G15" s="273"/>
    </row>
    <row r="16" spans="1:7">
      <c r="A16" t="s">
        <v>692</v>
      </c>
      <c r="B16" t="s">
        <v>693</v>
      </c>
      <c r="C16" t="s">
        <v>683</v>
      </c>
      <c r="D16" s="354">
        <v>137717.98487367539</v>
      </c>
      <c r="G16" s="273"/>
    </row>
    <row r="17" spans="1:7">
      <c r="A17" t="s">
        <v>694</v>
      </c>
      <c r="B17" t="s">
        <v>695</v>
      </c>
      <c r="C17" t="s">
        <v>683</v>
      </c>
      <c r="D17" s="354">
        <v>155032.26657252535</v>
      </c>
      <c r="G17" s="273"/>
    </row>
    <row r="18" spans="1:7">
      <c r="A18" t="s">
        <v>696</v>
      </c>
      <c r="B18" t="s">
        <v>697</v>
      </c>
      <c r="C18" t="s">
        <v>683</v>
      </c>
      <c r="D18" s="354">
        <v>61019.608742133591</v>
      </c>
      <c r="G18" s="273"/>
    </row>
    <row r="19" spans="1:7">
      <c r="A19" t="s">
        <v>698</v>
      </c>
      <c r="B19" t="s">
        <v>699</v>
      </c>
      <c r="C19" t="s">
        <v>683</v>
      </c>
      <c r="D19" s="354">
        <v>157101.86485417566</v>
      </c>
      <c r="G19" s="273"/>
    </row>
    <row r="20" spans="1:7">
      <c r="A20" t="s">
        <v>700</v>
      </c>
      <c r="B20" t="s">
        <v>701</v>
      </c>
      <c r="C20" t="s">
        <v>683</v>
      </c>
      <c r="D20" s="354">
        <v>65952.84056887831</v>
      </c>
      <c r="G20" s="273"/>
    </row>
    <row r="21" spans="1:7">
      <c r="A21" t="s">
        <v>702</v>
      </c>
      <c r="B21" t="s">
        <v>703</v>
      </c>
      <c r="C21" t="s">
        <v>683</v>
      </c>
      <c r="D21" s="354">
        <v>159336.82751592438</v>
      </c>
      <c r="G21" s="273"/>
    </row>
    <row r="22" spans="1:7">
      <c r="A22" t="s">
        <v>704</v>
      </c>
      <c r="B22" t="s">
        <v>705</v>
      </c>
      <c r="C22" t="s">
        <v>683</v>
      </c>
      <c r="D22" s="354">
        <v>105244.49420646553</v>
      </c>
      <c r="G22" s="273"/>
    </row>
    <row r="23" spans="1:7">
      <c r="A23" t="s">
        <v>706</v>
      </c>
      <c r="B23" t="s">
        <v>707</v>
      </c>
      <c r="C23" t="s">
        <v>683</v>
      </c>
      <c r="D23" s="354">
        <v>166700.87705720653</v>
      </c>
      <c r="G23" s="273"/>
    </row>
    <row r="24" spans="1:7">
      <c r="A24" t="s">
        <v>708</v>
      </c>
      <c r="B24" t="s">
        <v>709</v>
      </c>
      <c r="C24" t="s">
        <v>683</v>
      </c>
      <c r="D24" s="354">
        <v>70879.083470495403</v>
      </c>
      <c r="G24" s="273"/>
    </row>
    <row r="25" spans="1:7">
      <c r="A25" t="s">
        <v>710</v>
      </c>
      <c r="B25" t="s">
        <v>711</v>
      </c>
      <c r="C25" t="s">
        <v>683</v>
      </c>
      <c r="D25" s="354">
        <v>136123.20498492668</v>
      </c>
      <c r="G25" s="273"/>
    </row>
    <row r="26" spans="1:7">
      <c r="A26" t="s">
        <v>712</v>
      </c>
      <c r="B26" t="s">
        <v>713</v>
      </c>
      <c r="C26" t="s">
        <v>683</v>
      </c>
      <c r="D26" s="354">
        <v>195837.98271379378</v>
      </c>
      <c r="G26" s="273"/>
    </row>
    <row r="27" spans="1:7">
      <c r="A27" t="s">
        <v>714</v>
      </c>
      <c r="B27" t="s">
        <v>715</v>
      </c>
      <c r="C27" t="s">
        <v>683</v>
      </c>
      <c r="D27" s="354">
        <v>125713.4436476704</v>
      </c>
      <c r="G27" s="273"/>
    </row>
    <row r="28" spans="1:7">
      <c r="A28" t="s">
        <v>716</v>
      </c>
      <c r="B28" t="s">
        <v>717</v>
      </c>
      <c r="C28" t="s">
        <v>683</v>
      </c>
      <c r="D28" s="354">
        <v>83136.295706436184</v>
      </c>
      <c r="G28" s="273"/>
    </row>
    <row r="29" spans="1:7">
      <c r="A29" t="s">
        <v>718</v>
      </c>
      <c r="B29" t="s">
        <v>719</v>
      </c>
      <c r="C29" t="s">
        <v>683</v>
      </c>
      <c r="D29" s="354">
        <v>161065.6269430418</v>
      </c>
      <c r="G29" s="273"/>
    </row>
    <row r="30" spans="1:7">
      <c r="A30" t="s">
        <v>720</v>
      </c>
      <c r="B30" t="s">
        <v>721</v>
      </c>
      <c r="C30" t="s">
        <v>683</v>
      </c>
      <c r="D30" s="354">
        <v>108043.05820392226</v>
      </c>
      <c r="G30" s="273"/>
    </row>
    <row r="31" spans="1:7">
      <c r="A31" t="s">
        <v>722</v>
      </c>
      <c r="B31" t="s">
        <v>723</v>
      </c>
      <c r="C31" t="s">
        <v>683</v>
      </c>
      <c r="D31" s="354">
        <v>126272.7915384192</v>
      </c>
      <c r="G31" s="273"/>
    </row>
    <row r="32" spans="1:7">
      <c r="A32" t="s">
        <v>724</v>
      </c>
      <c r="B32" t="s">
        <v>725</v>
      </c>
      <c r="C32" t="s">
        <v>683</v>
      </c>
      <c r="D32" s="354">
        <v>148415.77776431793</v>
      </c>
      <c r="G32" s="273"/>
    </row>
    <row r="33" spans="1:7">
      <c r="A33" t="s">
        <v>726</v>
      </c>
      <c r="B33" t="s">
        <v>727</v>
      </c>
      <c r="C33" t="s">
        <v>683</v>
      </c>
      <c r="D33" s="354">
        <v>60000</v>
      </c>
      <c r="G33" s="273"/>
    </row>
    <row r="34" spans="1:7">
      <c r="A34" t="s">
        <v>728</v>
      </c>
      <c r="B34" t="s">
        <v>729</v>
      </c>
      <c r="C34" t="s">
        <v>683</v>
      </c>
      <c r="D34" s="354">
        <v>117904.81078242874</v>
      </c>
      <c r="G34" s="273"/>
    </row>
    <row r="35" spans="1:7">
      <c r="A35" t="s">
        <v>730</v>
      </c>
      <c r="B35" t="s">
        <v>731</v>
      </c>
      <c r="C35" t="s">
        <v>683</v>
      </c>
      <c r="D35" s="354">
        <v>228867.15463189478</v>
      </c>
      <c r="G35" s="273"/>
    </row>
    <row r="36" spans="1:7">
      <c r="A36" t="s">
        <v>732</v>
      </c>
      <c r="B36" t="s">
        <v>733</v>
      </c>
      <c r="C36" t="s">
        <v>683</v>
      </c>
      <c r="D36" s="354">
        <v>151752.98257040998</v>
      </c>
      <c r="G36" s="273"/>
    </row>
    <row r="37" spans="1:7">
      <c r="A37" t="s">
        <v>734</v>
      </c>
      <c r="B37" t="s">
        <v>735</v>
      </c>
      <c r="C37" t="s">
        <v>683</v>
      </c>
      <c r="D37" s="354">
        <v>145381.74397687268</v>
      </c>
      <c r="G37" s="273"/>
    </row>
    <row r="38" spans="1:7">
      <c r="A38" t="s">
        <v>736</v>
      </c>
      <c r="B38" t="s">
        <v>737</v>
      </c>
      <c r="C38" t="s">
        <v>683</v>
      </c>
      <c r="D38" s="354">
        <v>156301.60167724272</v>
      </c>
      <c r="G38" s="273"/>
    </row>
    <row r="39" spans="1:7">
      <c r="A39" t="s">
        <v>738</v>
      </c>
      <c r="B39" t="s">
        <v>739</v>
      </c>
      <c r="C39" t="s">
        <v>683</v>
      </c>
      <c r="D39" s="354">
        <v>125362.08013566</v>
      </c>
      <c r="G39" s="273"/>
    </row>
    <row r="40" spans="1:7">
      <c r="A40" t="s">
        <v>740</v>
      </c>
      <c r="B40" t="s">
        <v>741</v>
      </c>
      <c r="C40" t="s">
        <v>683</v>
      </c>
      <c r="D40" s="354">
        <v>69868.631991944087</v>
      </c>
      <c r="G40" s="273"/>
    </row>
    <row r="41" spans="1:7">
      <c r="A41" t="s">
        <v>742</v>
      </c>
      <c r="B41" t="s">
        <v>743</v>
      </c>
      <c r="C41" t="s">
        <v>683</v>
      </c>
      <c r="D41" s="354">
        <v>154697.64573309178</v>
      </c>
      <c r="G41" s="273"/>
    </row>
    <row r="42" spans="1:7">
      <c r="A42" t="s">
        <v>744</v>
      </c>
      <c r="B42" t="s">
        <v>745</v>
      </c>
      <c r="C42" t="s">
        <v>683</v>
      </c>
      <c r="D42" s="354">
        <v>150069.52041666326</v>
      </c>
      <c r="G42" s="273"/>
    </row>
    <row r="43" spans="1:7">
      <c r="A43" t="s">
        <v>746</v>
      </c>
      <c r="B43" t="s">
        <v>747</v>
      </c>
      <c r="C43" t="s">
        <v>683</v>
      </c>
      <c r="D43" s="354">
        <v>227380.51500160951</v>
      </c>
      <c r="G43" s="273"/>
    </row>
    <row r="44" spans="1:7">
      <c r="A44" t="s">
        <v>748</v>
      </c>
      <c r="B44" t="s">
        <v>749</v>
      </c>
      <c r="C44" t="s">
        <v>683</v>
      </c>
      <c r="D44" s="354">
        <v>147502.96545508914</v>
      </c>
      <c r="G44" s="273"/>
    </row>
    <row r="45" spans="1:7">
      <c r="A45" t="s">
        <v>750</v>
      </c>
      <c r="B45" t="s">
        <v>751</v>
      </c>
      <c r="C45" t="s">
        <v>683</v>
      </c>
      <c r="D45" s="354">
        <v>143788.92558431605</v>
      </c>
      <c r="G45" s="273"/>
    </row>
    <row r="46" spans="1:7">
      <c r="A46" t="s">
        <v>752</v>
      </c>
      <c r="B46" t="s">
        <v>753</v>
      </c>
      <c r="C46" t="s">
        <v>683</v>
      </c>
      <c r="D46" s="354">
        <v>73842.953748706132</v>
      </c>
      <c r="G46" s="273"/>
    </row>
    <row r="47" spans="1:7">
      <c r="A47" t="s">
        <v>754</v>
      </c>
      <c r="B47" t="s">
        <v>755</v>
      </c>
      <c r="C47" t="s">
        <v>683</v>
      </c>
      <c r="D47" s="354">
        <v>133525.2432454896</v>
      </c>
      <c r="G47" s="273"/>
    </row>
    <row r="48" spans="1:7">
      <c r="A48" t="s">
        <v>756</v>
      </c>
      <c r="B48" t="s">
        <v>757</v>
      </c>
      <c r="C48" t="s">
        <v>683</v>
      </c>
      <c r="D48" s="354">
        <v>133155.50588344646</v>
      </c>
      <c r="G48" s="273"/>
    </row>
    <row r="49" spans="1:7">
      <c r="A49" t="s">
        <v>758</v>
      </c>
      <c r="B49" t="s">
        <v>759</v>
      </c>
      <c r="C49" t="s">
        <v>683</v>
      </c>
      <c r="D49" s="354">
        <v>114200.7231283032</v>
      </c>
      <c r="G49" s="273"/>
    </row>
    <row r="50" spans="1:7">
      <c r="A50" t="s">
        <v>760</v>
      </c>
      <c r="B50" t="s">
        <v>761</v>
      </c>
      <c r="C50" t="s">
        <v>683</v>
      </c>
      <c r="D50" s="354">
        <v>77020.953856401931</v>
      </c>
      <c r="G50" s="273"/>
    </row>
    <row r="51" spans="1:7">
      <c r="A51" t="s">
        <v>762</v>
      </c>
      <c r="B51" t="s">
        <v>763</v>
      </c>
      <c r="C51" t="s">
        <v>683</v>
      </c>
      <c r="D51" s="354">
        <v>153551.71789318605</v>
      </c>
      <c r="G51" s="273"/>
    </row>
    <row r="52" spans="1:7">
      <c r="A52" t="s">
        <v>764</v>
      </c>
      <c r="B52" t="s">
        <v>765</v>
      </c>
      <c r="C52" t="s">
        <v>683</v>
      </c>
      <c r="D52" s="354">
        <v>73598.679144831563</v>
      </c>
      <c r="G52" s="273"/>
    </row>
    <row r="53" spans="1:7">
      <c r="A53" t="s">
        <v>766</v>
      </c>
      <c r="B53" t="s">
        <v>767</v>
      </c>
      <c r="C53" t="s">
        <v>683</v>
      </c>
      <c r="D53" s="354">
        <v>159472.03330551932</v>
      </c>
      <c r="G53" s="273"/>
    </row>
    <row r="54" spans="1:7">
      <c r="A54" t="s">
        <v>768</v>
      </c>
      <c r="B54" t="s">
        <v>769</v>
      </c>
      <c r="C54" t="s">
        <v>683</v>
      </c>
      <c r="D54" s="354">
        <v>60000</v>
      </c>
      <c r="G54" s="273"/>
    </row>
    <row r="55" spans="1:7">
      <c r="A55" t="s">
        <v>770</v>
      </c>
      <c r="B55" t="s">
        <v>771</v>
      </c>
      <c r="C55" t="s">
        <v>683</v>
      </c>
      <c r="D55" s="354">
        <v>94797.677438968662</v>
      </c>
      <c r="G55" s="273"/>
    </row>
    <row r="56" spans="1:7">
      <c r="A56" t="s">
        <v>772</v>
      </c>
      <c r="B56" t="s">
        <v>773</v>
      </c>
      <c r="C56" t="s">
        <v>683</v>
      </c>
      <c r="D56" s="354">
        <v>68502.577781952088</v>
      </c>
      <c r="G56" s="273"/>
    </row>
    <row r="57" spans="1:7">
      <c r="A57" t="s">
        <v>774</v>
      </c>
      <c r="B57" t="s">
        <v>775</v>
      </c>
      <c r="C57" t="s">
        <v>683</v>
      </c>
      <c r="D57" s="354">
        <v>184262.36223598127</v>
      </c>
      <c r="G57" s="273"/>
    </row>
    <row r="58" spans="1:7">
      <c r="A58" t="s">
        <v>776</v>
      </c>
      <c r="B58" t="s">
        <v>777</v>
      </c>
      <c r="C58" t="s">
        <v>683</v>
      </c>
      <c r="D58" s="354">
        <v>137897.08073224447</v>
      </c>
      <c r="G58" s="273"/>
    </row>
    <row r="59" spans="1:7">
      <c r="A59" t="s">
        <v>778</v>
      </c>
      <c r="B59" t="s">
        <v>779</v>
      </c>
      <c r="C59" t="s">
        <v>683</v>
      </c>
      <c r="D59" s="354">
        <v>153845.79077249116</v>
      </c>
      <c r="G59" s="273"/>
    </row>
    <row r="60" spans="1:7">
      <c r="A60" t="s">
        <v>780</v>
      </c>
      <c r="B60" t="s">
        <v>781</v>
      </c>
      <c r="C60" t="s">
        <v>683</v>
      </c>
      <c r="D60" s="354">
        <v>225962.60942319705</v>
      </c>
      <c r="G60" s="273"/>
    </row>
    <row r="61" spans="1:7">
      <c r="A61" s="219" t="s">
        <v>782</v>
      </c>
      <c r="B61" s="219" t="s">
        <v>783</v>
      </c>
      <c r="C61" s="219" t="s">
        <v>683</v>
      </c>
      <c r="D61" s="355">
        <v>78087.396608016803</v>
      </c>
      <c r="G61" s="273"/>
    </row>
    <row r="62" spans="1:7">
      <c r="A62" s="219" t="s">
        <v>784</v>
      </c>
      <c r="B62" s="296" t="s">
        <v>785</v>
      </c>
      <c r="C62" s="219" t="s">
        <v>786</v>
      </c>
      <c r="D62" s="356">
        <v>199201.11078750511</v>
      </c>
      <c r="G62" s="273"/>
    </row>
    <row r="63" spans="1:7">
      <c r="A63" t="s">
        <v>787</v>
      </c>
      <c r="B63" t="s">
        <v>788</v>
      </c>
      <c r="C63" t="s">
        <v>789</v>
      </c>
      <c r="D63" s="354">
        <v>507981.94721586589</v>
      </c>
      <c r="G63" s="273"/>
    </row>
    <row r="64" spans="1:7">
      <c r="A64" s="219" t="s">
        <v>790</v>
      </c>
      <c r="B64" s="219" t="s">
        <v>791</v>
      </c>
      <c r="C64" s="219" t="s">
        <v>789</v>
      </c>
      <c r="D64" s="355">
        <v>496748.25219730253</v>
      </c>
      <c r="G64" s="273"/>
    </row>
    <row r="65" spans="1:7">
      <c r="A65" s="219" t="s">
        <v>792</v>
      </c>
      <c r="B65" s="219" t="s">
        <v>793</v>
      </c>
      <c r="C65" s="219" t="s">
        <v>794</v>
      </c>
      <c r="D65" s="356">
        <v>489310.96478839347</v>
      </c>
      <c r="G65" s="273"/>
    </row>
    <row r="66" spans="1:7">
      <c r="D66" s="220">
        <f>SUM(D4:D65)</f>
        <v>8619610.8163191173</v>
      </c>
      <c r="F66" s="255">
        <v>0</v>
      </c>
      <c r="G66" s="273"/>
    </row>
    <row r="67" spans="1:7" hidden="1">
      <c r="A67" t="s">
        <v>795</v>
      </c>
      <c r="B67" t="s">
        <v>796</v>
      </c>
      <c r="D67" s="236"/>
    </row>
    <row r="68" spans="1:7" hidden="1">
      <c r="A68" t="s">
        <v>797</v>
      </c>
      <c r="B68" t="s">
        <v>798</v>
      </c>
    </row>
    <row r="69" spans="1:7" hidden="1">
      <c r="A69" t="s">
        <v>799</v>
      </c>
      <c r="B69" t="s">
        <v>800</v>
      </c>
    </row>
  </sheetData>
  <phoneticPr fontId="11"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indexed="13"/>
  </sheetPr>
  <dimension ref="A1:CG125"/>
  <sheetViews>
    <sheetView workbookViewId="0">
      <pane xSplit="2" ySplit="3" topLeftCell="BX14" activePane="bottomRight" state="frozen"/>
      <selection pane="topRight" activeCell="D1" sqref="D1"/>
      <selection pane="bottomLeft" activeCell="A4" sqref="A4"/>
      <selection pane="bottomRight" activeCell="CE16" sqref="CE16"/>
    </sheetView>
  </sheetViews>
  <sheetFormatPr defaultRowHeight="13.2"/>
  <cols>
    <col min="2" max="2" width="44.88671875" bestFit="1" customWidth="1"/>
    <col min="3" max="3" width="23" customWidth="1"/>
    <col min="4" max="4" width="10.44140625" style="161" customWidth="1"/>
    <col min="5" max="11" width="9.109375" style="161"/>
    <col min="12" max="12" width="8.6640625" style="161"/>
    <col min="13" max="18" width="9.109375" style="161"/>
    <col min="19" max="21" width="8.6640625" style="161"/>
    <col min="22" max="22" width="9.109375" style="161"/>
    <col min="23" max="23" width="12.88671875" style="161" bestFit="1" customWidth="1"/>
    <col min="24" max="51" width="9.109375" style="161"/>
    <col min="52" max="52" width="8.6640625" style="161"/>
    <col min="53" max="54" width="9.109375" style="161"/>
    <col min="55" max="55" width="10.109375" style="161" bestFit="1" customWidth="1"/>
    <col min="56" max="56" width="19.6640625" style="161" bestFit="1" customWidth="1"/>
    <col min="57" max="57" width="9.88671875" style="161" bestFit="1" customWidth="1"/>
    <col min="58" max="58" width="9.6640625" style="161" bestFit="1" customWidth="1"/>
    <col min="59" max="65" width="9.109375" style="161"/>
    <col min="66" max="66" width="9.6640625" style="161" bestFit="1" customWidth="1"/>
    <col min="67" max="67" width="11.33203125" style="161" bestFit="1" customWidth="1"/>
    <col min="68" max="68" width="9.109375" style="161"/>
    <col min="69" max="70" width="9.6640625" style="161" bestFit="1" customWidth="1"/>
    <col min="71" max="71" width="12.5546875" style="161" bestFit="1" customWidth="1"/>
    <col min="72" max="85" width="9.109375" style="161"/>
  </cols>
  <sheetData>
    <row r="1" spans="1:85">
      <c r="A1" s="218" t="s">
        <v>801</v>
      </c>
      <c r="C1" s="217" t="s">
        <v>802</v>
      </c>
      <c r="D1" s="271" t="s">
        <v>803</v>
      </c>
      <c r="F1" s="297"/>
    </row>
    <row r="2" spans="1:85">
      <c r="B2" s="256" t="s">
        <v>804</v>
      </c>
      <c r="D2" s="161">
        <v>4</v>
      </c>
      <c r="E2" s="161">
        <f>D2+1</f>
        <v>5</v>
      </c>
      <c r="F2" s="161">
        <f t="shared" ref="F2:BQ2" si="0">E2+1</f>
        <v>6</v>
      </c>
      <c r="G2" s="161">
        <f t="shared" si="0"/>
        <v>7</v>
      </c>
      <c r="H2" s="161">
        <f t="shared" si="0"/>
        <v>8</v>
      </c>
      <c r="I2" s="161">
        <f t="shared" si="0"/>
        <v>9</v>
      </c>
      <c r="J2" s="161">
        <f t="shared" si="0"/>
        <v>10</v>
      </c>
      <c r="K2" s="161">
        <f t="shared" si="0"/>
        <v>11</v>
      </c>
      <c r="L2" s="161">
        <f t="shared" si="0"/>
        <v>12</v>
      </c>
      <c r="M2" s="161">
        <f t="shared" si="0"/>
        <v>13</v>
      </c>
      <c r="N2" s="161">
        <f t="shared" si="0"/>
        <v>14</v>
      </c>
      <c r="O2" s="161">
        <f t="shared" si="0"/>
        <v>15</v>
      </c>
      <c r="P2" s="161">
        <f t="shared" si="0"/>
        <v>16</v>
      </c>
      <c r="Q2" s="161">
        <f t="shared" si="0"/>
        <v>17</v>
      </c>
      <c r="R2" s="161">
        <f t="shared" si="0"/>
        <v>18</v>
      </c>
      <c r="S2" s="161">
        <f t="shared" si="0"/>
        <v>19</v>
      </c>
      <c r="T2" s="161">
        <f t="shared" si="0"/>
        <v>20</v>
      </c>
      <c r="U2" s="161">
        <f t="shared" si="0"/>
        <v>21</v>
      </c>
      <c r="V2" s="161">
        <f t="shared" si="0"/>
        <v>22</v>
      </c>
      <c r="W2" s="161">
        <f t="shared" si="0"/>
        <v>23</v>
      </c>
      <c r="X2" s="161">
        <f t="shared" si="0"/>
        <v>24</v>
      </c>
      <c r="Y2" s="161">
        <f t="shared" si="0"/>
        <v>25</v>
      </c>
      <c r="Z2" s="161">
        <f t="shared" si="0"/>
        <v>26</v>
      </c>
      <c r="AA2" s="161">
        <f t="shared" si="0"/>
        <v>27</v>
      </c>
      <c r="AB2" s="161">
        <f t="shared" si="0"/>
        <v>28</v>
      </c>
      <c r="AC2" s="161">
        <f t="shared" si="0"/>
        <v>29</v>
      </c>
      <c r="AD2" s="161">
        <f t="shared" si="0"/>
        <v>30</v>
      </c>
      <c r="AE2" s="161">
        <f t="shared" si="0"/>
        <v>31</v>
      </c>
      <c r="AF2" s="161">
        <f t="shared" si="0"/>
        <v>32</v>
      </c>
      <c r="AG2" s="161">
        <f t="shared" si="0"/>
        <v>33</v>
      </c>
      <c r="AH2" s="161">
        <f t="shared" si="0"/>
        <v>34</v>
      </c>
      <c r="AI2" s="161">
        <f t="shared" si="0"/>
        <v>35</v>
      </c>
      <c r="AJ2" s="161">
        <f t="shared" si="0"/>
        <v>36</v>
      </c>
      <c r="AK2" s="161">
        <f t="shared" si="0"/>
        <v>37</v>
      </c>
      <c r="AL2" s="161">
        <f t="shared" si="0"/>
        <v>38</v>
      </c>
      <c r="AM2" s="161">
        <f t="shared" si="0"/>
        <v>39</v>
      </c>
      <c r="AN2" s="161">
        <f t="shared" si="0"/>
        <v>40</v>
      </c>
      <c r="AO2" s="161">
        <f t="shared" si="0"/>
        <v>41</v>
      </c>
      <c r="AP2" s="161">
        <f t="shared" si="0"/>
        <v>42</v>
      </c>
      <c r="AQ2" s="161">
        <f t="shared" si="0"/>
        <v>43</v>
      </c>
      <c r="AR2" s="161">
        <f t="shared" si="0"/>
        <v>44</v>
      </c>
      <c r="AS2" s="161">
        <f t="shared" si="0"/>
        <v>45</v>
      </c>
      <c r="AT2" s="161">
        <f t="shared" si="0"/>
        <v>46</v>
      </c>
      <c r="AU2" s="161">
        <f t="shared" si="0"/>
        <v>47</v>
      </c>
      <c r="AV2" s="161">
        <f t="shared" si="0"/>
        <v>48</v>
      </c>
      <c r="AW2" s="161">
        <f t="shared" si="0"/>
        <v>49</v>
      </c>
      <c r="AX2" s="161">
        <f t="shared" si="0"/>
        <v>50</v>
      </c>
      <c r="AY2" s="161">
        <f t="shared" si="0"/>
        <v>51</v>
      </c>
      <c r="AZ2" s="161">
        <f t="shared" si="0"/>
        <v>52</v>
      </c>
      <c r="BA2" s="161">
        <f t="shared" si="0"/>
        <v>53</v>
      </c>
      <c r="BB2" s="161">
        <f t="shared" si="0"/>
        <v>54</v>
      </c>
      <c r="BC2" s="161">
        <f t="shared" si="0"/>
        <v>55</v>
      </c>
      <c r="BD2" s="161">
        <f t="shared" si="0"/>
        <v>56</v>
      </c>
      <c r="BE2" s="161">
        <f t="shared" si="0"/>
        <v>57</v>
      </c>
      <c r="BF2" s="161">
        <f t="shared" si="0"/>
        <v>58</v>
      </c>
      <c r="BG2" s="161">
        <f t="shared" si="0"/>
        <v>59</v>
      </c>
      <c r="BH2" s="161">
        <f t="shared" si="0"/>
        <v>60</v>
      </c>
      <c r="BI2" s="161">
        <f t="shared" si="0"/>
        <v>61</v>
      </c>
      <c r="BJ2" s="161">
        <f t="shared" si="0"/>
        <v>62</v>
      </c>
      <c r="BK2" s="161">
        <f t="shared" si="0"/>
        <v>63</v>
      </c>
      <c r="BL2" s="161">
        <f t="shared" si="0"/>
        <v>64</v>
      </c>
      <c r="BM2" s="161">
        <f t="shared" si="0"/>
        <v>65</v>
      </c>
      <c r="BN2" s="161">
        <f t="shared" si="0"/>
        <v>66</v>
      </c>
      <c r="BO2" s="161">
        <f t="shared" si="0"/>
        <v>67</v>
      </c>
      <c r="BP2" s="161">
        <f t="shared" si="0"/>
        <v>68</v>
      </c>
      <c r="BQ2" s="161">
        <f t="shared" si="0"/>
        <v>69</v>
      </c>
      <c r="BR2" s="161">
        <f t="shared" ref="BR2:CE2" si="1">BQ2+1</f>
        <v>70</v>
      </c>
      <c r="BS2" s="161">
        <f t="shared" si="1"/>
        <v>71</v>
      </c>
      <c r="BT2" s="161">
        <f t="shared" si="1"/>
        <v>72</v>
      </c>
      <c r="BU2" s="161">
        <f t="shared" si="1"/>
        <v>73</v>
      </c>
      <c r="BV2" s="161">
        <f t="shared" si="1"/>
        <v>74</v>
      </c>
      <c r="BW2" s="161">
        <f t="shared" si="1"/>
        <v>75</v>
      </c>
      <c r="BX2" s="161">
        <f t="shared" si="1"/>
        <v>76</v>
      </c>
      <c r="BY2" s="161">
        <f t="shared" si="1"/>
        <v>77</v>
      </c>
      <c r="BZ2" s="161">
        <f t="shared" si="1"/>
        <v>78</v>
      </c>
      <c r="CA2" s="161">
        <f t="shared" si="1"/>
        <v>79</v>
      </c>
      <c r="CB2" s="161">
        <f t="shared" si="1"/>
        <v>80</v>
      </c>
      <c r="CC2" s="161">
        <f t="shared" si="1"/>
        <v>81</v>
      </c>
      <c r="CD2" s="161">
        <f t="shared" si="1"/>
        <v>82</v>
      </c>
      <c r="CE2" s="161">
        <f t="shared" si="1"/>
        <v>83</v>
      </c>
    </row>
    <row r="3" spans="1:85" s="155" customFormat="1">
      <c r="A3" s="155" t="s">
        <v>546</v>
      </c>
      <c r="B3" s="300" t="s">
        <v>547</v>
      </c>
      <c r="C3" s="155" t="s">
        <v>590</v>
      </c>
      <c r="D3" s="215" t="s">
        <v>55</v>
      </c>
      <c r="E3" s="215" t="s">
        <v>58</v>
      </c>
      <c r="F3" s="215" t="s">
        <v>61</v>
      </c>
      <c r="G3" s="215" t="s">
        <v>64</v>
      </c>
      <c r="H3" s="215" t="s">
        <v>67</v>
      </c>
      <c r="I3" s="215" t="s">
        <v>70</v>
      </c>
      <c r="J3" s="215" t="s">
        <v>73</v>
      </c>
      <c r="K3" s="215" t="s">
        <v>76</v>
      </c>
      <c r="L3" s="215" t="s">
        <v>79</v>
      </c>
      <c r="M3" s="215" t="s">
        <v>82</v>
      </c>
      <c r="N3" s="215" t="s">
        <v>85</v>
      </c>
      <c r="O3" s="215" t="s">
        <v>88</v>
      </c>
      <c r="P3" s="215" t="s">
        <v>91</v>
      </c>
      <c r="Q3" s="215" t="s">
        <v>94</v>
      </c>
      <c r="R3" s="215" t="s">
        <v>96</v>
      </c>
      <c r="S3" s="215" t="s">
        <v>98</v>
      </c>
      <c r="T3" s="215" t="s">
        <v>100</v>
      </c>
      <c r="U3" s="215" t="s">
        <v>102</v>
      </c>
      <c r="V3" s="215" t="s">
        <v>104</v>
      </c>
      <c r="W3" s="215" t="s">
        <v>27</v>
      </c>
      <c r="X3" s="215" t="s">
        <v>107</v>
      </c>
      <c r="Y3" s="215" t="s">
        <v>110</v>
      </c>
      <c r="Z3" s="215" t="s">
        <v>113</v>
      </c>
      <c r="AA3" s="215" t="s">
        <v>116</v>
      </c>
      <c r="AB3" s="215" t="s">
        <v>119</v>
      </c>
      <c r="AC3" s="215" t="s">
        <v>122</v>
      </c>
      <c r="AD3" s="215" t="s">
        <v>125</v>
      </c>
      <c r="AE3" s="215" t="s">
        <v>128</v>
      </c>
      <c r="AF3" s="215" t="s">
        <v>131</v>
      </c>
      <c r="AG3" s="215" t="s">
        <v>134</v>
      </c>
      <c r="AH3" s="215" t="s">
        <v>137</v>
      </c>
      <c r="AI3" s="215" t="s">
        <v>140</v>
      </c>
      <c r="AJ3" s="215" t="s">
        <v>143</v>
      </c>
      <c r="AK3" s="215" t="s">
        <v>146</v>
      </c>
      <c r="AL3" s="215" t="s">
        <v>149</v>
      </c>
      <c r="AM3" s="215" t="s">
        <v>152</v>
      </c>
      <c r="AN3" s="215" t="s">
        <v>155</v>
      </c>
      <c r="AO3" s="215" t="s">
        <v>158</v>
      </c>
      <c r="AP3" s="215" t="s">
        <v>161</v>
      </c>
      <c r="AQ3" s="215" t="s">
        <v>164</v>
      </c>
      <c r="AR3" s="215" t="s">
        <v>166</v>
      </c>
      <c r="AS3" s="215" t="s">
        <v>169</v>
      </c>
      <c r="AT3" s="215" t="s">
        <v>172</v>
      </c>
      <c r="AU3" s="215" t="s">
        <v>175</v>
      </c>
      <c r="AV3" s="215" t="s">
        <v>178</v>
      </c>
      <c r="AW3" s="215" t="s">
        <v>181</v>
      </c>
      <c r="AX3" s="215" t="s">
        <v>184</v>
      </c>
      <c r="AY3" s="215" t="s">
        <v>187</v>
      </c>
      <c r="AZ3" s="215" t="s">
        <v>190</v>
      </c>
      <c r="BA3" s="215" t="s">
        <v>193</v>
      </c>
      <c r="BB3" s="215" t="s">
        <v>196</v>
      </c>
      <c r="BC3" s="215" t="s">
        <v>630</v>
      </c>
      <c r="BD3" s="215" t="s">
        <v>631</v>
      </c>
      <c r="BE3" s="215" t="s">
        <v>632</v>
      </c>
      <c r="BF3" s="215" t="s">
        <v>633</v>
      </c>
      <c r="BG3" s="215" t="s">
        <v>204</v>
      </c>
      <c r="BH3" s="215" t="s">
        <v>207</v>
      </c>
      <c r="BI3" s="215" t="s">
        <v>53</v>
      </c>
      <c r="BJ3" s="215" t="s">
        <v>212</v>
      </c>
      <c r="BK3" s="215" t="s">
        <v>215</v>
      </c>
      <c r="BL3" s="215" t="s">
        <v>634</v>
      </c>
      <c r="BM3" s="215" t="s">
        <v>635</v>
      </c>
      <c r="BN3" s="215" t="s">
        <v>636</v>
      </c>
      <c r="BO3" s="215" t="s">
        <v>637</v>
      </c>
      <c r="BP3" s="215" t="s">
        <v>638</v>
      </c>
      <c r="BQ3" s="215" t="s">
        <v>639</v>
      </c>
      <c r="BR3" s="215" t="s">
        <v>640</v>
      </c>
      <c r="BS3" s="215" t="s">
        <v>641</v>
      </c>
      <c r="BT3" s="215" t="s">
        <v>235</v>
      </c>
      <c r="BU3" s="215" t="s">
        <v>237</v>
      </c>
      <c r="BV3" s="215" t="s">
        <v>240</v>
      </c>
      <c r="BW3" s="215" t="s">
        <v>643</v>
      </c>
      <c r="BX3" s="215" t="s">
        <v>244</v>
      </c>
      <c r="BY3" s="215" t="s">
        <v>247</v>
      </c>
      <c r="BZ3" s="215" t="s">
        <v>250</v>
      </c>
      <c r="CA3" s="215" t="s">
        <v>253</v>
      </c>
      <c r="CB3" s="215" t="s">
        <v>644</v>
      </c>
      <c r="CC3" s="215" t="s">
        <v>645</v>
      </c>
      <c r="CD3" s="215" t="s">
        <v>646</v>
      </c>
      <c r="CE3" s="215" t="s">
        <v>647</v>
      </c>
      <c r="CF3" s="215"/>
      <c r="CG3" s="215"/>
    </row>
    <row r="4" spans="1:85" ht="15">
      <c r="A4" s="310">
        <v>3373</v>
      </c>
      <c r="B4" s="303" t="s">
        <v>263</v>
      </c>
      <c r="C4" s="75" t="s">
        <v>264</v>
      </c>
      <c r="D4" s="162">
        <v>603852.09</v>
      </c>
      <c r="E4" s="162">
        <v>0</v>
      </c>
      <c r="F4" s="162">
        <v>2596.6999999999998</v>
      </c>
      <c r="G4" s="162">
        <v>0</v>
      </c>
      <c r="H4" s="162">
        <v>18850</v>
      </c>
      <c r="I4" s="162">
        <v>441</v>
      </c>
      <c r="J4" s="162">
        <v>0</v>
      </c>
      <c r="K4" s="162">
        <v>0</v>
      </c>
      <c r="L4" s="162">
        <v>15986.94</v>
      </c>
      <c r="M4" s="162">
        <v>16444.419999999998</v>
      </c>
      <c r="N4" s="162">
        <v>0</v>
      </c>
      <c r="O4" s="162">
        <v>0</v>
      </c>
      <c r="P4" s="162">
        <v>13464</v>
      </c>
      <c r="Q4" s="162">
        <v>11300.7</v>
      </c>
      <c r="R4" s="162">
        <v>0</v>
      </c>
      <c r="S4" s="162">
        <v>0</v>
      </c>
      <c r="T4" s="162">
        <v>0</v>
      </c>
      <c r="U4" s="162">
        <v>865.63</v>
      </c>
      <c r="V4" s="162">
        <v>36115</v>
      </c>
      <c r="W4" s="162">
        <f>SUM(D4:V4)</f>
        <v>719916.47999999986</v>
      </c>
      <c r="X4" s="162">
        <v>402969.59999999998</v>
      </c>
      <c r="Y4" s="162">
        <v>0</v>
      </c>
      <c r="Z4" s="162">
        <v>119830.2</v>
      </c>
      <c r="AA4" s="162">
        <v>13692.76</v>
      </c>
      <c r="AB4" s="162">
        <v>47538.98</v>
      </c>
      <c r="AC4" s="162">
        <v>25254.2</v>
      </c>
      <c r="AD4" s="162">
        <v>2976.8</v>
      </c>
      <c r="AE4" s="162">
        <v>189</v>
      </c>
      <c r="AF4" s="162">
        <v>1082.4000000000001</v>
      </c>
      <c r="AG4" s="162">
        <v>1201</v>
      </c>
      <c r="AH4" s="162">
        <v>155</v>
      </c>
      <c r="AI4" s="162">
        <v>6624.97</v>
      </c>
      <c r="AJ4" s="162">
        <v>2985</v>
      </c>
      <c r="AK4" s="162">
        <v>1241.55</v>
      </c>
      <c r="AL4" s="162">
        <v>1029.82</v>
      </c>
      <c r="AM4" s="162">
        <v>16346.77</v>
      </c>
      <c r="AN4" s="162">
        <v>2694.6</v>
      </c>
      <c r="AO4" s="162">
        <v>4243.04</v>
      </c>
      <c r="AP4" s="162">
        <v>31341.52</v>
      </c>
      <c r="AQ4" s="162">
        <v>23609.53</v>
      </c>
      <c r="AR4" s="162">
        <v>0</v>
      </c>
      <c r="AS4" s="162">
        <v>6631.57</v>
      </c>
      <c r="AT4" s="162">
        <v>2301.83</v>
      </c>
      <c r="AU4" s="162">
        <v>1207.3</v>
      </c>
      <c r="AV4" s="162">
        <v>17893.599999999999</v>
      </c>
      <c r="AW4" s="162">
        <v>0</v>
      </c>
      <c r="AX4" s="162">
        <v>9121</v>
      </c>
      <c r="AY4" s="162">
        <v>11456.43</v>
      </c>
      <c r="AZ4" s="162">
        <v>0</v>
      </c>
      <c r="BA4" s="162">
        <v>0</v>
      </c>
      <c r="BB4" s="162">
        <v>378</v>
      </c>
      <c r="BC4" s="162">
        <f>SUM(X4:BB4)</f>
        <v>753996.47</v>
      </c>
      <c r="BD4" s="162">
        <f>W4-BC4</f>
        <v>-34079.990000000107</v>
      </c>
      <c r="BE4" s="162">
        <v>73237.27</v>
      </c>
      <c r="BF4" s="162">
        <f>BE4+BD4</f>
        <v>39157.279999999897</v>
      </c>
      <c r="BG4" s="162">
        <v>0</v>
      </c>
      <c r="BH4" s="162">
        <v>0</v>
      </c>
      <c r="BI4" s="162">
        <f>SUM(BG4:BH4)</f>
        <v>0</v>
      </c>
      <c r="BJ4" s="162">
        <v>0</v>
      </c>
      <c r="BK4" s="162">
        <v>0</v>
      </c>
      <c r="BL4" s="162">
        <f>SUM(BJ4:BK4)</f>
        <v>0</v>
      </c>
      <c r="BM4" s="162">
        <f>BI4-BL4</f>
        <v>0</v>
      </c>
      <c r="BN4" s="162">
        <v>0</v>
      </c>
      <c r="BO4" s="162">
        <f>BN4+BM4</f>
        <v>0</v>
      </c>
      <c r="BP4" s="162">
        <v>0</v>
      </c>
      <c r="BQ4" s="162">
        <v>39157.279999999897</v>
      </c>
      <c r="BR4" s="162">
        <v>0</v>
      </c>
      <c r="BS4" s="162">
        <f>BR4+BQ4+BP4</f>
        <v>39157.279999999897</v>
      </c>
      <c r="BT4" s="162">
        <v>0</v>
      </c>
      <c r="BU4" s="162">
        <v>0</v>
      </c>
      <c r="BV4" s="162">
        <v>0</v>
      </c>
      <c r="BW4" s="162">
        <f>BV4+BU4+BT4</f>
        <v>0</v>
      </c>
      <c r="BX4" s="162">
        <v>0</v>
      </c>
      <c r="BY4" s="162">
        <v>0</v>
      </c>
      <c r="BZ4" s="162">
        <v>0</v>
      </c>
      <c r="CA4" s="162">
        <v>0</v>
      </c>
      <c r="CB4" s="162">
        <f>CA4+BZ4+BY4+BX4</f>
        <v>0</v>
      </c>
      <c r="CC4" s="162">
        <f>BW4-CB4</f>
        <v>0</v>
      </c>
      <c r="CD4" s="162">
        <v>0</v>
      </c>
      <c r="CE4" s="162">
        <f>CD4+CC4</f>
        <v>0</v>
      </c>
    </row>
    <row r="5" spans="1:85" ht="15">
      <c r="A5" s="310">
        <v>3061</v>
      </c>
      <c r="B5" s="303" t="s">
        <v>266</v>
      </c>
      <c r="C5" s="75" t="s">
        <v>264</v>
      </c>
      <c r="D5" s="162">
        <v>1063512.02</v>
      </c>
      <c r="E5" s="162">
        <v>0</v>
      </c>
      <c r="F5" s="162">
        <v>109905</v>
      </c>
      <c r="G5" s="162">
        <v>0</v>
      </c>
      <c r="H5" s="162">
        <v>54790</v>
      </c>
      <c r="I5" s="162">
        <v>3346.64</v>
      </c>
      <c r="J5" s="162">
        <v>0</v>
      </c>
      <c r="K5" s="162">
        <v>0</v>
      </c>
      <c r="L5" s="162">
        <v>86321.23</v>
      </c>
      <c r="M5" s="162">
        <v>22611.19</v>
      </c>
      <c r="N5" s="162">
        <v>3910</v>
      </c>
      <c r="O5" s="162">
        <v>1035.32</v>
      </c>
      <c r="P5" s="162">
        <v>37929</v>
      </c>
      <c r="Q5" s="162">
        <v>15125.92</v>
      </c>
      <c r="R5" s="162">
        <v>0</v>
      </c>
      <c r="S5" s="162">
        <v>0</v>
      </c>
      <c r="T5" s="162">
        <v>0</v>
      </c>
      <c r="U5" s="162">
        <v>2216.88</v>
      </c>
      <c r="V5" s="162">
        <v>49785</v>
      </c>
      <c r="W5" s="162">
        <f t="shared" ref="W5:W68" si="2">SUM(D5:V5)</f>
        <v>1450488.1999999997</v>
      </c>
      <c r="X5" s="162">
        <v>614390.9</v>
      </c>
      <c r="Y5" s="162">
        <v>3332.74</v>
      </c>
      <c r="Z5" s="162">
        <v>356395.77</v>
      </c>
      <c r="AA5" s="162">
        <v>36451.22</v>
      </c>
      <c r="AB5" s="162">
        <v>71351.149999999994</v>
      </c>
      <c r="AC5" s="162">
        <v>0</v>
      </c>
      <c r="AD5" s="162">
        <v>60094.89</v>
      </c>
      <c r="AE5" s="162">
        <v>8870.3700000000008</v>
      </c>
      <c r="AF5" s="162">
        <v>3961</v>
      </c>
      <c r="AG5" s="162">
        <v>5050</v>
      </c>
      <c r="AH5" s="162">
        <v>1581.25</v>
      </c>
      <c r="AI5" s="162">
        <v>16957.77</v>
      </c>
      <c r="AJ5" s="162">
        <v>2890.78</v>
      </c>
      <c r="AK5" s="162">
        <v>3364.69</v>
      </c>
      <c r="AL5" s="162">
        <v>2511.7800000000002</v>
      </c>
      <c r="AM5" s="162">
        <v>24394.48</v>
      </c>
      <c r="AN5" s="162">
        <v>28392</v>
      </c>
      <c r="AO5" s="162">
        <v>4807.47</v>
      </c>
      <c r="AP5" s="162">
        <v>56529.65</v>
      </c>
      <c r="AQ5" s="162">
        <v>22259.72</v>
      </c>
      <c r="AR5" s="162">
        <v>0</v>
      </c>
      <c r="AS5" s="162">
        <v>8114.74</v>
      </c>
      <c r="AT5" s="162">
        <v>4311.1099999999997</v>
      </c>
      <c r="AU5" s="162">
        <v>12926.26</v>
      </c>
      <c r="AV5" s="162">
        <v>61285.02</v>
      </c>
      <c r="AW5" s="162">
        <v>7595</v>
      </c>
      <c r="AX5" s="162">
        <v>7742.5</v>
      </c>
      <c r="AY5" s="162">
        <v>9566.65</v>
      </c>
      <c r="AZ5" s="162">
        <v>0</v>
      </c>
      <c r="BA5" s="162">
        <v>0</v>
      </c>
      <c r="BB5" s="162">
        <v>0</v>
      </c>
      <c r="BC5" s="162">
        <f t="shared" ref="BC5:BC68" si="3">SUM(X5:BB5)</f>
        <v>1435128.91</v>
      </c>
      <c r="BD5" s="162">
        <f t="shared" ref="BD5:BD68" si="4">W5-BC5</f>
        <v>15359.289999999804</v>
      </c>
      <c r="BE5" s="162">
        <v>45725.23</v>
      </c>
      <c r="BF5" s="162">
        <f t="shared" ref="BF5:BF68" si="5">BE5+BD5</f>
        <v>61084.519999999808</v>
      </c>
      <c r="BG5" s="162">
        <v>0</v>
      </c>
      <c r="BH5" s="162">
        <v>0</v>
      </c>
      <c r="BI5" s="162">
        <f t="shared" ref="BI5:BI68" si="6">SUM(BG5:BH5)</f>
        <v>0</v>
      </c>
      <c r="BJ5" s="162">
        <v>0</v>
      </c>
      <c r="BK5" s="162">
        <v>0</v>
      </c>
      <c r="BL5" s="162">
        <f t="shared" ref="BL5:BL68" si="7">SUM(BJ5:BK5)</f>
        <v>0</v>
      </c>
      <c r="BM5" s="162">
        <f t="shared" ref="BM5:BM68" si="8">BI5-BL5</f>
        <v>0</v>
      </c>
      <c r="BN5" s="162">
        <v>0</v>
      </c>
      <c r="BO5" s="162">
        <f t="shared" ref="BO5:BO68" si="9">BN5+BM5</f>
        <v>0</v>
      </c>
      <c r="BP5" s="162">
        <v>9529.15</v>
      </c>
      <c r="BQ5" s="162">
        <v>51555.370000000039</v>
      </c>
      <c r="BR5" s="162">
        <v>0</v>
      </c>
      <c r="BS5" s="162">
        <f t="shared" ref="BS5:BS68" si="10">BR5+BQ5+BP5</f>
        <v>61084.52000000004</v>
      </c>
      <c r="BT5" s="162">
        <v>6295</v>
      </c>
      <c r="BU5" s="162">
        <v>0</v>
      </c>
      <c r="BV5" s="162">
        <v>0</v>
      </c>
      <c r="BW5" s="162">
        <f t="shared" ref="BW5:BW68" si="11">BV5+BU5+BT5</f>
        <v>6295</v>
      </c>
      <c r="BX5" s="162">
        <v>0</v>
      </c>
      <c r="BY5" s="162">
        <v>6324.74</v>
      </c>
      <c r="BZ5" s="162">
        <v>0</v>
      </c>
      <c r="CA5" s="162">
        <v>6480.41</v>
      </c>
      <c r="CB5" s="162">
        <f t="shared" ref="CB5:CB68" si="12">CA5+BZ5+BY5+BX5</f>
        <v>12805.15</v>
      </c>
      <c r="CC5" s="162">
        <f t="shared" ref="CC5:CC68" si="13">BW5-CB5</f>
        <v>-6510.15</v>
      </c>
      <c r="CD5" s="162">
        <v>8350.6200000000008</v>
      </c>
      <c r="CE5" s="162">
        <f t="shared" ref="CE5:CE68" si="14">CD5+CC5</f>
        <v>1840.4700000000012</v>
      </c>
    </row>
    <row r="6" spans="1:85" ht="15">
      <c r="A6" s="310">
        <v>2083</v>
      </c>
      <c r="B6" s="303" t="s">
        <v>268</v>
      </c>
      <c r="C6" s="75" t="s">
        <v>264</v>
      </c>
      <c r="D6" s="162">
        <v>709430.33</v>
      </c>
      <c r="E6" s="162">
        <v>0</v>
      </c>
      <c r="F6" s="162">
        <v>50100.1</v>
      </c>
      <c r="G6" s="162">
        <v>0</v>
      </c>
      <c r="H6" s="162">
        <v>48854</v>
      </c>
      <c r="I6" s="162">
        <v>0</v>
      </c>
      <c r="J6" s="162">
        <v>10000</v>
      </c>
      <c r="K6" s="162">
        <v>0</v>
      </c>
      <c r="L6" s="162">
        <v>1229.81</v>
      </c>
      <c r="M6" s="162">
        <v>4038.9</v>
      </c>
      <c r="N6" s="162">
        <v>2250</v>
      </c>
      <c r="O6" s="162">
        <v>0</v>
      </c>
      <c r="P6" s="162">
        <v>6963.84</v>
      </c>
      <c r="Q6" s="162">
        <v>7725.92</v>
      </c>
      <c r="R6" s="162">
        <v>0</v>
      </c>
      <c r="S6" s="162">
        <v>0</v>
      </c>
      <c r="T6" s="162">
        <v>0</v>
      </c>
      <c r="U6" s="162">
        <v>300</v>
      </c>
      <c r="V6" s="162">
        <v>34072</v>
      </c>
      <c r="W6" s="162">
        <f t="shared" si="2"/>
        <v>874964.9</v>
      </c>
      <c r="X6" s="162">
        <v>349342.35</v>
      </c>
      <c r="Y6" s="162">
        <v>30717.8</v>
      </c>
      <c r="Z6" s="162">
        <v>229075.64</v>
      </c>
      <c r="AA6" s="162">
        <v>30922.62</v>
      </c>
      <c r="AB6" s="162">
        <v>41640.89</v>
      </c>
      <c r="AC6" s="162">
        <v>22123.33</v>
      </c>
      <c r="AD6" s="162">
        <v>4900.6499999999996</v>
      </c>
      <c r="AE6" s="162">
        <v>3506.14</v>
      </c>
      <c r="AF6" s="162">
        <v>6168.52</v>
      </c>
      <c r="AG6" s="162">
        <v>2675</v>
      </c>
      <c r="AH6" s="162">
        <v>168.88</v>
      </c>
      <c r="AI6" s="162">
        <v>2510.9699999999998</v>
      </c>
      <c r="AJ6" s="162">
        <v>510.5</v>
      </c>
      <c r="AK6" s="162">
        <v>2486.3200000000002</v>
      </c>
      <c r="AL6" s="162">
        <v>2671.44</v>
      </c>
      <c r="AM6" s="162">
        <v>21952.69</v>
      </c>
      <c r="AN6" s="162">
        <v>13597.75</v>
      </c>
      <c r="AO6" s="162">
        <v>2076.04</v>
      </c>
      <c r="AP6" s="162">
        <v>20458.62</v>
      </c>
      <c r="AQ6" s="162">
        <v>17187.77</v>
      </c>
      <c r="AR6" s="162">
        <v>0</v>
      </c>
      <c r="AS6" s="162">
        <v>7009.99</v>
      </c>
      <c r="AT6" s="162">
        <v>2337.83</v>
      </c>
      <c r="AU6" s="162">
        <v>0</v>
      </c>
      <c r="AV6" s="162">
        <v>11035.56</v>
      </c>
      <c r="AW6" s="162">
        <v>1980</v>
      </c>
      <c r="AX6" s="162">
        <v>1239.08</v>
      </c>
      <c r="AY6" s="162">
        <v>25624.39</v>
      </c>
      <c r="AZ6" s="162">
        <v>0</v>
      </c>
      <c r="BA6" s="162">
        <v>0</v>
      </c>
      <c r="BB6" s="162">
        <v>0</v>
      </c>
      <c r="BC6" s="162">
        <f t="shared" si="3"/>
        <v>853920.7699999999</v>
      </c>
      <c r="BD6" s="162">
        <f t="shared" si="4"/>
        <v>21044.130000000121</v>
      </c>
      <c r="BE6" s="162">
        <v>99583.98</v>
      </c>
      <c r="BF6" s="162">
        <f t="shared" si="5"/>
        <v>120628.11000000012</v>
      </c>
      <c r="BG6" s="162">
        <v>0</v>
      </c>
      <c r="BH6" s="162">
        <v>0</v>
      </c>
      <c r="BI6" s="162">
        <f t="shared" si="6"/>
        <v>0</v>
      </c>
      <c r="BJ6" s="162">
        <v>0</v>
      </c>
      <c r="BK6" s="162">
        <v>0</v>
      </c>
      <c r="BL6" s="162">
        <f t="shared" si="7"/>
        <v>0</v>
      </c>
      <c r="BM6" s="162">
        <f t="shared" si="8"/>
        <v>0</v>
      </c>
      <c r="BN6" s="162">
        <v>0</v>
      </c>
      <c r="BO6" s="162">
        <f t="shared" si="9"/>
        <v>0</v>
      </c>
      <c r="BP6" s="162">
        <v>22109.82</v>
      </c>
      <c r="BQ6" s="162">
        <v>98518.290000000125</v>
      </c>
      <c r="BR6" s="162">
        <v>0</v>
      </c>
      <c r="BS6" s="162">
        <f t="shared" si="10"/>
        <v>120628.11000000013</v>
      </c>
      <c r="BT6" s="162">
        <v>5125</v>
      </c>
      <c r="BU6" s="162">
        <v>0</v>
      </c>
      <c r="BV6" s="162">
        <v>0</v>
      </c>
      <c r="BW6" s="162">
        <f t="shared" si="11"/>
        <v>5125</v>
      </c>
      <c r="BX6" s="162">
        <v>0</v>
      </c>
      <c r="BY6" s="162">
        <v>2679</v>
      </c>
      <c r="BZ6" s="162">
        <v>0</v>
      </c>
      <c r="CA6" s="162">
        <v>0</v>
      </c>
      <c r="CB6" s="162">
        <f t="shared" si="12"/>
        <v>2679</v>
      </c>
      <c r="CC6" s="162">
        <f t="shared" si="13"/>
        <v>2446</v>
      </c>
      <c r="CD6" s="162">
        <v>11051.98</v>
      </c>
      <c r="CE6" s="162">
        <f t="shared" si="14"/>
        <v>13497.98</v>
      </c>
    </row>
    <row r="7" spans="1:85" ht="15">
      <c r="A7" s="310">
        <v>2118</v>
      </c>
      <c r="B7" s="303" t="s">
        <v>270</v>
      </c>
      <c r="C7" s="75" t="s">
        <v>264</v>
      </c>
      <c r="D7" s="162">
        <v>2073179.55</v>
      </c>
      <c r="E7" s="162">
        <v>0</v>
      </c>
      <c r="F7" s="162">
        <v>66902.64</v>
      </c>
      <c r="G7" s="162">
        <v>0</v>
      </c>
      <c r="H7" s="162">
        <v>219690</v>
      </c>
      <c r="I7" s="162">
        <v>1242.93</v>
      </c>
      <c r="J7" s="162">
        <v>0</v>
      </c>
      <c r="K7" s="162">
        <v>0</v>
      </c>
      <c r="L7" s="162">
        <v>104747.93</v>
      </c>
      <c r="M7" s="162">
        <v>39621.33</v>
      </c>
      <c r="N7" s="162">
        <v>2526</v>
      </c>
      <c r="O7" s="162">
        <v>1176.76</v>
      </c>
      <c r="P7" s="162">
        <v>8814</v>
      </c>
      <c r="Q7" s="162">
        <v>19483.61</v>
      </c>
      <c r="R7" s="162">
        <v>0</v>
      </c>
      <c r="S7" s="162">
        <v>0</v>
      </c>
      <c r="T7" s="162">
        <v>0</v>
      </c>
      <c r="U7" s="162">
        <v>1564.88</v>
      </c>
      <c r="V7" s="162">
        <v>52511</v>
      </c>
      <c r="W7" s="162">
        <f t="shared" si="2"/>
        <v>2591460.63</v>
      </c>
      <c r="X7" s="162">
        <v>1392236.04</v>
      </c>
      <c r="Y7" s="162">
        <v>17886.439999999999</v>
      </c>
      <c r="Z7" s="162">
        <v>376862.66</v>
      </c>
      <c r="AA7" s="162">
        <v>0</v>
      </c>
      <c r="AB7" s="162">
        <v>98922.22</v>
      </c>
      <c r="AC7" s="162">
        <v>0</v>
      </c>
      <c r="AD7" s="162">
        <v>61870.71</v>
      </c>
      <c r="AE7" s="162">
        <v>8420.81</v>
      </c>
      <c r="AF7" s="162">
        <v>3077.48</v>
      </c>
      <c r="AG7" s="162">
        <v>9400</v>
      </c>
      <c r="AH7" s="162">
        <v>1732.5</v>
      </c>
      <c r="AI7" s="162">
        <v>5910.09</v>
      </c>
      <c r="AJ7" s="162">
        <v>8483.86</v>
      </c>
      <c r="AK7" s="162">
        <v>45594.39</v>
      </c>
      <c r="AL7" s="162">
        <v>10219.530000000001</v>
      </c>
      <c r="AM7" s="162">
        <v>39284.75</v>
      </c>
      <c r="AN7" s="162">
        <v>42588</v>
      </c>
      <c r="AO7" s="162">
        <v>7336.4</v>
      </c>
      <c r="AP7" s="162">
        <v>62870.82</v>
      </c>
      <c r="AQ7" s="162">
        <v>28300.82</v>
      </c>
      <c r="AR7" s="162">
        <v>0</v>
      </c>
      <c r="AS7" s="162">
        <v>12980.95</v>
      </c>
      <c r="AT7" s="162">
        <v>7200.77</v>
      </c>
      <c r="AU7" s="162">
        <v>3319.03</v>
      </c>
      <c r="AV7" s="162">
        <v>128741.82</v>
      </c>
      <c r="AW7" s="162">
        <v>7050.38</v>
      </c>
      <c r="AX7" s="162">
        <v>116282.32</v>
      </c>
      <c r="AY7" s="162">
        <v>28416.57</v>
      </c>
      <c r="AZ7" s="162">
        <v>0</v>
      </c>
      <c r="BA7" s="162">
        <v>0</v>
      </c>
      <c r="BB7" s="162">
        <v>0</v>
      </c>
      <c r="BC7" s="162">
        <f t="shared" si="3"/>
        <v>2524989.3599999989</v>
      </c>
      <c r="BD7" s="162">
        <f t="shared" si="4"/>
        <v>66471.27000000095</v>
      </c>
      <c r="BE7" s="162">
        <v>233341.58</v>
      </c>
      <c r="BF7" s="162">
        <f t="shared" si="5"/>
        <v>299812.85000000091</v>
      </c>
      <c r="BG7" s="162">
        <v>0</v>
      </c>
      <c r="BH7" s="162">
        <v>0</v>
      </c>
      <c r="BI7" s="162">
        <f t="shared" si="6"/>
        <v>0</v>
      </c>
      <c r="BJ7" s="162">
        <v>0</v>
      </c>
      <c r="BK7" s="162">
        <v>0</v>
      </c>
      <c r="BL7" s="162">
        <f t="shared" si="7"/>
        <v>0</v>
      </c>
      <c r="BM7" s="162">
        <f t="shared" si="8"/>
        <v>0</v>
      </c>
      <c r="BN7" s="162">
        <v>0</v>
      </c>
      <c r="BO7" s="162">
        <f t="shared" si="9"/>
        <v>0</v>
      </c>
      <c r="BP7" s="162">
        <v>0</v>
      </c>
      <c r="BQ7" s="162">
        <v>299812.85000000091</v>
      </c>
      <c r="BR7" s="162">
        <v>0</v>
      </c>
      <c r="BS7" s="162">
        <f t="shared" si="10"/>
        <v>299812.85000000091</v>
      </c>
      <c r="BT7" s="162">
        <v>8173.75</v>
      </c>
      <c r="BU7" s="162">
        <v>0</v>
      </c>
      <c r="BV7" s="162">
        <v>0</v>
      </c>
      <c r="BW7" s="162">
        <f t="shared" si="11"/>
        <v>8173.75</v>
      </c>
      <c r="BX7" s="162">
        <v>0</v>
      </c>
      <c r="BY7" s="162">
        <v>0</v>
      </c>
      <c r="BZ7" s="162">
        <v>0</v>
      </c>
      <c r="CA7" s="162">
        <v>24245.200000000001</v>
      </c>
      <c r="CB7" s="162">
        <f t="shared" si="12"/>
        <v>24245.200000000001</v>
      </c>
      <c r="CC7" s="162">
        <f t="shared" si="13"/>
        <v>-16071.45</v>
      </c>
      <c r="CD7" s="162">
        <v>16154.58</v>
      </c>
      <c r="CE7" s="162">
        <f t="shared" si="14"/>
        <v>83.1299999999992</v>
      </c>
    </row>
    <row r="8" spans="1:85" ht="15">
      <c r="A8" s="310">
        <v>2217</v>
      </c>
      <c r="B8" s="303" t="s">
        <v>272</v>
      </c>
      <c r="C8" s="75" t="s">
        <v>264</v>
      </c>
      <c r="D8" s="162">
        <v>836915.65</v>
      </c>
      <c r="E8" s="162">
        <v>0</v>
      </c>
      <c r="F8" s="162">
        <v>121539.37</v>
      </c>
      <c r="G8" s="162">
        <v>0</v>
      </c>
      <c r="H8" s="162">
        <v>58810</v>
      </c>
      <c r="I8" s="162">
        <v>0</v>
      </c>
      <c r="J8" s="162">
        <v>0</v>
      </c>
      <c r="K8" s="162">
        <v>1246.3800000000001</v>
      </c>
      <c r="L8" s="162">
        <v>11235.01</v>
      </c>
      <c r="M8" s="162">
        <v>7421.18</v>
      </c>
      <c r="N8" s="162">
        <v>1679.6</v>
      </c>
      <c r="O8" s="162">
        <v>0</v>
      </c>
      <c r="P8" s="162">
        <v>5297.02</v>
      </c>
      <c r="Q8" s="162">
        <v>6645.84</v>
      </c>
      <c r="R8" s="162">
        <v>0</v>
      </c>
      <c r="S8" s="162">
        <v>0</v>
      </c>
      <c r="T8" s="162">
        <v>0</v>
      </c>
      <c r="U8" s="162">
        <v>1976.25</v>
      </c>
      <c r="V8" s="162">
        <v>34711</v>
      </c>
      <c r="W8" s="162">
        <f t="shared" si="2"/>
        <v>1087477.3</v>
      </c>
      <c r="X8" s="162">
        <v>494672.93</v>
      </c>
      <c r="Y8" s="162">
        <v>1702</v>
      </c>
      <c r="Z8" s="162">
        <v>265051.63</v>
      </c>
      <c r="AA8" s="162">
        <v>25148.16</v>
      </c>
      <c r="AB8" s="162">
        <v>66477.45</v>
      </c>
      <c r="AC8" s="162">
        <v>0</v>
      </c>
      <c r="AD8" s="162">
        <v>7743.39</v>
      </c>
      <c r="AE8" s="162">
        <v>4201.6000000000004</v>
      </c>
      <c r="AF8" s="162">
        <v>3999.84</v>
      </c>
      <c r="AG8" s="162">
        <v>3175</v>
      </c>
      <c r="AH8" s="162">
        <v>0</v>
      </c>
      <c r="AI8" s="162">
        <v>4297.66</v>
      </c>
      <c r="AJ8" s="162">
        <v>4733.33</v>
      </c>
      <c r="AK8" s="162">
        <v>2827.99</v>
      </c>
      <c r="AL8" s="162">
        <v>386.42</v>
      </c>
      <c r="AM8" s="162">
        <v>17416.57</v>
      </c>
      <c r="AN8" s="162">
        <v>24950</v>
      </c>
      <c r="AO8" s="162">
        <v>2962.79</v>
      </c>
      <c r="AP8" s="162">
        <v>14822.62</v>
      </c>
      <c r="AQ8" s="162">
        <v>26448.57</v>
      </c>
      <c r="AR8" s="162">
        <v>0</v>
      </c>
      <c r="AS8" s="162">
        <v>8705.81</v>
      </c>
      <c r="AT8" s="162">
        <v>3004.39</v>
      </c>
      <c r="AU8" s="162">
        <v>5213.08</v>
      </c>
      <c r="AV8" s="162">
        <v>37045.53</v>
      </c>
      <c r="AW8" s="162">
        <v>0</v>
      </c>
      <c r="AX8" s="162">
        <v>7171.07</v>
      </c>
      <c r="AY8" s="162">
        <v>7840.35</v>
      </c>
      <c r="AZ8" s="162">
        <v>0</v>
      </c>
      <c r="BA8" s="162">
        <v>0</v>
      </c>
      <c r="BB8" s="162">
        <v>3017.4</v>
      </c>
      <c r="BC8" s="162">
        <f t="shared" si="3"/>
        <v>1043015.58</v>
      </c>
      <c r="BD8" s="162">
        <f t="shared" si="4"/>
        <v>44461.720000000088</v>
      </c>
      <c r="BE8" s="162">
        <v>-54437.21</v>
      </c>
      <c r="BF8" s="162">
        <f t="shared" si="5"/>
        <v>-9975.4899999999107</v>
      </c>
      <c r="BG8" s="162">
        <v>0</v>
      </c>
      <c r="BH8" s="162">
        <v>1209.52</v>
      </c>
      <c r="BI8" s="162">
        <f t="shared" si="6"/>
        <v>1209.52</v>
      </c>
      <c r="BJ8" s="162">
        <v>0</v>
      </c>
      <c r="BK8" s="162">
        <v>1000</v>
      </c>
      <c r="BL8" s="162">
        <f t="shared" si="7"/>
        <v>1000</v>
      </c>
      <c r="BM8" s="162">
        <f t="shared" si="8"/>
        <v>209.51999999999998</v>
      </c>
      <c r="BN8" s="162">
        <v>6121.18</v>
      </c>
      <c r="BO8" s="162">
        <f t="shared" si="9"/>
        <v>6330.7000000000007</v>
      </c>
      <c r="BP8" s="162">
        <v>2542</v>
      </c>
      <c r="BQ8" s="162">
        <v>-12517.490000000027</v>
      </c>
      <c r="BR8" s="162">
        <v>6330.7000000000007</v>
      </c>
      <c r="BS8" s="162">
        <f t="shared" si="10"/>
        <v>-3644.7900000000263</v>
      </c>
      <c r="BT8" s="162">
        <v>5372.5</v>
      </c>
      <c r="BU8" s="162">
        <v>0</v>
      </c>
      <c r="BV8" s="162">
        <v>0</v>
      </c>
      <c r="BW8" s="162">
        <f t="shared" si="11"/>
        <v>5372.5</v>
      </c>
      <c r="BX8" s="162">
        <v>0</v>
      </c>
      <c r="BY8" s="162">
        <v>6276.4</v>
      </c>
      <c r="BZ8" s="162">
        <v>0</v>
      </c>
      <c r="CA8" s="162">
        <v>1595</v>
      </c>
      <c r="CB8" s="162">
        <f t="shared" si="12"/>
        <v>7871.4</v>
      </c>
      <c r="CC8" s="162">
        <f t="shared" si="13"/>
        <v>-2498.8999999999996</v>
      </c>
      <c r="CD8" s="162">
        <v>18502.66</v>
      </c>
      <c r="CE8" s="162">
        <f t="shared" si="14"/>
        <v>16003.76</v>
      </c>
    </row>
    <row r="9" spans="1:85" ht="15">
      <c r="A9" s="310">
        <v>3067</v>
      </c>
      <c r="B9" s="303" t="s">
        <v>274</v>
      </c>
      <c r="C9" s="75" t="s">
        <v>264</v>
      </c>
      <c r="D9" s="162">
        <v>762947.9</v>
      </c>
      <c r="E9" s="162">
        <v>0</v>
      </c>
      <c r="F9" s="162">
        <v>12672.46</v>
      </c>
      <c r="G9" s="162">
        <v>0</v>
      </c>
      <c r="H9" s="162">
        <v>24380</v>
      </c>
      <c r="I9" s="162">
        <v>3752.93</v>
      </c>
      <c r="J9" s="162">
        <v>0</v>
      </c>
      <c r="K9" s="162">
        <v>2720</v>
      </c>
      <c r="L9" s="162">
        <v>6241.47</v>
      </c>
      <c r="M9" s="162">
        <v>33709.65</v>
      </c>
      <c r="N9" s="162">
        <v>0</v>
      </c>
      <c r="O9" s="162">
        <v>249.89</v>
      </c>
      <c r="P9" s="162">
        <v>13224.63</v>
      </c>
      <c r="Q9" s="162">
        <v>12379.72</v>
      </c>
      <c r="R9" s="162">
        <v>0</v>
      </c>
      <c r="S9" s="162">
        <v>0</v>
      </c>
      <c r="T9" s="162">
        <v>0</v>
      </c>
      <c r="U9" s="162">
        <v>-7.5</v>
      </c>
      <c r="V9" s="162">
        <v>42818</v>
      </c>
      <c r="W9" s="162">
        <f t="shared" si="2"/>
        <v>915089.15</v>
      </c>
      <c r="X9" s="162">
        <v>466943.88</v>
      </c>
      <c r="Y9" s="162">
        <v>10502.85</v>
      </c>
      <c r="Z9" s="162">
        <v>134718.15</v>
      </c>
      <c r="AA9" s="162">
        <v>8911.89</v>
      </c>
      <c r="AB9" s="162">
        <v>57019.18</v>
      </c>
      <c r="AC9" s="162">
        <v>42288.46</v>
      </c>
      <c r="AD9" s="162">
        <v>14425.07</v>
      </c>
      <c r="AE9" s="162">
        <v>3371.9</v>
      </c>
      <c r="AF9" s="162">
        <v>2832.9</v>
      </c>
      <c r="AG9" s="162">
        <v>3500</v>
      </c>
      <c r="AH9" s="162">
        <v>1056.3800000000001</v>
      </c>
      <c r="AI9" s="162">
        <v>12899.82</v>
      </c>
      <c r="AJ9" s="162">
        <v>2580</v>
      </c>
      <c r="AK9" s="162">
        <v>11277.52</v>
      </c>
      <c r="AL9" s="162">
        <v>2111.2199999999998</v>
      </c>
      <c r="AM9" s="162">
        <v>11318.9</v>
      </c>
      <c r="AN9" s="162">
        <v>15718.5</v>
      </c>
      <c r="AO9" s="162">
        <v>7559.32</v>
      </c>
      <c r="AP9" s="162">
        <v>42516.13</v>
      </c>
      <c r="AQ9" s="162">
        <v>28673.85</v>
      </c>
      <c r="AR9" s="162">
        <v>0</v>
      </c>
      <c r="AS9" s="162">
        <v>4922.6499999999996</v>
      </c>
      <c r="AT9" s="162">
        <v>3105.24</v>
      </c>
      <c r="AU9" s="162">
        <v>1044.1199999999999</v>
      </c>
      <c r="AV9" s="162">
        <v>33999.9</v>
      </c>
      <c r="AW9" s="162">
        <v>0</v>
      </c>
      <c r="AX9" s="162">
        <v>0</v>
      </c>
      <c r="AY9" s="162">
        <v>11162.23</v>
      </c>
      <c r="AZ9" s="162">
        <v>0</v>
      </c>
      <c r="BA9" s="162">
        <v>0</v>
      </c>
      <c r="BB9" s="162">
        <v>0</v>
      </c>
      <c r="BC9" s="162">
        <f t="shared" si="3"/>
        <v>934460.05999999994</v>
      </c>
      <c r="BD9" s="162">
        <f t="shared" si="4"/>
        <v>-19370.909999999916</v>
      </c>
      <c r="BE9" s="162">
        <v>144502.34</v>
      </c>
      <c r="BF9" s="162">
        <f t="shared" si="5"/>
        <v>125131.43000000008</v>
      </c>
      <c r="BG9" s="162">
        <v>0</v>
      </c>
      <c r="BH9" s="162">
        <v>0</v>
      </c>
      <c r="BI9" s="162">
        <f t="shared" si="6"/>
        <v>0</v>
      </c>
      <c r="BJ9" s="162">
        <v>0</v>
      </c>
      <c r="BK9" s="162">
        <v>0</v>
      </c>
      <c r="BL9" s="162">
        <f t="shared" si="7"/>
        <v>0</v>
      </c>
      <c r="BM9" s="162">
        <f t="shared" si="8"/>
        <v>0</v>
      </c>
      <c r="BN9" s="162">
        <v>0</v>
      </c>
      <c r="BO9" s="162">
        <f t="shared" si="9"/>
        <v>0</v>
      </c>
      <c r="BP9" s="162">
        <v>12475</v>
      </c>
      <c r="BQ9" s="162">
        <v>112656.43000000008</v>
      </c>
      <c r="BR9" s="162">
        <v>0</v>
      </c>
      <c r="BS9" s="162">
        <f t="shared" si="10"/>
        <v>125131.43000000008</v>
      </c>
      <c r="BT9" s="162">
        <v>5676.25</v>
      </c>
      <c r="BU9" s="162">
        <v>8820</v>
      </c>
      <c r="BV9" s="162">
        <v>0</v>
      </c>
      <c r="BW9" s="162">
        <f t="shared" si="11"/>
        <v>14496.25</v>
      </c>
      <c r="BX9" s="162">
        <v>0</v>
      </c>
      <c r="BY9" s="162">
        <v>7918.19</v>
      </c>
      <c r="BZ9" s="162">
        <v>0</v>
      </c>
      <c r="CA9" s="162">
        <v>8820</v>
      </c>
      <c r="CB9" s="162">
        <f t="shared" si="12"/>
        <v>16738.189999999999</v>
      </c>
      <c r="CC9" s="162">
        <f t="shared" si="13"/>
        <v>-2241.9399999999987</v>
      </c>
      <c r="CD9" s="162">
        <v>2293.61</v>
      </c>
      <c r="CE9" s="162">
        <f t="shared" si="14"/>
        <v>51.670000000001437</v>
      </c>
    </row>
    <row r="10" spans="1:85" ht="15">
      <c r="A10" s="311">
        <v>3001</v>
      </c>
      <c r="B10" s="304" t="s">
        <v>276</v>
      </c>
      <c r="C10" s="75" t="s">
        <v>264</v>
      </c>
      <c r="D10" s="162">
        <v>822046.51</v>
      </c>
      <c r="E10" s="162">
        <v>0</v>
      </c>
      <c r="F10" s="162">
        <v>64742.31</v>
      </c>
      <c r="G10" s="162">
        <v>0</v>
      </c>
      <c r="H10" s="162">
        <v>23680</v>
      </c>
      <c r="I10" s="162">
        <v>3600</v>
      </c>
      <c r="J10" s="162">
        <v>0</v>
      </c>
      <c r="K10" s="162">
        <v>0</v>
      </c>
      <c r="L10" s="162">
        <v>49796.41</v>
      </c>
      <c r="M10" s="162">
        <v>24159.919999999998</v>
      </c>
      <c r="N10" s="162">
        <v>792</v>
      </c>
      <c r="O10" s="162">
        <v>0</v>
      </c>
      <c r="P10" s="162">
        <v>9341</v>
      </c>
      <c r="Q10" s="162">
        <v>14159.42</v>
      </c>
      <c r="R10" s="162">
        <v>0</v>
      </c>
      <c r="S10" s="162">
        <v>0</v>
      </c>
      <c r="T10" s="162">
        <v>0</v>
      </c>
      <c r="U10" s="162">
        <v>120.81</v>
      </c>
      <c r="V10" s="162">
        <v>46834</v>
      </c>
      <c r="W10" s="162">
        <f t="shared" si="2"/>
        <v>1059272.3800000004</v>
      </c>
      <c r="X10" s="162">
        <v>503966.44</v>
      </c>
      <c r="Y10" s="162">
        <v>6150.83</v>
      </c>
      <c r="Z10" s="162">
        <v>209634.26</v>
      </c>
      <c r="AA10" s="162">
        <v>25049.82</v>
      </c>
      <c r="AB10" s="162">
        <v>82478.97</v>
      </c>
      <c r="AC10" s="162">
        <v>0</v>
      </c>
      <c r="AD10" s="162">
        <v>25199.64</v>
      </c>
      <c r="AE10" s="162">
        <v>5062.6400000000003</v>
      </c>
      <c r="AF10" s="162">
        <v>5712.26</v>
      </c>
      <c r="AG10" s="162">
        <v>3750</v>
      </c>
      <c r="AH10" s="162">
        <v>0</v>
      </c>
      <c r="AI10" s="162">
        <v>15086.22</v>
      </c>
      <c r="AJ10" s="162">
        <v>2100</v>
      </c>
      <c r="AK10" s="162">
        <v>2330.2399999999998</v>
      </c>
      <c r="AL10" s="162">
        <v>2075.4899999999998</v>
      </c>
      <c r="AM10" s="162">
        <v>22937.57</v>
      </c>
      <c r="AN10" s="162">
        <v>19726.099999999999</v>
      </c>
      <c r="AO10" s="162">
        <v>1558.25</v>
      </c>
      <c r="AP10" s="162">
        <v>60850.07</v>
      </c>
      <c r="AQ10" s="162">
        <v>22199</v>
      </c>
      <c r="AR10" s="162">
        <v>0</v>
      </c>
      <c r="AS10" s="162">
        <v>4797.42</v>
      </c>
      <c r="AT10" s="162">
        <v>3510.51</v>
      </c>
      <c r="AU10" s="162">
        <v>2006.03</v>
      </c>
      <c r="AV10" s="162">
        <v>56097.65</v>
      </c>
      <c r="AW10" s="162">
        <v>0</v>
      </c>
      <c r="AX10" s="162">
        <v>0</v>
      </c>
      <c r="AY10" s="162">
        <v>16795.79</v>
      </c>
      <c r="AZ10" s="162">
        <v>0</v>
      </c>
      <c r="BA10" s="162">
        <v>0</v>
      </c>
      <c r="BB10" s="162">
        <v>0</v>
      </c>
      <c r="BC10" s="162">
        <f t="shared" si="3"/>
        <v>1099075.2</v>
      </c>
      <c r="BD10" s="162">
        <f t="shared" si="4"/>
        <v>-39802.8199999996</v>
      </c>
      <c r="BE10" s="162">
        <v>23707.66</v>
      </c>
      <c r="BF10" s="162">
        <f t="shared" si="5"/>
        <v>-16095.1599999996</v>
      </c>
      <c r="BG10" s="162">
        <v>0</v>
      </c>
      <c r="BH10" s="162">
        <v>0</v>
      </c>
      <c r="BI10" s="162">
        <f t="shared" si="6"/>
        <v>0</v>
      </c>
      <c r="BJ10" s="162">
        <v>0</v>
      </c>
      <c r="BK10" s="162">
        <v>0</v>
      </c>
      <c r="BL10" s="162">
        <f t="shared" si="7"/>
        <v>0</v>
      </c>
      <c r="BM10" s="162">
        <f t="shared" si="8"/>
        <v>0</v>
      </c>
      <c r="BN10" s="162">
        <v>0</v>
      </c>
      <c r="BO10" s="162">
        <f t="shared" si="9"/>
        <v>0</v>
      </c>
      <c r="BP10" s="162">
        <v>0</v>
      </c>
      <c r="BQ10" s="162">
        <v>-16095.159999999363</v>
      </c>
      <c r="BR10" s="162">
        <v>0</v>
      </c>
      <c r="BS10" s="162">
        <f t="shared" si="10"/>
        <v>-16095.159999999363</v>
      </c>
      <c r="BT10" s="162">
        <v>5485</v>
      </c>
      <c r="BU10" s="162">
        <v>0</v>
      </c>
      <c r="BV10" s="162">
        <v>0</v>
      </c>
      <c r="BW10" s="162">
        <f t="shared" si="11"/>
        <v>5485</v>
      </c>
      <c r="BX10" s="162">
        <v>0</v>
      </c>
      <c r="BY10" s="162">
        <v>7580</v>
      </c>
      <c r="BZ10" s="162">
        <v>0</v>
      </c>
      <c r="CA10" s="162">
        <v>0</v>
      </c>
      <c r="CB10" s="162">
        <f t="shared" si="12"/>
        <v>7580</v>
      </c>
      <c r="CC10" s="162">
        <f t="shared" si="13"/>
        <v>-2095</v>
      </c>
      <c r="CD10" s="162">
        <v>10855.22</v>
      </c>
      <c r="CE10" s="162">
        <f t="shared" si="14"/>
        <v>8760.2199999999993</v>
      </c>
    </row>
    <row r="11" spans="1:85" ht="15">
      <c r="A11" s="310">
        <v>3301</v>
      </c>
      <c r="B11" s="303" t="s">
        <v>278</v>
      </c>
      <c r="C11" s="75" t="s">
        <v>264</v>
      </c>
      <c r="D11" s="162">
        <v>626476.9</v>
      </c>
      <c r="E11" s="162">
        <v>0</v>
      </c>
      <c r="F11" s="162">
        <v>26326.84</v>
      </c>
      <c r="G11" s="162">
        <v>0</v>
      </c>
      <c r="H11" s="162">
        <v>13320</v>
      </c>
      <c r="I11" s="162">
        <v>4456.93</v>
      </c>
      <c r="J11" s="162">
        <v>12033.99</v>
      </c>
      <c r="K11" s="162">
        <v>874.5</v>
      </c>
      <c r="L11" s="162">
        <v>7376.98</v>
      </c>
      <c r="M11" s="162">
        <v>18169.61</v>
      </c>
      <c r="N11" s="162">
        <v>0</v>
      </c>
      <c r="O11" s="162">
        <v>0</v>
      </c>
      <c r="P11" s="162">
        <v>17280.5</v>
      </c>
      <c r="Q11" s="162">
        <v>24258.91</v>
      </c>
      <c r="R11" s="162">
        <v>0</v>
      </c>
      <c r="S11" s="162">
        <v>0</v>
      </c>
      <c r="T11" s="162">
        <v>0</v>
      </c>
      <c r="U11" s="162">
        <v>668.75</v>
      </c>
      <c r="V11" s="162">
        <v>38066</v>
      </c>
      <c r="W11" s="162">
        <f t="shared" si="2"/>
        <v>789309.91</v>
      </c>
      <c r="X11" s="162">
        <v>376125.1</v>
      </c>
      <c r="Y11" s="162">
        <v>741.83</v>
      </c>
      <c r="Z11" s="162">
        <v>116967.26</v>
      </c>
      <c r="AA11" s="162">
        <v>21415.71</v>
      </c>
      <c r="AB11" s="162">
        <v>62603.3</v>
      </c>
      <c r="AC11" s="162">
        <v>23408.67</v>
      </c>
      <c r="AD11" s="162">
        <v>2497.7800000000002</v>
      </c>
      <c r="AE11" s="162">
        <v>98</v>
      </c>
      <c r="AF11" s="162">
        <v>11219.83</v>
      </c>
      <c r="AG11" s="162">
        <v>2750</v>
      </c>
      <c r="AH11" s="162">
        <v>171.25</v>
      </c>
      <c r="AI11" s="162">
        <v>10220.299999999999</v>
      </c>
      <c r="AJ11" s="162">
        <v>2220.5</v>
      </c>
      <c r="AK11" s="162">
        <v>1293.0999999999999</v>
      </c>
      <c r="AL11" s="162">
        <v>448</v>
      </c>
      <c r="AM11" s="162">
        <v>13643.18</v>
      </c>
      <c r="AN11" s="162">
        <v>2719.55</v>
      </c>
      <c r="AO11" s="162">
        <v>10159.42</v>
      </c>
      <c r="AP11" s="162">
        <v>38158.639999999999</v>
      </c>
      <c r="AQ11" s="162">
        <v>23760.760000000002</v>
      </c>
      <c r="AR11" s="162">
        <v>0</v>
      </c>
      <c r="AS11" s="162">
        <v>6427.57</v>
      </c>
      <c r="AT11" s="162">
        <v>2565.29</v>
      </c>
      <c r="AU11" s="162">
        <v>863.27</v>
      </c>
      <c r="AV11" s="162">
        <v>15307.25</v>
      </c>
      <c r="AW11" s="162">
        <v>5336.22</v>
      </c>
      <c r="AX11" s="162">
        <v>10457.67</v>
      </c>
      <c r="AY11" s="162">
        <v>14974.4</v>
      </c>
      <c r="AZ11" s="162">
        <v>0</v>
      </c>
      <c r="BA11" s="162">
        <v>0</v>
      </c>
      <c r="BB11" s="162">
        <v>1721.25</v>
      </c>
      <c r="BC11" s="162">
        <f t="shared" si="3"/>
        <v>778275.10000000033</v>
      </c>
      <c r="BD11" s="162">
        <f t="shared" si="4"/>
        <v>11034.809999999707</v>
      </c>
      <c r="BE11" s="162">
        <v>51054.96</v>
      </c>
      <c r="BF11" s="162">
        <f t="shared" si="5"/>
        <v>62089.769999999706</v>
      </c>
      <c r="BG11" s="162">
        <v>0</v>
      </c>
      <c r="BH11" s="162">
        <v>0</v>
      </c>
      <c r="BI11" s="162">
        <f t="shared" si="6"/>
        <v>0</v>
      </c>
      <c r="BJ11" s="162">
        <v>0</v>
      </c>
      <c r="BK11" s="162">
        <v>0</v>
      </c>
      <c r="BL11" s="162">
        <f t="shared" si="7"/>
        <v>0</v>
      </c>
      <c r="BM11" s="162">
        <f t="shared" si="8"/>
        <v>0</v>
      </c>
      <c r="BN11" s="162">
        <v>0</v>
      </c>
      <c r="BO11" s="162">
        <f t="shared" si="9"/>
        <v>0</v>
      </c>
      <c r="BP11" s="162">
        <v>7404</v>
      </c>
      <c r="BQ11" s="162">
        <v>54685.769999999706</v>
      </c>
      <c r="BR11" s="162">
        <v>0</v>
      </c>
      <c r="BS11" s="162">
        <f t="shared" si="10"/>
        <v>62089.769999999706</v>
      </c>
      <c r="BT11" s="162">
        <v>0</v>
      </c>
      <c r="BU11" s="162">
        <v>0</v>
      </c>
      <c r="BV11" s="162">
        <v>0</v>
      </c>
      <c r="BW11" s="162">
        <f t="shared" si="11"/>
        <v>0</v>
      </c>
      <c r="BX11" s="162">
        <v>0</v>
      </c>
      <c r="BY11" s="162">
        <v>0</v>
      </c>
      <c r="BZ11" s="162">
        <v>0</v>
      </c>
      <c r="CA11" s="162">
        <v>0</v>
      </c>
      <c r="CB11" s="162">
        <f t="shared" si="12"/>
        <v>0</v>
      </c>
      <c r="CC11" s="162">
        <f t="shared" si="13"/>
        <v>0</v>
      </c>
      <c r="CD11" s="162">
        <v>0</v>
      </c>
      <c r="CE11" s="162">
        <f t="shared" si="14"/>
        <v>0</v>
      </c>
    </row>
    <row r="12" spans="1:85" ht="15">
      <c r="A12" s="310">
        <v>2002</v>
      </c>
      <c r="B12" s="303" t="s">
        <v>280</v>
      </c>
      <c r="C12" s="75" t="s">
        <v>264</v>
      </c>
      <c r="D12" s="162">
        <v>1847306.95</v>
      </c>
      <c r="E12" s="162">
        <v>0</v>
      </c>
      <c r="F12" s="162">
        <v>64231.42</v>
      </c>
      <c r="G12" s="162">
        <v>0</v>
      </c>
      <c r="H12" s="162">
        <v>120724</v>
      </c>
      <c r="I12" s="162">
        <v>3707.57</v>
      </c>
      <c r="J12" s="162">
        <v>0</v>
      </c>
      <c r="K12" s="162">
        <v>4747</v>
      </c>
      <c r="L12" s="162">
        <v>18495.810000000001</v>
      </c>
      <c r="M12" s="162">
        <v>38272.51</v>
      </c>
      <c r="N12" s="162">
        <v>26470</v>
      </c>
      <c r="O12" s="162">
        <v>0</v>
      </c>
      <c r="P12" s="162">
        <v>30562.639999999999</v>
      </c>
      <c r="Q12" s="162">
        <v>0</v>
      </c>
      <c r="R12" s="162">
        <v>0</v>
      </c>
      <c r="S12" s="162">
        <v>0</v>
      </c>
      <c r="T12" s="162">
        <v>0</v>
      </c>
      <c r="U12" s="162">
        <v>-833.12</v>
      </c>
      <c r="V12" s="162">
        <v>70684</v>
      </c>
      <c r="W12" s="162">
        <f t="shared" si="2"/>
        <v>2224368.7799999998</v>
      </c>
      <c r="X12" s="162">
        <v>1139537.3500000001</v>
      </c>
      <c r="Y12" s="162">
        <v>7433.91</v>
      </c>
      <c r="Z12" s="162">
        <v>454707.53</v>
      </c>
      <c r="AA12" s="162">
        <v>71558.45</v>
      </c>
      <c r="AB12" s="162">
        <v>111097.11</v>
      </c>
      <c r="AC12" s="162">
        <v>0</v>
      </c>
      <c r="AD12" s="162">
        <v>21723.119999999999</v>
      </c>
      <c r="AE12" s="162">
        <v>32388.66</v>
      </c>
      <c r="AF12" s="162">
        <v>14649.55</v>
      </c>
      <c r="AG12" s="162">
        <v>9275</v>
      </c>
      <c r="AH12" s="162">
        <v>2388.75</v>
      </c>
      <c r="AI12" s="162">
        <v>12156.68</v>
      </c>
      <c r="AJ12" s="162">
        <v>3450.9</v>
      </c>
      <c r="AK12" s="162">
        <v>4577.6499999999996</v>
      </c>
      <c r="AL12" s="162">
        <v>4531</v>
      </c>
      <c r="AM12" s="162">
        <v>57541.48</v>
      </c>
      <c r="AN12" s="162">
        <v>40404</v>
      </c>
      <c r="AO12" s="162">
        <v>12751.33</v>
      </c>
      <c r="AP12" s="162">
        <v>82953.11</v>
      </c>
      <c r="AQ12" s="162">
        <v>41107.39</v>
      </c>
      <c r="AR12" s="162">
        <v>0</v>
      </c>
      <c r="AS12" s="162">
        <v>16490.650000000001</v>
      </c>
      <c r="AT12" s="162">
        <v>7188.64</v>
      </c>
      <c r="AU12" s="162">
        <v>802.89</v>
      </c>
      <c r="AV12" s="162">
        <v>94239.03</v>
      </c>
      <c r="AW12" s="162">
        <v>72931.37</v>
      </c>
      <c r="AX12" s="162">
        <v>40306.730000000003</v>
      </c>
      <c r="AY12" s="162">
        <v>37225.75</v>
      </c>
      <c r="AZ12" s="162">
        <v>0</v>
      </c>
      <c r="BA12" s="162">
        <v>0</v>
      </c>
      <c r="BB12" s="162">
        <v>0</v>
      </c>
      <c r="BC12" s="162">
        <f t="shared" si="3"/>
        <v>2393418.0300000003</v>
      </c>
      <c r="BD12" s="162">
        <f t="shared" si="4"/>
        <v>-169049.25000000047</v>
      </c>
      <c r="BE12" s="162">
        <v>249202.31</v>
      </c>
      <c r="BF12" s="162">
        <f t="shared" si="5"/>
        <v>80153.059999999532</v>
      </c>
      <c r="BG12" s="162">
        <v>0</v>
      </c>
      <c r="BH12" s="162">
        <v>0</v>
      </c>
      <c r="BI12" s="162">
        <f t="shared" si="6"/>
        <v>0</v>
      </c>
      <c r="BJ12" s="162">
        <v>0</v>
      </c>
      <c r="BK12" s="162">
        <v>0</v>
      </c>
      <c r="BL12" s="162">
        <f t="shared" si="7"/>
        <v>0</v>
      </c>
      <c r="BM12" s="162">
        <f t="shared" si="8"/>
        <v>0</v>
      </c>
      <c r="BN12" s="162">
        <v>0</v>
      </c>
      <c r="BO12" s="162">
        <f t="shared" si="9"/>
        <v>0</v>
      </c>
      <c r="BP12" s="162">
        <v>11655.7</v>
      </c>
      <c r="BQ12" s="162">
        <v>68497.36</v>
      </c>
      <c r="BR12" s="162">
        <v>0</v>
      </c>
      <c r="BS12" s="162">
        <f t="shared" si="10"/>
        <v>80153.06</v>
      </c>
      <c r="BT12" s="162">
        <v>8342.5</v>
      </c>
      <c r="BU12" s="162">
        <v>0</v>
      </c>
      <c r="BV12" s="162">
        <v>0</v>
      </c>
      <c r="BW12" s="162">
        <f t="shared" si="11"/>
        <v>8342.5</v>
      </c>
      <c r="BX12" s="162">
        <v>0</v>
      </c>
      <c r="BY12" s="162">
        <v>7890</v>
      </c>
      <c r="BZ12" s="162">
        <v>0</v>
      </c>
      <c r="CA12" s="162">
        <v>20911.79</v>
      </c>
      <c r="CB12" s="162">
        <f t="shared" si="12"/>
        <v>28801.79</v>
      </c>
      <c r="CC12" s="162">
        <f t="shared" si="13"/>
        <v>-20459.29</v>
      </c>
      <c r="CD12" s="162">
        <v>25731.7</v>
      </c>
      <c r="CE12" s="162">
        <f t="shared" si="14"/>
        <v>5272.41</v>
      </c>
    </row>
    <row r="13" spans="1:85" ht="15">
      <c r="A13" s="310">
        <v>2082</v>
      </c>
      <c r="B13" s="303" t="s">
        <v>282</v>
      </c>
      <c r="C13" s="75" t="s">
        <v>264</v>
      </c>
      <c r="D13" s="162">
        <v>985219.92</v>
      </c>
      <c r="E13" s="162">
        <v>0</v>
      </c>
      <c r="F13" s="162">
        <v>35949.96</v>
      </c>
      <c r="G13" s="162">
        <v>0</v>
      </c>
      <c r="H13" s="162">
        <v>99260</v>
      </c>
      <c r="I13" s="162">
        <v>1200</v>
      </c>
      <c r="J13" s="162">
        <v>0</v>
      </c>
      <c r="K13" s="162">
        <v>3484.8</v>
      </c>
      <c r="L13" s="162">
        <v>7109.27</v>
      </c>
      <c r="M13" s="162">
        <v>0</v>
      </c>
      <c r="N13" s="162">
        <v>13075.5</v>
      </c>
      <c r="O13" s="162">
        <v>0</v>
      </c>
      <c r="P13" s="162">
        <v>3801.15</v>
      </c>
      <c r="Q13" s="162">
        <v>0</v>
      </c>
      <c r="R13" s="162">
        <v>0</v>
      </c>
      <c r="S13" s="162">
        <v>0</v>
      </c>
      <c r="T13" s="162">
        <v>0</v>
      </c>
      <c r="U13" s="162">
        <v>-239.37</v>
      </c>
      <c r="V13" s="162">
        <v>36298</v>
      </c>
      <c r="W13" s="162">
        <f t="shared" si="2"/>
        <v>1185159.2299999997</v>
      </c>
      <c r="X13" s="162">
        <v>532298.79</v>
      </c>
      <c r="Y13" s="162">
        <v>9058.84</v>
      </c>
      <c r="Z13" s="162">
        <v>173487.87</v>
      </c>
      <c r="AA13" s="162">
        <v>43279.74</v>
      </c>
      <c r="AB13" s="162">
        <v>71010.8</v>
      </c>
      <c r="AC13" s="162">
        <v>0</v>
      </c>
      <c r="AD13" s="162">
        <v>29796.22</v>
      </c>
      <c r="AE13" s="162">
        <v>3620.27</v>
      </c>
      <c r="AF13" s="162">
        <v>3395.15</v>
      </c>
      <c r="AG13" s="162">
        <v>4325</v>
      </c>
      <c r="AH13" s="162">
        <v>645</v>
      </c>
      <c r="AI13" s="162">
        <v>8554.73</v>
      </c>
      <c r="AJ13" s="162">
        <v>3509.34</v>
      </c>
      <c r="AK13" s="162">
        <v>1482.01</v>
      </c>
      <c r="AL13" s="162">
        <v>2915</v>
      </c>
      <c r="AM13" s="162">
        <v>21527.55</v>
      </c>
      <c r="AN13" s="162">
        <v>18463</v>
      </c>
      <c r="AO13" s="162">
        <v>10236.73</v>
      </c>
      <c r="AP13" s="162">
        <v>55975.64</v>
      </c>
      <c r="AQ13" s="162">
        <v>26521.140000000003</v>
      </c>
      <c r="AR13" s="162">
        <v>0</v>
      </c>
      <c r="AS13" s="162">
        <v>10617.88</v>
      </c>
      <c r="AT13" s="162">
        <v>3526.57</v>
      </c>
      <c r="AU13" s="162">
        <v>0</v>
      </c>
      <c r="AV13" s="162">
        <v>43125.84</v>
      </c>
      <c r="AW13" s="162">
        <v>25557.23</v>
      </c>
      <c r="AX13" s="162">
        <v>6958</v>
      </c>
      <c r="AY13" s="162">
        <v>16360.87</v>
      </c>
      <c r="AZ13" s="162">
        <v>0</v>
      </c>
      <c r="BA13" s="162">
        <v>0</v>
      </c>
      <c r="BB13" s="162">
        <v>0</v>
      </c>
      <c r="BC13" s="162">
        <f t="shared" si="3"/>
        <v>1126249.2100000002</v>
      </c>
      <c r="BD13" s="162">
        <f t="shared" si="4"/>
        <v>58910.019999999553</v>
      </c>
      <c r="BE13" s="162">
        <v>119226.82</v>
      </c>
      <c r="BF13" s="162">
        <f t="shared" si="5"/>
        <v>178136.83999999956</v>
      </c>
      <c r="BG13" s="162">
        <v>0</v>
      </c>
      <c r="BH13" s="162">
        <v>0</v>
      </c>
      <c r="BI13" s="162">
        <f t="shared" si="6"/>
        <v>0</v>
      </c>
      <c r="BJ13" s="162">
        <v>0</v>
      </c>
      <c r="BK13" s="162">
        <v>0</v>
      </c>
      <c r="BL13" s="162">
        <f t="shared" si="7"/>
        <v>0</v>
      </c>
      <c r="BM13" s="162">
        <f t="shared" si="8"/>
        <v>0</v>
      </c>
      <c r="BN13" s="162">
        <v>0</v>
      </c>
      <c r="BO13" s="162">
        <f t="shared" si="9"/>
        <v>0</v>
      </c>
      <c r="BP13" s="162">
        <v>14719.87</v>
      </c>
      <c r="BQ13" s="162">
        <v>163416.96999999956</v>
      </c>
      <c r="BR13" s="162">
        <v>0</v>
      </c>
      <c r="BS13" s="162">
        <f t="shared" si="10"/>
        <v>178136.83999999956</v>
      </c>
      <c r="BT13" s="162">
        <v>6137.5</v>
      </c>
      <c r="BU13" s="162">
        <v>0</v>
      </c>
      <c r="BV13" s="162">
        <v>0</v>
      </c>
      <c r="BW13" s="162">
        <f t="shared" si="11"/>
        <v>6137.5</v>
      </c>
      <c r="BX13" s="162">
        <v>0</v>
      </c>
      <c r="BY13" s="162">
        <v>3083.44</v>
      </c>
      <c r="BZ13" s="162">
        <v>0</v>
      </c>
      <c r="CA13" s="162">
        <v>0</v>
      </c>
      <c r="CB13" s="162">
        <f t="shared" si="12"/>
        <v>3083.44</v>
      </c>
      <c r="CC13" s="162">
        <f t="shared" si="13"/>
        <v>3054.06</v>
      </c>
      <c r="CD13" s="162">
        <v>10759.77</v>
      </c>
      <c r="CE13" s="162">
        <f t="shared" si="14"/>
        <v>13813.83</v>
      </c>
    </row>
    <row r="14" spans="1:85" ht="15">
      <c r="A14" s="310">
        <v>3943</v>
      </c>
      <c r="B14" s="303" t="s">
        <v>284</v>
      </c>
      <c r="C14" s="75" t="s">
        <v>264</v>
      </c>
      <c r="D14" s="162">
        <v>2102470.6</v>
      </c>
      <c r="E14" s="162">
        <v>0</v>
      </c>
      <c r="F14" s="162">
        <v>114933.04</v>
      </c>
      <c r="G14" s="162">
        <v>0</v>
      </c>
      <c r="H14" s="162">
        <v>90160</v>
      </c>
      <c r="I14" s="162">
        <v>2074.29</v>
      </c>
      <c r="J14" s="162">
        <v>0</v>
      </c>
      <c r="K14" s="162">
        <v>26971.5</v>
      </c>
      <c r="L14" s="162">
        <v>9347.01</v>
      </c>
      <c r="M14" s="162">
        <v>46961.3</v>
      </c>
      <c r="N14" s="162">
        <v>3492</v>
      </c>
      <c r="O14" s="162">
        <v>6643.93</v>
      </c>
      <c r="P14" s="162">
        <v>21570.55</v>
      </c>
      <c r="Q14" s="162">
        <v>21131.91</v>
      </c>
      <c r="R14" s="162">
        <v>0</v>
      </c>
      <c r="S14" s="162">
        <v>0</v>
      </c>
      <c r="T14" s="162">
        <v>0</v>
      </c>
      <c r="U14" s="162">
        <v>3890.63</v>
      </c>
      <c r="V14" s="162">
        <v>87421</v>
      </c>
      <c r="W14" s="162">
        <f t="shared" si="2"/>
        <v>2537067.7599999998</v>
      </c>
      <c r="X14" s="162">
        <v>1154181.96</v>
      </c>
      <c r="Y14" s="162">
        <v>15394.07</v>
      </c>
      <c r="Z14" s="162">
        <v>566750.44999999995</v>
      </c>
      <c r="AA14" s="162">
        <v>56187.99</v>
      </c>
      <c r="AB14" s="162">
        <v>87417.75</v>
      </c>
      <c r="AC14" s="162">
        <v>0</v>
      </c>
      <c r="AD14" s="162">
        <v>49292.05</v>
      </c>
      <c r="AE14" s="162">
        <v>9919.51</v>
      </c>
      <c r="AF14" s="162">
        <v>13299.56</v>
      </c>
      <c r="AG14" s="162">
        <v>10425</v>
      </c>
      <c r="AH14" s="162">
        <v>2738.67</v>
      </c>
      <c r="AI14" s="162">
        <v>56833.34</v>
      </c>
      <c r="AJ14" s="162">
        <v>3526</v>
      </c>
      <c r="AK14" s="162">
        <v>8851.7900000000009</v>
      </c>
      <c r="AL14" s="162">
        <v>4203.47</v>
      </c>
      <c r="AM14" s="162">
        <v>53451.4</v>
      </c>
      <c r="AN14" s="162">
        <v>75348</v>
      </c>
      <c r="AO14" s="162">
        <v>2209</v>
      </c>
      <c r="AP14" s="162">
        <v>69809.72</v>
      </c>
      <c r="AQ14" s="162">
        <v>59963.53</v>
      </c>
      <c r="AR14" s="162">
        <v>0</v>
      </c>
      <c r="AS14" s="162">
        <v>21095.57</v>
      </c>
      <c r="AT14" s="162">
        <v>8090.8</v>
      </c>
      <c r="AU14" s="162">
        <v>5598.2</v>
      </c>
      <c r="AV14" s="162">
        <v>116701.67</v>
      </c>
      <c r="AW14" s="162">
        <v>43168.639999999999</v>
      </c>
      <c r="AX14" s="162">
        <v>47570.63</v>
      </c>
      <c r="AY14" s="162">
        <v>21785.919999999998</v>
      </c>
      <c r="AZ14" s="162">
        <v>0</v>
      </c>
      <c r="BA14" s="162">
        <v>0</v>
      </c>
      <c r="BB14" s="162">
        <v>0</v>
      </c>
      <c r="BC14" s="162">
        <f t="shared" si="3"/>
        <v>2563814.6899999995</v>
      </c>
      <c r="BD14" s="162">
        <f t="shared" si="4"/>
        <v>-26746.929999999702</v>
      </c>
      <c r="BE14" s="162">
        <v>274835.44</v>
      </c>
      <c r="BF14" s="162">
        <f t="shared" si="5"/>
        <v>248088.5100000003</v>
      </c>
      <c r="BG14" s="162">
        <v>0</v>
      </c>
      <c r="BH14" s="162">
        <v>0</v>
      </c>
      <c r="BI14" s="162">
        <f t="shared" si="6"/>
        <v>0</v>
      </c>
      <c r="BJ14" s="162">
        <v>0</v>
      </c>
      <c r="BK14" s="162">
        <v>0</v>
      </c>
      <c r="BL14" s="162">
        <f t="shared" si="7"/>
        <v>0</v>
      </c>
      <c r="BM14" s="162">
        <f t="shared" si="8"/>
        <v>0</v>
      </c>
      <c r="BN14" s="162">
        <v>0</v>
      </c>
      <c r="BO14" s="162">
        <f t="shared" si="9"/>
        <v>0</v>
      </c>
      <c r="BP14" s="162">
        <v>23409.49</v>
      </c>
      <c r="BQ14" s="162">
        <v>224679.01999999984</v>
      </c>
      <c r="BR14" s="162">
        <v>0</v>
      </c>
      <c r="BS14" s="162">
        <f t="shared" si="10"/>
        <v>248088.50999999983</v>
      </c>
      <c r="BT14" s="162">
        <v>8719.3799999999992</v>
      </c>
      <c r="BU14" s="162">
        <v>0</v>
      </c>
      <c r="BV14" s="162">
        <v>0</v>
      </c>
      <c r="BW14" s="162">
        <f t="shared" si="11"/>
        <v>8719.3799999999992</v>
      </c>
      <c r="BX14" s="162">
        <v>0</v>
      </c>
      <c r="BY14" s="162">
        <v>7894.65</v>
      </c>
      <c r="BZ14" s="162">
        <v>0</v>
      </c>
      <c r="CA14" s="162">
        <v>1303</v>
      </c>
      <c r="CB14" s="162">
        <f t="shared" si="12"/>
        <v>9197.65</v>
      </c>
      <c r="CC14" s="162">
        <f t="shared" si="13"/>
        <v>-478.27000000000044</v>
      </c>
      <c r="CD14" s="162">
        <v>1142.9100000000001</v>
      </c>
      <c r="CE14" s="162">
        <f t="shared" si="14"/>
        <v>664.63999999999965</v>
      </c>
    </row>
    <row r="15" spans="1:85" ht="15">
      <c r="A15" s="310">
        <v>2060</v>
      </c>
      <c r="B15" s="303" t="s">
        <v>286</v>
      </c>
      <c r="C15" s="75" t="s">
        <v>264</v>
      </c>
      <c r="D15" s="162">
        <v>650958.62</v>
      </c>
      <c r="E15" s="162">
        <v>0</v>
      </c>
      <c r="F15" s="162">
        <v>40051.629999999997</v>
      </c>
      <c r="G15" s="162">
        <v>0</v>
      </c>
      <c r="H15" s="162">
        <v>44280</v>
      </c>
      <c r="I15" s="162">
        <v>0</v>
      </c>
      <c r="J15" s="162">
        <v>9728</v>
      </c>
      <c r="K15" s="162">
        <v>0</v>
      </c>
      <c r="L15" s="162">
        <v>6531.06</v>
      </c>
      <c r="M15" s="162">
        <v>0</v>
      </c>
      <c r="N15" s="162">
        <v>0</v>
      </c>
      <c r="O15" s="162">
        <v>616.20000000000005</v>
      </c>
      <c r="P15" s="162">
        <v>1932.11</v>
      </c>
      <c r="Q15" s="162">
        <v>232.44</v>
      </c>
      <c r="R15" s="162">
        <v>0</v>
      </c>
      <c r="S15" s="162">
        <v>0</v>
      </c>
      <c r="T15" s="162">
        <v>0</v>
      </c>
      <c r="U15" s="162">
        <v>-205.62</v>
      </c>
      <c r="V15" s="162">
        <v>31723</v>
      </c>
      <c r="W15" s="162">
        <f t="shared" si="2"/>
        <v>785847.44</v>
      </c>
      <c r="X15" s="162">
        <v>390404.28</v>
      </c>
      <c r="Y15" s="162">
        <v>0</v>
      </c>
      <c r="Z15" s="162">
        <v>173687.9</v>
      </c>
      <c r="AA15" s="162">
        <v>19299.59</v>
      </c>
      <c r="AB15" s="162">
        <v>56299.93</v>
      </c>
      <c r="AC15" s="162">
        <v>0</v>
      </c>
      <c r="AD15" s="162">
        <v>12111.16</v>
      </c>
      <c r="AE15" s="162">
        <v>4516.99</v>
      </c>
      <c r="AF15" s="162">
        <v>4038</v>
      </c>
      <c r="AG15" s="162">
        <v>2450</v>
      </c>
      <c r="AH15" s="162">
        <v>1091.25</v>
      </c>
      <c r="AI15" s="162">
        <v>8306.61</v>
      </c>
      <c r="AJ15" s="162">
        <v>3399</v>
      </c>
      <c r="AK15" s="162">
        <v>1779.33</v>
      </c>
      <c r="AL15" s="162">
        <v>1550.03</v>
      </c>
      <c r="AM15" s="162">
        <v>17698.61</v>
      </c>
      <c r="AN15" s="162">
        <v>13663.2</v>
      </c>
      <c r="AO15" s="162">
        <v>5235.33</v>
      </c>
      <c r="AP15" s="162">
        <v>22622.53</v>
      </c>
      <c r="AQ15" s="162">
        <v>18697.04</v>
      </c>
      <c r="AR15" s="162">
        <v>0</v>
      </c>
      <c r="AS15" s="162">
        <v>6337.33</v>
      </c>
      <c r="AT15" s="162">
        <v>2332.0700000000002</v>
      </c>
      <c r="AU15" s="162">
        <v>0</v>
      </c>
      <c r="AV15" s="162">
        <v>34243.9</v>
      </c>
      <c r="AW15" s="162">
        <v>0</v>
      </c>
      <c r="AX15" s="162">
        <v>18055.71</v>
      </c>
      <c r="AY15" s="162">
        <v>8354.17</v>
      </c>
      <c r="AZ15" s="162">
        <v>0</v>
      </c>
      <c r="BA15" s="162">
        <v>484.09</v>
      </c>
      <c r="BB15" s="162">
        <v>3225.64</v>
      </c>
      <c r="BC15" s="162">
        <f t="shared" si="3"/>
        <v>829883.69</v>
      </c>
      <c r="BD15" s="162">
        <f t="shared" si="4"/>
        <v>-44036.25</v>
      </c>
      <c r="BE15" s="162">
        <v>112335</v>
      </c>
      <c r="BF15" s="162">
        <f t="shared" si="5"/>
        <v>68298.75</v>
      </c>
      <c r="BG15" s="162">
        <v>0</v>
      </c>
      <c r="BH15" s="162">
        <v>0</v>
      </c>
      <c r="BI15" s="162">
        <f t="shared" si="6"/>
        <v>0</v>
      </c>
      <c r="BJ15" s="162">
        <v>0</v>
      </c>
      <c r="BK15" s="162">
        <v>0</v>
      </c>
      <c r="BL15" s="162">
        <f t="shared" si="7"/>
        <v>0</v>
      </c>
      <c r="BM15" s="162">
        <f t="shared" si="8"/>
        <v>0</v>
      </c>
      <c r="BN15" s="162">
        <v>0</v>
      </c>
      <c r="BO15" s="162">
        <f t="shared" si="9"/>
        <v>0</v>
      </c>
      <c r="BP15" s="162">
        <v>0</v>
      </c>
      <c r="BQ15" s="162">
        <v>68298.750000000233</v>
      </c>
      <c r="BR15" s="162">
        <v>0</v>
      </c>
      <c r="BS15" s="162">
        <f t="shared" si="10"/>
        <v>68298.750000000233</v>
      </c>
      <c r="BT15" s="162">
        <v>5113.75</v>
      </c>
      <c r="BU15" s="162">
        <v>19983.95</v>
      </c>
      <c r="BV15" s="162">
        <v>0</v>
      </c>
      <c r="BW15" s="162">
        <f t="shared" si="11"/>
        <v>25097.7</v>
      </c>
      <c r="BX15" s="162">
        <v>0</v>
      </c>
      <c r="BY15" s="162">
        <v>9127.34</v>
      </c>
      <c r="BZ15" s="162">
        <v>0</v>
      </c>
      <c r="CA15" s="162">
        <v>0.3</v>
      </c>
      <c r="CB15" s="162">
        <f t="shared" si="12"/>
        <v>9127.64</v>
      </c>
      <c r="CC15" s="162">
        <f t="shared" si="13"/>
        <v>15970.060000000001</v>
      </c>
      <c r="CD15" s="162">
        <v>21183.440000000002</v>
      </c>
      <c r="CE15" s="162">
        <f t="shared" si="14"/>
        <v>37153.5</v>
      </c>
    </row>
    <row r="16" spans="1:85" ht="15">
      <c r="A16" s="310">
        <v>2312</v>
      </c>
      <c r="B16" s="303" t="s">
        <v>288</v>
      </c>
      <c r="C16" s="75" t="s">
        <v>264</v>
      </c>
      <c r="D16" s="162">
        <v>1068481.1399999999</v>
      </c>
      <c r="E16" s="162">
        <v>0</v>
      </c>
      <c r="F16" s="162">
        <v>90867.3</v>
      </c>
      <c r="G16" s="162">
        <v>0</v>
      </c>
      <c r="H16" s="162">
        <v>45100</v>
      </c>
      <c r="I16" s="162">
        <v>856.93</v>
      </c>
      <c r="J16" s="162">
        <v>1460</v>
      </c>
      <c r="K16" s="162">
        <v>23519.84</v>
      </c>
      <c r="L16" s="162">
        <v>11925.37</v>
      </c>
      <c r="M16" s="162">
        <v>0</v>
      </c>
      <c r="N16" s="162">
        <v>0</v>
      </c>
      <c r="O16" s="162">
        <v>0</v>
      </c>
      <c r="P16" s="162">
        <v>18669.060000000001</v>
      </c>
      <c r="Q16" s="162">
        <v>1027.3</v>
      </c>
      <c r="R16" s="162">
        <v>0</v>
      </c>
      <c r="S16" s="162">
        <v>0</v>
      </c>
      <c r="T16" s="162">
        <v>0</v>
      </c>
      <c r="U16" s="162">
        <v>1838.75</v>
      </c>
      <c r="V16" s="162">
        <v>47747</v>
      </c>
      <c r="W16" s="162">
        <f t="shared" si="2"/>
        <v>1311492.6900000002</v>
      </c>
      <c r="X16" s="162">
        <v>507816.43</v>
      </c>
      <c r="Y16" s="162">
        <v>0</v>
      </c>
      <c r="Z16" s="162">
        <v>301913.07</v>
      </c>
      <c r="AA16" s="162">
        <v>0</v>
      </c>
      <c r="AB16" s="162">
        <v>72436.42</v>
      </c>
      <c r="AC16" s="162">
        <v>0</v>
      </c>
      <c r="AD16" s="162">
        <v>18446.62</v>
      </c>
      <c r="AE16" s="162">
        <v>192</v>
      </c>
      <c r="AF16" s="162">
        <v>5891.5</v>
      </c>
      <c r="AG16" s="162">
        <v>5600</v>
      </c>
      <c r="AH16" s="162">
        <v>0</v>
      </c>
      <c r="AI16" s="162">
        <v>7800.93</v>
      </c>
      <c r="AJ16" s="162">
        <v>3468</v>
      </c>
      <c r="AK16" s="162">
        <v>70716.13</v>
      </c>
      <c r="AL16" s="162">
        <v>1071.1099999999999</v>
      </c>
      <c r="AM16" s="162">
        <v>80517.789999999994</v>
      </c>
      <c r="AN16" s="162">
        <v>43407</v>
      </c>
      <c r="AO16" s="162">
        <v>7357.98</v>
      </c>
      <c r="AP16" s="162">
        <v>85661.66</v>
      </c>
      <c r="AQ16" s="162">
        <v>17544.93</v>
      </c>
      <c r="AR16" s="162">
        <v>0</v>
      </c>
      <c r="AS16" s="162">
        <v>11940.97</v>
      </c>
      <c r="AT16" s="162">
        <v>4709.1899999999996</v>
      </c>
      <c r="AU16" s="162">
        <v>183</v>
      </c>
      <c r="AV16" s="162">
        <v>39245.35</v>
      </c>
      <c r="AW16" s="162">
        <v>218.5</v>
      </c>
      <c r="AX16" s="162">
        <v>51238.54</v>
      </c>
      <c r="AY16" s="162">
        <v>15316.19</v>
      </c>
      <c r="AZ16" s="162">
        <v>0</v>
      </c>
      <c r="BA16" s="162">
        <v>0</v>
      </c>
      <c r="BB16" s="162">
        <v>0</v>
      </c>
      <c r="BC16" s="162">
        <f t="shared" si="3"/>
        <v>1352693.3099999998</v>
      </c>
      <c r="BD16" s="162">
        <f t="shared" si="4"/>
        <v>-41200.619999999646</v>
      </c>
      <c r="BE16" s="162">
        <v>84994.400000000009</v>
      </c>
      <c r="BF16" s="162">
        <f t="shared" si="5"/>
        <v>43793.780000000363</v>
      </c>
      <c r="BG16" s="162">
        <v>107055.2</v>
      </c>
      <c r="BH16" s="162">
        <v>86223.26</v>
      </c>
      <c r="BI16" s="162">
        <f t="shared" si="6"/>
        <v>193278.46</v>
      </c>
      <c r="BJ16" s="162">
        <v>118261.7</v>
      </c>
      <c r="BK16" s="162">
        <v>17443.580000000002</v>
      </c>
      <c r="BL16" s="162">
        <f t="shared" si="7"/>
        <v>135705.28</v>
      </c>
      <c r="BM16" s="162">
        <f t="shared" si="8"/>
        <v>57573.179999999993</v>
      </c>
      <c r="BN16" s="162">
        <v>11974.35</v>
      </c>
      <c r="BO16" s="162">
        <f t="shared" si="9"/>
        <v>69547.53</v>
      </c>
      <c r="BP16" s="162">
        <v>0</v>
      </c>
      <c r="BQ16" s="162">
        <v>37981.820000000582</v>
      </c>
      <c r="BR16" s="162">
        <v>75359.490000000005</v>
      </c>
      <c r="BS16" s="162">
        <f t="shared" si="10"/>
        <v>113341.31000000058</v>
      </c>
      <c r="BT16" s="162">
        <v>6299.5</v>
      </c>
      <c r="BU16" s="162">
        <v>0</v>
      </c>
      <c r="BV16" s="162">
        <v>0</v>
      </c>
      <c r="BW16" s="162">
        <f t="shared" si="11"/>
        <v>6299.5</v>
      </c>
      <c r="BX16" s="162">
        <v>0</v>
      </c>
      <c r="BY16" s="162">
        <v>0</v>
      </c>
      <c r="BZ16" s="162">
        <v>0</v>
      </c>
      <c r="CA16" s="162">
        <v>0</v>
      </c>
      <c r="CB16" s="162">
        <f t="shared" si="12"/>
        <v>0</v>
      </c>
      <c r="CC16" s="162">
        <f t="shared" si="13"/>
        <v>6299.5</v>
      </c>
      <c r="CD16" s="162">
        <v>26443.96</v>
      </c>
      <c r="CE16" s="162">
        <f t="shared" si="14"/>
        <v>32743.46</v>
      </c>
    </row>
    <row r="17" spans="1:83" ht="15">
      <c r="A17" s="310">
        <v>3942</v>
      </c>
      <c r="B17" s="303" t="s">
        <v>290</v>
      </c>
      <c r="C17" s="75" t="s">
        <v>264</v>
      </c>
      <c r="D17" s="162">
        <v>3015886.8</v>
      </c>
      <c r="E17" s="162">
        <v>0</v>
      </c>
      <c r="F17" s="162">
        <v>147387.4</v>
      </c>
      <c r="G17" s="162">
        <v>0</v>
      </c>
      <c r="H17" s="162">
        <v>237895</v>
      </c>
      <c r="I17" s="162">
        <v>4333.8599999999997</v>
      </c>
      <c r="J17" s="162">
        <v>0</v>
      </c>
      <c r="K17" s="162">
        <v>6372</v>
      </c>
      <c r="L17" s="162">
        <v>39048.75</v>
      </c>
      <c r="M17" s="162">
        <v>40266.550000000003</v>
      </c>
      <c r="N17" s="162">
        <v>13811.47</v>
      </c>
      <c r="O17" s="162">
        <v>621</v>
      </c>
      <c r="P17" s="162">
        <v>33586.300000000003</v>
      </c>
      <c r="Q17" s="162">
        <v>7111.2</v>
      </c>
      <c r="R17" s="162">
        <v>0</v>
      </c>
      <c r="S17" s="162">
        <v>0</v>
      </c>
      <c r="T17" s="162">
        <v>0</v>
      </c>
      <c r="U17" s="162">
        <v>8090.13</v>
      </c>
      <c r="V17" s="162">
        <v>118655</v>
      </c>
      <c r="W17" s="162">
        <f t="shared" si="2"/>
        <v>3673065.4599999995</v>
      </c>
      <c r="X17" s="162">
        <v>1668586.76</v>
      </c>
      <c r="Y17" s="162">
        <v>17801.48</v>
      </c>
      <c r="Z17" s="162">
        <v>648843.54</v>
      </c>
      <c r="AA17" s="162">
        <v>35471.769999999997</v>
      </c>
      <c r="AB17" s="162">
        <v>140589.17000000001</v>
      </c>
      <c r="AC17" s="162">
        <v>0</v>
      </c>
      <c r="AD17" s="162">
        <v>92779.19</v>
      </c>
      <c r="AE17" s="162">
        <v>11455.5</v>
      </c>
      <c r="AF17" s="162">
        <v>10952.87</v>
      </c>
      <c r="AG17" s="162">
        <v>15125</v>
      </c>
      <c r="AH17" s="162">
        <v>1418.32</v>
      </c>
      <c r="AI17" s="162">
        <v>67046.289999999994</v>
      </c>
      <c r="AJ17" s="162">
        <v>12435.55</v>
      </c>
      <c r="AK17" s="162">
        <v>65476.14</v>
      </c>
      <c r="AL17" s="162">
        <v>9446.0499999999993</v>
      </c>
      <c r="AM17" s="162">
        <v>73281.759999999995</v>
      </c>
      <c r="AN17" s="162">
        <v>66612</v>
      </c>
      <c r="AO17" s="162">
        <v>7089.13</v>
      </c>
      <c r="AP17" s="162">
        <v>125209.93</v>
      </c>
      <c r="AQ17" s="162">
        <v>54992.41</v>
      </c>
      <c r="AR17" s="162">
        <v>0</v>
      </c>
      <c r="AS17" s="162">
        <v>29779.53</v>
      </c>
      <c r="AT17" s="162">
        <v>12435.42</v>
      </c>
      <c r="AU17" s="162">
        <v>768.3</v>
      </c>
      <c r="AV17" s="162">
        <v>161760.5</v>
      </c>
      <c r="AW17" s="162">
        <v>135451.63</v>
      </c>
      <c r="AX17" s="162">
        <v>195572.57</v>
      </c>
      <c r="AY17" s="162">
        <v>30945.279999999999</v>
      </c>
      <c r="AZ17" s="162">
        <v>0</v>
      </c>
      <c r="BA17" s="162">
        <v>0</v>
      </c>
      <c r="BB17" s="162">
        <v>68918.240000000005</v>
      </c>
      <c r="BC17" s="162">
        <f t="shared" si="3"/>
        <v>3760244.3299999991</v>
      </c>
      <c r="BD17" s="162">
        <f t="shared" si="4"/>
        <v>-87178.869999999646</v>
      </c>
      <c r="BE17" s="162">
        <v>702770.5</v>
      </c>
      <c r="BF17" s="162">
        <f t="shared" si="5"/>
        <v>615591.63000000035</v>
      </c>
      <c r="BG17" s="162">
        <v>0</v>
      </c>
      <c r="BH17" s="162">
        <v>180509.32</v>
      </c>
      <c r="BI17" s="162">
        <f t="shared" si="6"/>
        <v>180509.32</v>
      </c>
      <c r="BJ17" s="162">
        <v>147239.18</v>
      </c>
      <c r="BK17" s="162">
        <v>21761.43</v>
      </c>
      <c r="BL17" s="162">
        <f t="shared" si="7"/>
        <v>169000.61</v>
      </c>
      <c r="BM17" s="162">
        <f t="shared" si="8"/>
        <v>11508.710000000021</v>
      </c>
      <c r="BN17" s="162">
        <v>95747.88</v>
      </c>
      <c r="BO17" s="162">
        <f t="shared" si="9"/>
        <v>107256.59000000003</v>
      </c>
      <c r="BP17" s="162">
        <v>387439</v>
      </c>
      <c r="BQ17" s="162">
        <v>212884.7000000003</v>
      </c>
      <c r="BR17" s="162">
        <v>122524.51999999999</v>
      </c>
      <c r="BS17" s="162">
        <f t="shared" si="10"/>
        <v>722848.22000000032</v>
      </c>
      <c r="BT17" s="162">
        <v>10750</v>
      </c>
      <c r="BU17" s="162">
        <v>10000</v>
      </c>
      <c r="BV17" s="162">
        <v>68918.240000000005</v>
      </c>
      <c r="BW17" s="162">
        <f t="shared" si="11"/>
        <v>89668.24</v>
      </c>
      <c r="BX17" s="162">
        <v>0</v>
      </c>
      <c r="BY17" s="162">
        <v>96306.240000000005</v>
      </c>
      <c r="BZ17" s="162">
        <v>10000</v>
      </c>
      <c r="CA17" s="162">
        <v>0</v>
      </c>
      <c r="CB17" s="162">
        <f t="shared" si="12"/>
        <v>106306.24000000001</v>
      </c>
      <c r="CC17" s="162">
        <f t="shared" si="13"/>
        <v>-16638</v>
      </c>
      <c r="CD17" s="162">
        <v>16638.330000000002</v>
      </c>
      <c r="CE17" s="162">
        <f t="shared" si="14"/>
        <v>0.33000000000174623</v>
      </c>
    </row>
    <row r="18" spans="1:83" ht="15">
      <c r="A18" s="310">
        <v>3081</v>
      </c>
      <c r="B18" s="303" t="s">
        <v>292</v>
      </c>
      <c r="C18" s="75" t="s">
        <v>264</v>
      </c>
      <c r="D18" s="162">
        <v>623262.91</v>
      </c>
      <c r="E18" s="162">
        <v>0</v>
      </c>
      <c r="F18" s="162">
        <v>33212.800000000003</v>
      </c>
      <c r="G18" s="162">
        <v>0</v>
      </c>
      <c r="H18" s="162">
        <v>27926</v>
      </c>
      <c r="I18" s="162">
        <v>1182</v>
      </c>
      <c r="J18" s="162">
        <v>10977.07</v>
      </c>
      <c r="K18" s="162">
        <v>318</v>
      </c>
      <c r="L18" s="162">
        <v>1929.75</v>
      </c>
      <c r="M18" s="162">
        <v>21828.15</v>
      </c>
      <c r="N18" s="162">
        <v>0</v>
      </c>
      <c r="O18" s="162">
        <v>0</v>
      </c>
      <c r="P18" s="162">
        <v>17711.7</v>
      </c>
      <c r="Q18" s="162">
        <v>5576.64</v>
      </c>
      <c r="R18" s="162">
        <v>0</v>
      </c>
      <c r="S18" s="162">
        <v>0</v>
      </c>
      <c r="T18" s="162">
        <v>0</v>
      </c>
      <c r="U18" s="162">
        <v>917.5</v>
      </c>
      <c r="V18" s="162">
        <v>33077</v>
      </c>
      <c r="W18" s="162">
        <f t="shared" si="2"/>
        <v>777919.52</v>
      </c>
      <c r="X18" s="162">
        <v>366693.02</v>
      </c>
      <c r="Y18" s="162">
        <v>3980.96</v>
      </c>
      <c r="Z18" s="162">
        <v>107005.57</v>
      </c>
      <c r="AA18" s="162">
        <v>22097.77</v>
      </c>
      <c r="AB18" s="162">
        <v>46825.88</v>
      </c>
      <c r="AC18" s="162">
        <v>32423.53</v>
      </c>
      <c r="AD18" s="162">
        <v>6820.28</v>
      </c>
      <c r="AE18" s="162">
        <v>5158</v>
      </c>
      <c r="AF18" s="162">
        <v>2763.92</v>
      </c>
      <c r="AG18" s="162">
        <v>1772</v>
      </c>
      <c r="AH18" s="162">
        <v>0</v>
      </c>
      <c r="AI18" s="162">
        <v>5452.41</v>
      </c>
      <c r="AJ18" s="162">
        <v>3180</v>
      </c>
      <c r="AK18" s="162">
        <v>1738.9</v>
      </c>
      <c r="AL18" s="162">
        <v>2328</v>
      </c>
      <c r="AM18" s="162">
        <v>17156.86</v>
      </c>
      <c r="AN18" s="162">
        <v>12100.75</v>
      </c>
      <c r="AO18" s="162">
        <v>2902.7</v>
      </c>
      <c r="AP18" s="162">
        <v>32939.480000000003</v>
      </c>
      <c r="AQ18" s="162">
        <v>15870.970000000001</v>
      </c>
      <c r="AR18" s="162">
        <v>0</v>
      </c>
      <c r="AS18" s="162">
        <v>4582.63</v>
      </c>
      <c r="AT18" s="162">
        <v>2269.21</v>
      </c>
      <c r="AU18" s="162">
        <v>1555.99</v>
      </c>
      <c r="AV18" s="162">
        <v>18613.37</v>
      </c>
      <c r="AW18" s="162">
        <v>0</v>
      </c>
      <c r="AX18" s="162">
        <v>4483.79</v>
      </c>
      <c r="AY18" s="162">
        <v>12279.38</v>
      </c>
      <c r="AZ18" s="162">
        <v>0</v>
      </c>
      <c r="BA18" s="162">
        <v>0</v>
      </c>
      <c r="BB18" s="162">
        <v>0</v>
      </c>
      <c r="BC18" s="162">
        <f t="shared" si="3"/>
        <v>732995.37000000011</v>
      </c>
      <c r="BD18" s="162">
        <f t="shared" si="4"/>
        <v>44924.149999999907</v>
      </c>
      <c r="BE18" s="162">
        <v>47578</v>
      </c>
      <c r="BF18" s="162">
        <f t="shared" si="5"/>
        <v>92502.149999999907</v>
      </c>
      <c r="BG18" s="162">
        <v>0</v>
      </c>
      <c r="BH18" s="162">
        <v>0</v>
      </c>
      <c r="BI18" s="162">
        <f t="shared" si="6"/>
        <v>0</v>
      </c>
      <c r="BJ18" s="162">
        <v>0</v>
      </c>
      <c r="BK18" s="162">
        <v>0</v>
      </c>
      <c r="BL18" s="162">
        <f t="shared" si="7"/>
        <v>0</v>
      </c>
      <c r="BM18" s="162">
        <f t="shared" si="8"/>
        <v>0</v>
      </c>
      <c r="BN18" s="162">
        <v>0</v>
      </c>
      <c r="BO18" s="162">
        <f t="shared" si="9"/>
        <v>0</v>
      </c>
      <c r="BP18" s="162">
        <v>13376.51</v>
      </c>
      <c r="BQ18" s="162">
        <v>79125.639999999912</v>
      </c>
      <c r="BR18" s="162">
        <v>0</v>
      </c>
      <c r="BS18" s="162">
        <f t="shared" si="10"/>
        <v>92502.149999999907</v>
      </c>
      <c r="BT18" s="162">
        <v>5192.5</v>
      </c>
      <c r="BU18" s="162">
        <v>0</v>
      </c>
      <c r="BV18" s="162">
        <v>0</v>
      </c>
      <c r="BW18" s="162">
        <f t="shared" si="11"/>
        <v>5192.5</v>
      </c>
      <c r="BX18" s="162">
        <v>0</v>
      </c>
      <c r="BY18" s="162">
        <v>11362.53</v>
      </c>
      <c r="BZ18" s="162">
        <v>0</v>
      </c>
      <c r="CA18" s="162">
        <v>0</v>
      </c>
      <c r="CB18" s="162">
        <f t="shared" si="12"/>
        <v>11362.53</v>
      </c>
      <c r="CC18" s="162">
        <f t="shared" si="13"/>
        <v>-6170.0300000000007</v>
      </c>
      <c r="CD18" s="162">
        <v>23040.560000000001</v>
      </c>
      <c r="CE18" s="162">
        <f t="shared" si="14"/>
        <v>16870.53</v>
      </c>
    </row>
    <row r="19" spans="1:83" ht="15">
      <c r="A19" s="310">
        <v>1005</v>
      </c>
      <c r="B19" s="303" t="s">
        <v>294</v>
      </c>
      <c r="C19" s="75" t="s">
        <v>295</v>
      </c>
      <c r="D19" s="162">
        <v>488196.34</v>
      </c>
      <c r="E19" s="162">
        <v>0</v>
      </c>
      <c r="F19" s="162">
        <v>37958.660000000003</v>
      </c>
      <c r="G19" s="162">
        <v>0</v>
      </c>
      <c r="H19" s="162">
        <v>234</v>
      </c>
      <c r="I19" s="162">
        <v>0</v>
      </c>
      <c r="J19" s="162">
        <v>0</v>
      </c>
      <c r="K19" s="162">
        <v>0</v>
      </c>
      <c r="L19" s="162">
        <v>3093.32</v>
      </c>
      <c r="M19" s="162">
        <v>0</v>
      </c>
      <c r="N19" s="162">
        <v>0</v>
      </c>
      <c r="O19" s="162">
        <v>0</v>
      </c>
      <c r="P19" s="162">
        <v>0</v>
      </c>
      <c r="Q19" s="162">
        <v>52017.07</v>
      </c>
      <c r="R19" s="162">
        <v>0</v>
      </c>
      <c r="S19" s="162">
        <v>0</v>
      </c>
      <c r="T19" s="162">
        <v>0</v>
      </c>
      <c r="U19" s="162">
        <v>0</v>
      </c>
      <c r="V19" s="162">
        <v>0</v>
      </c>
      <c r="W19" s="162">
        <f t="shared" si="2"/>
        <v>581499.3899999999</v>
      </c>
      <c r="X19" s="162">
        <v>159149.32999999999</v>
      </c>
      <c r="Y19" s="162">
        <v>0</v>
      </c>
      <c r="Z19" s="162">
        <v>211671.01</v>
      </c>
      <c r="AA19" s="162">
        <v>0</v>
      </c>
      <c r="AB19" s="162">
        <v>82210.080000000002</v>
      </c>
      <c r="AC19" s="162">
        <v>0</v>
      </c>
      <c r="AD19" s="162">
        <v>15035.91</v>
      </c>
      <c r="AE19" s="162">
        <v>2686</v>
      </c>
      <c r="AF19" s="162">
        <v>1219.33</v>
      </c>
      <c r="AG19" s="162">
        <v>1450</v>
      </c>
      <c r="AH19" s="162">
        <v>0</v>
      </c>
      <c r="AI19" s="162">
        <v>9571.2000000000007</v>
      </c>
      <c r="AJ19" s="162">
        <v>7696</v>
      </c>
      <c r="AK19" s="162">
        <v>18703.43</v>
      </c>
      <c r="AL19" s="162">
        <v>1723.2</v>
      </c>
      <c r="AM19" s="162">
        <v>10188.73</v>
      </c>
      <c r="AN19" s="162">
        <v>8982</v>
      </c>
      <c r="AO19" s="162">
        <v>4656.12</v>
      </c>
      <c r="AP19" s="162">
        <v>4423.17</v>
      </c>
      <c r="AQ19" s="162">
        <v>11725.4</v>
      </c>
      <c r="AR19" s="162">
        <v>0</v>
      </c>
      <c r="AS19" s="162">
        <v>4256.66</v>
      </c>
      <c r="AT19" s="162">
        <v>1311.92</v>
      </c>
      <c r="AU19" s="162">
        <v>0</v>
      </c>
      <c r="AV19" s="162">
        <v>1283.1600000000001</v>
      </c>
      <c r="AW19" s="162">
        <v>0</v>
      </c>
      <c r="AX19" s="162">
        <v>0</v>
      </c>
      <c r="AY19" s="162">
        <v>12889.42</v>
      </c>
      <c r="AZ19" s="162">
        <v>0</v>
      </c>
      <c r="BA19" s="162">
        <v>0</v>
      </c>
      <c r="BB19" s="162">
        <v>0</v>
      </c>
      <c r="BC19" s="162">
        <f t="shared" si="3"/>
        <v>570832.07000000018</v>
      </c>
      <c r="BD19" s="162">
        <f t="shared" si="4"/>
        <v>10667.319999999716</v>
      </c>
      <c r="BE19" s="162">
        <v>-78040.58</v>
      </c>
      <c r="BF19" s="162">
        <f t="shared" si="5"/>
        <v>-67373.260000000286</v>
      </c>
      <c r="BG19" s="162">
        <v>0</v>
      </c>
      <c r="BH19" s="162">
        <v>196788.23</v>
      </c>
      <c r="BI19" s="162">
        <f t="shared" si="6"/>
        <v>196788.23</v>
      </c>
      <c r="BJ19" s="162">
        <v>102273.87</v>
      </c>
      <c r="BK19" s="162">
        <v>23567.91</v>
      </c>
      <c r="BL19" s="162">
        <f t="shared" si="7"/>
        <v>125841.78</v>
      </c>
      <c r="BM19" s="162">
        <f t="shared" si="8"/>
        <v>70946.450000000012</v>
      </c>
      <c r="BN19" s="162">
        <v>234058.07</v>
      </c>
      <c r="BO19" s="162">
        <f t="shared" si="9"/>
        <v>305004.52</v>
      </c>
      <c r="BP19" s="162">
        <v>46012.86</v>
      </c>
      <c r="BQ19" s="162">
        <v>-113386.12000000029</v>
      </c>
      <c r="BR19" s="162">
        <v>305004.52</v>
      </c>
      <c r="BS19" s="162">
        <f t="shared" si="10"/>
        <v>237631.25999999972</v>
      </c>
      <c r="BT19" s="162">
        <v>4585.8999999999996</v>
      </c>
      <c r="BU19" s="162">
        <v>0</v>
      </c>
      <c r="BV19" s="162">
        <v>0</v>
      </c>
      <c r="BW19" s="162">
        <f t="shared" si="11"/>
        <v>4585.8999999999996</v>
      </c>
      <c r="BX19" s="162">
        <v>0</v>
      </c>
      <c r="BY19" s="162">
        <v>0</v>
      </c>
      <c r="BZ19" s="162">
        <v>0</v>
      </c>
      <c r="CA19" s="162">
        <v>0</v>
      </c>
      <c r="CB19" s="162">
        <f t="shared" si="12"/>
        <v>0</v>
      </c>
      <c r="CC19" s="162">
        <f t="shared" si="13"/>
        <v>4585.8999999999996</v>
      </c>
      <c r="CD19" s="162">
        <v>1015.6</v>
      </c>
      <c r="CE19" s="162">
        <f t="shared" si="14"/>
        <v>5601.5</v>
      </c>
    </row>
    <row r="20" spans="1:83" ht="15">
      <c r="A20" s="310">
        <v>2327</v>
      </c>
      <c r="B20" s="303" t="s">
        <v>297</v>
      </c>
      <c r="C20" s="75" t="s">
        <v>264</v>
      </c>
      <c r="D20" s="162">
        <v>1915635.3</v>
      </c>
      <c r="E20" s="162">
        <v>0</v>
      </c>
      <c r="F20" s="162">
        <v>33686.32</v>
      </c>
      <c r="G20" s="162">
        <v>0</v>
      </c>
      <c r="H20" s="162">
        <v>122345</v>
      </c>
      <c r="I20" s="162">
        <v>2951</v>
      </c>
      <c r="J20" s="162">
        <v>0</v>
      </c>
      <c r="K20" s="162">
        <v>6249.83</v>
      </c>
      <c r="L20" s="162">
        <v>3046.03</v>
      </c>
      <c r="M20" s="162">
        <v>35291.71</v>
      </c>
      <c r="N20" s="162">
        <v>2250</v>
      </c>
      <c r="O20" s="162">
        <v>0</v>
      </c>
      <c r="P20" s="162">
        <v>32069.200000000001</v>
      </c>
      <c r="Q20" s="162">
        <v>1403.46</v>
      </c>
      <c r="R20" s="162">
        <v>0</v>
      </c>
      <c r="S20" s="162">
        <v>0</v>
      </c>
      <c r="T20" s="162">
        <v>0</v>
      </c>
      <c r="U20" s="162">
        <v>225.63</v>
      </c>
      <c r="V20" s="162">
        <v>69722</v>
      </c>
      <c r="W20" s="162">
        <f t="shared" si="2"/>
        <v>2224875.4800000004</v>
      </c>
      <c r="X20" s="162">
        <v>1199623.6599999999</v>
      </c>
      <c r="Y20" s="162">
        <v>41781.230000000003</v>
      </c>
      <c r="Z20" s="162">
        <v>339106</v>
      </c>
      <c r="AA20" s="162">
        <v>30204.560000000001</v>
      </c>
      <c r="AB20" s="162">
        <v>131416.59</v>
      </c>
      <c r="AC20" s="162">
        <v>0</v>
      </c>
      <c r="AD20" s="162">
        <v>27398.3</v>
      </c>
      <c r="AE20" s="162">
        <v>6986.5</v>
      </c>
      <c r="AF20" s="162">
        <v>4794.1000000000004</v>
      </c>
      <c r="AG20" s="162">
        <v>0</v>
      </c>
      <c r="AH20" s="162">
        <v>12596.91</v>
      </c>
      <c r="AI20" s="162">
        <v>16937.23</v>
      </c>
      <c r="AJ20" s="162">
        <v>5951.25</v>
      </c>
      <c r="AK20" s="162">
        <v>47901.49</v>
      </c>
      <c r="AL20" s="162">
        <v>5161.59</v>
      </c>
      <c r="AM20" s="162">
        <v>104421.01</v>
      </c>
      <c r="AN20" s="162">
        <v>69342</v>
      </c>
      <c r="AO20" s="162">
        <v>15036.54</v>
      </c>
      <c r="AP20" s="162">
        <v>80993.100000000006</v>
      </c>
      <c r="AQ20" s="162">
        <v>48923.040000000001</v>
      </c>
      <c r="AR20" s="162">
        <v>0</v>
      </c>
      <c r="AS20" s="162">
        <v>7763.75</v>
      </c>
      <c r="AT20" s="162">
        <v>7924.19</v>
      </c>
      <c r="AU20" s="162">
        <v>2175.0700000000002</v>
      </c>
      <c r="AV20" s="162">
        <v>117426.17</v>
      </c>
      <c r="AW20" s="162">
        <v>36055.9</v>
      </c>
      <c r="AX20" s="162">
        <v>14414</v>
      </c>
      <c r="AY20" s="162">
        <v>20930.71</v>
      </c>
      <c r="AZ20" s="162">
        <v>0</v>
      </c>
      <c r="BA20" s="162">
        <v>0</v>
      </c>
      <c r="BB20" s="162">
        <v>0</v>
      </c>
      <c r="BC20" s="162">
        <f t="shared" si="3"/>
        <v>2395264.8899999997</v>
      </c>
      <c r="BD20" s="162">
        <f t="shared" si="4"/>
        <v>-170389.40999999922</v>
      </c>
      <c r="BE20" s="162">
        <v>361123.81</v>
      </c>
      <c r="BF20" s="162">
        <f t="shared" si="5"/>
        <v>190734.40000000078</v>
      </c>
      <c r="BG20" s="162">
        <v>0</v>
      </c>
      <c r="BH20" s="162">
        <v>0</v>
      </c>
      <c r="BI20" s="162">
        <f t="shared" si="6"/>
        <v>0</v>
      </c>
      <c r="BJ20" s="162">
        <v>0</v>
      </c>
      <c r="BK20" s="162">
        <v>0</v>
      </c>
      <c r="BL20" s="162">
        <f t="shared" si="7"/>
        <v>0</v>
      </c>
      <c r="BM20" s="162">
        <f t="shared" si="8"/>
        <v>0</v>
      </c>
      <c r="BN20" s="162">
        <v>0</v>
      </c>
      <c r="BO20" s="162">
        <f t="shared" si="9"/>
        <v>0</v>
      </c>
      <c r="BP20" s="162">
        <v>3084</v>
      </c>
      <c r="BQ20" s="162">
        <v>187650.40000000078</v>
      </c>
      <c r="BR20" s="162">
        <v>0</v>
      </c>
      <c r="BS20" s="162">
        <f t="shared" si="10"/>
        <v>190734.40000000078</v>
      </c>
      <c r="BT20" s="162">
        <v>8432.5</v>
      </c>
      <c r="BU20" s="162">
        <v>0</v>
      </c>
      <c r="BV20" s="162">
        <v>0</v>
      </c>
      <c r="BW20" s="162">
        <f t="shared" si="11"/>
        <v>8432.5</v>
      </c>
      <c r="BX20" s="162">
        <v>0</v>
      </c>
      <c r="BY20" s="162">
        <v>2793</v>
      </c>
      <c r="BZ20" s="162">
        <v>0</v>
      </c>
      <c r="CA20" s="162">
        <v>4680.8100000000004</v>
      </c>
      <c r="CB20" s="162">
        <f t="shared" si="12"/>
        <v>7473.81</v>
      </c>
      <c r="CC20" s="162">
        <f t="shared" si="13"/>
        <v>958.6899999999996</v>
      </c>
      <c r="CD20" s="162">
        <v>36351.22</v>
      </c>
      <c r="CE20" s="162">
        <f t="shared" si="14"/>
        <v>37309.910000000003</v>
      </c>
    </row>
    <row r="21" spans="1:83" ht="15">
      <c r="A21" s="310">
        <v>2452</v>
      </c>
      <c r="B21" s="303" t="s">
        <v>299</v>
      </c>
      <c r="C21" s="75" t="s">
        <v>264</v>
      </c>
      <c r="D21" s="162">
        <v>1980235.28</v>
      </c>
      <c r="E21" s="162">
        <v>0</v>
      </c>
      <c r="F21" s="162">
        <v>51999.81</v>
      </c>
      <c r="G21" s="162">
        <v>0</v>
      </c>
      <c r="H21" s="162">
        <v>151250</v>
      </c>
      <c r="I21" s="162">
        <v>2565</v>
      </c>
      <c r="J21" s="162">
        <v>0</v>
      </c>
      <c r="K21" s="162">
        <v>15753</v>
      </c>
      <c r="L21" s="162">
        <v>97021.440000000002</v>
      </c>
      <c r="M21" s="162">
        <v>36896.910000000003</v>
      </c>
      <c r="N21" s="162">
        <v>12795</v>
      </c>
      <c r="O21" s="162">
        <v>705</v>
      </c>
      <c r="P21" s="162">
        <v>43370.8</v>
      </c>
      <c r="Q21" s="162">
        <v>3334.99</v>
      </c>
      <c r="R21" s="162">
        <v>0</v>
      </c>
      <c r="S21" s="162">
        <v>0</v>
      </c>
      <c r="T21" s="162">
        <v>0</v>
      </c>
      <c r="U21" s="162">
        <v>3284.38</v>
      </c>
      <c r="V21" s="162">
        <v>81350</v>
      </c>
      <c r="W21" s="162">
        <f t="shared" si="2"/>
        <v>2480561.61</v>
      </c>
      <c r="X21" s="162">
        <v>1169703.01</v>
      </c>
      <c r="Y21" s="162">
        <v>11835.11</v>
      </c>
      <c r="Z21" s="162">
        <v>494389.07</v>
      </c>
      <c r="AA21" s="162">
        <v>72919.37</v>
      </c>
      <c r="AB21" s="162">
        <v>114097.93</v>
      </c>
      <c r="AC21" s="162">
        <v>52608.2</v>
      </c>
      <c r="AD21" s="162">
        <v>84748.64</v>
      </c>
      <c r="AE21" s="162">
        <v>19538.86</v>
      </c>
      <c r="AF21" s="162">
        <v>12734.27</v>
      </c>
      <c r="AG21" s="162">
        <v>9425</v>
      </c>
      <c r="AH21" s="162">
        <v>510</v>
      </c>
      <c r="AI21" s="162">
        <v>18303.57</v>
      </c>
      <c r="AJ21" s="162">
        <v>2888.16</v>
      </c>
      <c r="AK21" s="162">
        <v>3611.26</v>
      </c>
      <c r="AL21" s="162">
        <v>4608</v>
      </c>
      <c r="AM21" s="162">
        <v>35608.43</v>
      </c>
      <c r="AN21" s="162">
        <v>48048</v>
      </c>
      <c r="AO21" s="162">
        <v>15447.59</v>
      </c>
      <c r="AP21" s="162">
        <v>73115.460000000006</v>
      </c>
      <c r="AQ21" s="162">
        <v>24254.959999999999</v>
      </c>
      <c r="AR21" s="162">
        <v>0</v>
      </c>
      <c r="AS21" s="162">
        <v>24433.1</v>
      </c>
      <c r="AT21" s="162">
        <v>8442.49</v>
      </c>
      <c r="AU21" s="162">
        <v>8328.58</v>
      </c>
      <c r="AV21" s="162">
        <v>39793.300000000003</v>
      </c>
      <c r="AW21" s="162">
        <v>52978</v>
      </c>
      <c r="AX21" s="162">
        <v>45536.65</v>
      </c>
      <c r="AY21" s="162">
        <v>18305.09</v>
      </c>
      <c r="AZ21" s="162">
        <v>0</v>
      </c>
      <c r="BA21" s="162">
        <v>0</v>
      </c>
      <c r="BB21" s="162">
        <v>22780.65</v>
      </c>
      <c r="BC21" s="162">
        <f t="shared" si="3"/>
        <v>2488992.7499999995</v>
      </c>
      <c r="BD21" s="162">
        <f t="shared" si="4"/>
        <v>-8431.1399999996647</v>
      </c>
      <c r="BE21" s="162">
        <v>1911.41</v>
      </c>
      <c r="BF21" s="162">
        <f t="shared" si="5"/>
        <v>-6519.7299999996649</v>
      </c>
      <c r="BG21" s="162">
        <v>0</v>
      </c>
      <c r="BH21" s="162">
        <v>0</v>
      </c>
      <c r="BI21" s="162">
        <f t="shared" si="6"/>
        <v>0</v>
      </c>
      <c r="BJ21" s="162">
        <v>0</v>
      </c>
      <c r="BK21" s="162">
        <v>0</v>
      </c>
      <c r="BL21" s="162">
        <f t="shared" si="7"/>
        <v>0</v>
      </c>
      <c r="BM21" s="162">
        <f t="shared" si="8"/>
        <v>0</v>
      </c>
      <c r="BN21" s="162">
        <v>0</v>
      </c>
      <c r="BO21" s="162">
        <f t="shared" si="9"/>
        <v>0</v>
      </c>
      <c r="BP21" s="162">
        <v>32706.28</v>
      </c>
      <c r="BQ21" s="162">
        <v>-39226.010000000126</v>
      </c>
      <c r="BR21" s="162">
        <v>0</v>
      </c>
      <c r="BS21" s="162">
        <f t="shared" si="10"/>
        <v>-6519.7300000001269</v>
      </c>
      <c r="BT21" s="162">
        <v>8072.5</v>
      </c>
      <c r="BU21" s="162">
        <v>1597.7</v>
      </c>
      <c r="BV21" s="162">
        <v>17253.259999999998</v>
      </c>
      <c r="BW21" s="162">
        <f t="shared" si="11"/>
        <v>26923.46</v>
      </c>
      <c r="BX21" s="162">
        <v>0</v>
      </c>
      <c r="BY21" s="162">
        <v>11472.44</v>
      </c>
      <c r="BZ21" s="162">
        <v>14815</v>
      </c>
      <c r="CA21" s="162">
        <v>0</v>
      </c>
      <c r="CB21" s="162">
        <f t="shared" si="12"/>
        <v>26287.440000000002</v>
      </c>
      <c r="CC21" s="162">
        <f t="shared" si="13"/>
        <v>636.0199999999968</v>
      </c>
      <c r="CD21" s="162">
        <v>961.68</v>
      </c>
      <c r="CE21" s="162">
        <f t="shared" si="14"/>
        <v>1597.6999999999966</v>
      </c>
    </row>
    <row r="22" spans="1:83" ht="15">
      <c r="A22" s="310">
        <v>2004</v>
      </c>
      <c r="B22" s="303" t="s">
        <v>301</v>
      </c>
      <c r="C22" s="75" t="s">
        <v>264</v>
      </c>
      <c r="D22" s="162">
        <v>1052273.6299999999</v>
      </c>
      <c r="E22" s="162">
        <v>0</v>
      </c>
      <c r="F22" s="162">
        <v>14047.69</v>
      </c>
      <c r="G22" s="162">
        <v>0</v>
      </c>
      <c r="H22" s="162">
        <v>45490</v>
      </c>
      <c r="I22" s="162">
        <v>1763</v>
      </c>
      <c r="J22" s="162">
        <v>0</v>
      </c>
      <c r="K22" s="162">
        <v>0</v>
      </c>
      <c r="L22" s="162">
        <v>133031.42000000001</v>
      </c>
      <c r="M22" s="162">
        <v>30966.77</v>
      </c>
      <c r="N22" s="162">
        <v>0</v>
      </c>
      <c r="O22" s="162">
        <v>651</v>
      </c>
      <c r="P22" s="162">
        <v>18507.990000000002</v>
      </c>
      <c r="Q22" s="162">
        <v>8888.09</v>
      </c>
      <c r="R22" s="162">
        <v>0</v>
      </c>
      <c r="S22" s="162">
        <v>0</v>
      </c>
      <c r="T22" s="162">
        <v>0</v>
      </c>
      <c r="U22" s="162">
        <v>588</v>
      </c>
      <c r="V22" s="162">
        <v>49650.63</v>
      </c>
      <c r="W22" s="162">
        <f t="shared" si="2"/>
        <v>1355858.2199999997</v>
      </c>
      <c r="X22" s="162">
        <v>681237.97</v>
      </c>
      <c r="Y22" s="162">
        <v>4824.74</v>
      </c>
      <c r="Z22" s="162">
        <v>171281.89</v>
      </c>
      <c r="AA22" s="162">
        <v>29442.25</v>
      </c>
      <c r="AB22" s="162">
        <v>75230.720000000001</v>
      </c>
      <c r="AC22" s="162">
        <v>0</v>
      </c>
      <c r="AD22" s="162">
        <v>80258.42</v>
      </c>
      <c r="AE22" s="162">
        <v>6663.41</v>
      </c>
      <c r="AF22" s="162">
        <v>3381.8</v>
      </c>
      <c r="AG22" s="162">
        <v>5075</v>
      </c>
      <c r="AH22" s="162">
        <v>125</v>
      </c>
      <c r="AI22" s="162">
        <v>34742.97</v>
      </c>
      <c r="AJ22" s="162">
        <v>2520</v>
      </c>
      <c r="AK22" s="162">
        <v>12389.95</v>
      </c>
      <c r="AL22" s="162">
        <v>0</v>
      </c>
      <c r="AM22" s="162">
        <v>23891.06</v>
      </c>
      <c r="AN22" s="162">
        <v>23827.25</v>
      </c>
      <c r="AO22" s="162">
        <v>15.1</v>
      </c>
      <c r="AP22" s="162">
        <v>47834.19</v>
      </c>
      <c r="AQ22" s="162">
        <v>27880.97</v>
      </c>
      <c r="AR22" s="162">
        <v>0</v>
      </c>
      <c r="AS22" s="162">
        <v>5874.99</v>
      </c>
      <c r="AT22" s="162">
        <v>4204.07</v>
      </c>
      <c r="AU22" s="162">
        <v>9136.67</v>
      </c>
      <c r="AV22" s="162">
        <v>68357.600000000006</v>
      </c>
      <c r="AW22" s="162">
        <v>2669.15</v>
      </c>
      <c r="AX22" s="162">
        <v>14384</v>
      </c>
      <c r="AY22" s="162">
        <v>15904.59</v>
      </c>
      <c r="AZ22" s="162">
        <v>0</v>
      </c>
      <c r="BA22" s="162">
        <v>0</v>
      </c>
      <c r="BB22" s="162">
        <v>0</v>
      </c>
      <c r="BC22" s="162">
        <f t="shared" si="3"/>
        <v>1351153.76</v>
      </c>
      <c r="BD22" s="162">
        <f t="shared" si="4"/>
        <v>4704.4599999997299</v>
      </c>
      <c r="BE22" s="162">
        <v>29501.58</v>
      </c>
      <c r="BF22" s="162">
        <f t="shared" si="5"/>
        <v>34206.039999999732</v>
      </c>
      <c r="BG22" s="162">
        <v>0</v>
      </c>
      <c r="BH22" s="162">
        <v>0</v>
      </c>
      <c r="BI22" s="162">
        <f t="shared" si="6"/>
        <v>0</v>
      </c>
      <c r="BJ22" s="162">
        <v>0</v>
      </c>
      <c r="BK22" s="162">
        <v>0</v>
      </c>
      <c r="BL22" s="162">
        <f t="shared" si="7"/>
        <v>0</v>
      </c>
      <c r="BM22" s="162">
        <f t="shared" si="8"/>
        <v>0</v>
      </c>
      <c r="BN22" s="162">
        <v>0</v>
      </c>
      <c r="BO22" s="162">
        <f t="shared" si="9"/>
        <v>0</v>
      </c>
      <c r="BP22" s="162">
        <v>0</v>
      </c>
      <c r="BQ22" s="162">
        <v>34206.039999999964</v>
      </c>
      <c r="BR22" s="162">
        <v>0</v>
      </c>
      <c r="BS22" s="162">
        <f t="shared" si="10"/>
        <v>34206.039999999964</v>
      </c>
      <c r="BT22" s="162">
        <v>6272.5</v>
      </c>
      <c r="BU22" s="162">
        <v>0</v>
      </c>
      <c r="BV22" s="162">
        <v>0</v>
      </c>
      <c r="BW22" s="162">
        <f t="shared" si="11"/>
        <v>6272.5</v>
      </c>
      <c r="BX22" s="162">
        <v>0</v>
      </c>
      <c r="BY22" s="162">
        <v>4510</v>
      </c>
      <c r="BZ22" s="162">
        <v>0</v>
      </c>
      <c r="CA22" s="162">
        <v>2645.72</v>
      </c>
      <c r="CB22" s="162">
        <f t="shared" si="12"/>
        <v>7155.7199999999993</v>
      </c>
      <c r="CC22" s="162">
        <f t="shared" si="13"/>
        <v>-883.21999999999935</v>
      </c>
      <c r="CD22" s="162">
        <v>2873.07</v>
      </c>
      <c r="CE22" s="162">
        <f t="shared" si="14"/>
        <v>1989.8500000000008</v>
      </c>
    </row>
    <row r="23" spans="1:83" ht="15">
      <c r="A23" s="310">
        <v>3008</v>
      </c>
      <c r="B23" s="303" t="s">
        <v>303</v>
      </c>
      <c r="C23" s="75" t="s">
        <v>264</v>
      </c>
      <c r="D23" s="162">
        <v>779191.11</v>
      </c>
      <c r="E23" s="162">
        <v>0</v>
      </c>
      <c r="F23" s="162">
        <v>6714</v>
      </c>
      <c r="G23" s="162">
        <v>0</v>
      </c>
      <c r="H23" s="162">
        <v>35080</v>
      </c>
      <c r="I23" s="162">
        <v>10875</v>
      </c>
      <c r="J23" s="162">
        <v>0</v>
      </c>
      <c r="K23" s="162">
        <v>0</v>
      </c>
      <c r="L23" s="162">
        <v>6695.87</v>
      </c>
      <c r="M23" s="162">
        <v>11430.65</v>
      </c>
      <c r="N23" s="162">
        <v>0</v>
      </c>
      <c r="O23" s="162">
        <v>0</v>
      </c>
      <c r="P23" s="162">
        <v>7770.29</v>
      </c>
      <c r="Q23" s="162">
        <v>4500.13</v>
      </c>
      <c r="R23" s="162">
        <v>0</v>
      </c>
      <c r="S23" s="162">
        <v>0</v>
      </c>
      <c r="T23" s="162">
        <v>0</v>
      </c>
      <c r="U23" s="162">
        <v>206.88</v>
      </c>
      <c r="V23" s="162">
        <v>37155</v>
      </c>
      <c r="W23" s="162">
        <f t="shared" si="2"/>
        <v>899618.93</v>
      </c>
      <c r="X23" s="162">
        <v>480004.95</v>
      </c>
      <c r="Y23" s="162">
        <v>0</v>
      </c>
      <c r="Z23" s="162">
        <v>122565.48</v>
      </c>
      <c r="AA23" s="162">
        <v>28819.29</v>
      </c>
      <c r="AB23" s="162">
        <v>41709.440000000002</v>
      </c>
      <c r="AC23" s="162">
        <v>0</v>
      </c>
      <c r="AD23" s="162">
        <v>18159.900000000001</v>
      </c>
      <c r="AE23" s="162">
        <v>3279.2</v>
      </c>
      <c r="AF23" s="162">
        <v>515.76</v>
      </c>
      <c r="AG23" s="162">
        <v>1858.18</v>
      </c>
      <c r="AH23" s="162">
        <v>0</v>
      </c>
      <c r="AI23" s="162">
        <v>7100.13</v>
      </c>
      <c r="AJ23" s="162">
        <v>975</v>
      </c>
      <c r="AK23" s="162">
        <v>2062.94</v>
      </c>
      <c r="AL23" s="162">
        <v>1977.01</v>
      </c>
      <c r="AM23" s="162">
        <v>17242.689999999999</v>
      </c>
      <c r="AN23" s="162">
        <v>18587.75</v>
      </c>
      <c r="AO23" s="162">
        <v>5052.1000000000004</v>
      </c>
      <c r="AP23" s="162">
        <v>30335.65</v>
      </c>
      <c r="AQ23" s="162">
        <v>17033.22</v>
      </c>
      <c r="AR23" s="162">
        <v>0</v>
      </c>
      <c r="AS23" s="162">
        <v>9303.7999999999993</v>
      </c>
      <c r="AT23" s="162">
        <v>2982.67</v>
      </c>
      <c r="AU23" s="162">
        <v>0</v>
      </c>
      <c r="AV23" s="162">
        <v>45336.93</v>
      </c>
      <c r="AW23" s="162">
        <v>7989.16</v>
      </c>
      <c r="AX23" s="162">
        <v>0</v>
      </c>
      <c r="AY23" s="162">
        <v>11810.17</v>
      </c>
      <c r="AZ23" s="162">
        <v>0</v>
      </c>
      <c r="BA23" s="162">
        <v>0</v>
      </c>
      <c r="BB23" s="162">
        <v>0</v>
      </c>
      <c r="BC23" s="162">
        <f t="shared" si="3"/>
        <v>874701.42000000027</v>
      </c>
      <c r="BD23" s="162">
        <f t="shared" si="4"/>
        <v>24917.509999999776</v>
      </c>
      <c r="BE23" s="162">
        <v>-29425.91</v>
      </c>
      <c r="BF23" s="162">
        <f t="shared" si="5"/>
        <v>-4508.4000000002234</v>
      </c>
      <c r="BG23" s="162">
        <v>0</v>
      </c>
      <c r="BH23" s="162">
        <v>0</v>
      </c>
      <c r="BI23" s="162">
        <f t="shared" si="6"/>
        <v>0</v>
      </c>
      <c r="BJ23" s="162">
        <v>0</v>
      </c>
      <c r="BK23" s="162">
        <v>0</v>
      </c>
      <c r="BL23" s="162">
        <f t="shared" si="7"/>
        <v>0</v>
      </c>
      <c r="BM23" s="162">
        <f t="shared" si="8"/>
        <v>0</v>
      </c>
      <c r="BN23" s="162">
        <v>0</v>
      </c>
      <c r="BO23" s="162">
        <f t="shared" si="9"/>
        <v>0</v>
      </c>
      <c r="BP23" s="162">
        <v>9617.2199999999975</v>
      </c>
      <c r="BQ23" s="162">
        <v>-14125.620000000221</v>
      </c>
      <c r="BR23" s="162">
        <v>0</v>
      </c>
      <c r="BS23" s="162">
        <f t="shared" si="10"/>
        <v>-4508.4000000002234</v>
      </c>
      <c r="BT23" s="162">
        <v>5525.5</v>
      </c>
      <c r="BU23" s="162">
        <v>0</v>
      </c>
      <c r="BV23" s="162">
        <v>0</v>
      </c>
      <c r="BW23" s="162">
        <f t="shared" si="11"/>
        <v>5525.5</v>
      </c>
      <c r="BX23" s="162">
        <v>0</v>
      </c>
      <c r="BY23" s="162">
        <v>454</v>
      </c>
      <c r="BZ23" s="162">
        <v>0</v>
      </c>
      <c r="CA23" s="162">
        <v>724.5</v>
      </c>
      <c r="CB23" s="162">
        <f t="shared" si="12"/>
        <v>1178.5</v>
      </c>
      <c r="CC23" s="162">
        <f t="shared" si="13"/>
        <v>4347</v>
      </c>
      <c r="CD23" s="162">
        <v>11340.83</v>
      </c>
      <c r="CE23" s="162">
        <f t="shared" si="14"/>
        <v>15687.83</v>
      </c>
    </row>
    <row r="24" spans="1:83" ht="15">
      <c r="A24" s="310">
        <v>7026</v>
      </c>
      <c r="B24" s="303" t="s">
        <v>305</v>
      </c>
      <c r="C24" s="75" t="s">
        <v>306</v>
      </c>
      <c r="D24" s="162">
        <v>2890840.78</v>
      </c>
      <c r="E24" s="162">
        <v>462321.25</v>
      </c>
      <c r="F24" s="162">
        <v>2868854.45</v>
      </c>
      <c r="G24" s="162">
        <v>0</v>
      </c>
      <c r="H24" s="162">
        <v>105930</v>
      </c>
      <c r="I24" s="162">
        <v>6228.22</v>
      </c>
      <c r="J24" s="162">
        <v>0</v>
      </c>
      <c r="K24" s="162">
        <v>3420</v>
      </c>
      <c r="L24" s="162">
        <v>48276.81</v>
      </c>
      <c r="M24" s="162">
        <v>25348.93</v>
      </c>
      <c r="N24" s="162">
        <v>0</v>
      </c>
      <c r="O24" s="162">
        <v>34410.720000000001</v>
      </c>
      <c r="P24" s="162">
        <v>6240.86</v>
      </c>
      <c r="Q24" s="162">
        <v>20580.46</v>
      </c>
      <c r="R24" s="162">
        <v>0</v>
      </c>
      <c r="S24" s="162">
        <v>0</v>
      </c>
      <c r="T24" s="162">
        <v>0</v>
      </c>
      <c r="U24" s="162">
        <v>25855.69</v>
      </c>
      <c r="V24" s="162">
        <v>26235</v>
      </c>
      <c r="W24" s="162">
        <f t="shared" si="2"/>
        <v>6524543.1699999999</v>
      </c>
      <c r="X24" s="162">
        <v>2448753.42</v>
      </c>
      <c r="Y24" s="162">
        <v>32359.87</v>
      </c>
      <c r="Z24" s="162">
        <v>2105238.15</v>
      </c>
      <c r="AA24" s="162">
        <v>74102.210000000006</v>
      </c>
      <c r="AB24" s="162">
        <v>214312.84</v>
      </c>
      <c r="AC24" s="162">
        <v>0</v>
      </c>
      <c r="AD24" s="162">
        <v>100266.13</v>
      </c>
      <c r="AE24" s="162">
        <v>26133.71</v>
      </c>
      <c r="AF24" s="162">
        <v>19967.3</v>
      </c>
      <c r="AG24" s="162">
        <v>0</v>
      </c>
      <c r="AH24" s="162">
        <v>0</v>
      </c>
      <c r="AI24" s="162">
        <v>97754.75</v>
      </c>
      <c r="AJ24" s="162">
        <v>2815.39</v>
      </c>
      <c r="AK24" s="162">
        <v>100704.61</v>
      </c>
      <c r="AL24" s="162">
        <v>12073.6</v>
      </c>
      <c r="AM24" s="162">
        <v>100825.38</v>
      </c>
      <c r="AN24" s="162">
        <v>0</v>
      </c>
      <c r="AO24" s="162">
        <v>23848.33</v>
      </c>
      <c r="AP24" s="162">
        <v>103509.75999999999</v>
      </c>
      <c r="AQ24" s="162">
        <v>62656.099999999991</v>
      </c>
      <c r="AR24" s="162">
        <v>1913.44</v>
      </c>
      <c r="AS24" s="162">
        <v>19084.22</v>
      </c>
      <c r="AT24" s="162">
        <v>14463.27</v>
      </c>
      <c r="AU24" s="162">
        <v>49242.78</v>
      </c>
      <c r="AV24" s="162">
        <v>74413.679999999993</v>
      </c>
      <c r="AW24" s="162">
        <v>0</v>
      </c>
      <c r="AX24" s="162">
        <v>1407372.37</v>
      </c>
      <c r="AY24" s="162">
        <v>44181.5</v>
      </c>
      <c r="AZ24" s="162">
        <v>0</v>
      </c>
      <c r="BA24" s="162">
        <v>2930.76</v>
      </c>
      <c r="BB24" s="162">
        <v>69599.72</v>
      </c>
      <c r="BC24" s="162">
        <f t="shared" si="3"/>
        <v>7208523.2899999972</v>
      </c>
      <c r="BD24" s="162">
        <f t="shared" si="4"/>
        <v>-683980.11999999732</v>
      </c>
      <c r="BE24" s="162">
        <v>-237045.03</v>
      </c>
      <c r="BF24" s="162">
        <f t="shared" si="5"/>
        <v>-921025.14999999735</v>
      </c>
      <c r="BG24" s="162">
        <v>0</v>
      </c>
      <c r="BH24" s="162">
        <v>0</v>
      </c>
      <c r="BI24" s="162">
        <f t="shared" si="6"/>
        <v>0</v>
      </c>
      <c r="BJ24" s="162">
        <v>0</v>
      </c>
      <c r="BK24" s="162">
        <v>0</v>
      </c>
      <c r="BL24" s="162">
        <f t="shared" si="7"/>
        <v>0</v>
      </c>
      <c r="BM24" s="162">
        <f t="shared" si="8"/>
        <v>0</v>
      </c>
      <c r="BN24" s="162">
        <v>0</v>
      </c>
      <c r="BO24" s="162">
        <f t="shared" si="9"/>
        <v>0</v>
      </c>
      <c r="BP24" s="162">
        <v>1222.1500000000001</v>
      </c>
      <c r="BQ24" s="162">
        <v>-922247.29999999737</v>
      </c>
      <c r="BR24" s="162">
        <v>0</v>
      </c>
      <c r="BS24" s="162">
        <f t="shared" si="10"/>
        <v>-921025.14999999735</v>
      </c>
      <c r="BT24" s="162">
        <v>15086.88</v>
      </c>
      <c r="BU24" s="162">
        <v>0</v>
      </c>
      <c r="BV24" s="162">
        <v>61543.69</v>
      </c>
      <c r="BW24" s="162">
        <f t="shared" si="11"/>
        <v>76630.570000000007</v>
      </c>
      <c r="BX24" s="162">
        <v>0</v>
      </c>
      <c r="BY24" s="162">
        <v>110146.36</v>
      </c>
      <c r="BZ24" s="162">
        <v>0</v>
      </c>
      <c r="CA24" s="162">
        <v>0</v>
      </c>
      <c r="CB24" s="162">
        <f t="shared" si="12"/>
        <v>110146.36</v>
      </c>
      <c r="CC24" s="162">
        <f t="shared" si="13"/>
        <v>-33515.789999999994</v>
      </c>
      <c r="CD24" s="162">
        <v>33515.79</v>
      </c>
      <c r="CE24" s="162">
        <f t="shared" si="14"/>
        <v>0</v>
      </c>
    </row>
    <row r="25" spans="1:83" ht="15">
      <c r="A25" s="310">
        <v>3050</v>
      </c>
      <c r="B25" s="303" t="s">
        <v>308</v>
      </c>
      <c r="C25" s="75" t="s">
        <v>264</v>
      </c>
      <c r="D25" s="162">
        <v>1141384.73</v>
      </c>
      <c r="E25" s="162">
        <v>0</v>
      </c>
      <c r="F25" s="162">
        <v>74307.12</v>
      </c>
      <c r="G25" s="162">
        <v>0</v>
      </c>
      <c r="H25" s="162">
        <v>57330</v>
      </c>
      <c r="I25" s="162">
        <v>165</v>
      </c>
      <c r="J25" s="162">
        <v>0</v>
      </c>
      <c r="K25" s="162">
        <v>3885.5</v>
      </c>
      <c r="L25" s="162">
        <v>4772.33</v>
      </c>
      <c r="M25" s="162">
        <v>17513.849999999999</v>
      </c>
      <c r="N25" s="162">
        <v>6620</v>
      </c>
      <c r="O25" s="162">
        <v>0</v>
      </c>
      <c r="P25" s="162">
        <v>18380.05</v>
      </c>
      <c r="Q25" s="162">
        <v>9224.9</v>
      </c>
      <c r="R25" s="162">
        <v>0</v>
      </c>
      <c r="S25" s="162">
        <v>0</v>
      </c>
      <c r="T25" s="162">
        <v>0</v>
      </c>
      <c r="U25" s="162">
        <v>-0.62</v>
      </c>
      <c r="V25" s="162">
        <v>41486</v>
      </c>
      <c r="W25" s="162">
        <f t="shared" si="2"/>
        <v>1375068.86</v>
      </c>
      <c r="X25" s="162">
        <v>630625.52</v>
      </c>
      <c r="Y25" s="162">
        <v>5165.78</v>
      </c>
      <c r="Z25" s="162">
        <v>316641.51</v>
      </c>
      <c r="AA25" s="162">
        <v>36287.760000000002</v>
      </c>
      <c r="AB25" s="162">
        <v>93157.83</v>
      </c>
      <c r="AC25" s="162">
        <v>0</v>
      </c>
      <c r="AD25" s="162">
        <v>6135.7</v>
      </c>
      <c r="AE25" s="162">
        <v>5165.54</v>
      </c>
      <c r="AF25" s="162">
        <v>6667.33</v>
      </c>
      <c r="AG25" s="162">
        <v>4550</v>
      </c>
      <c r="AH25" s="162">
        <v>0</v>
      </c>
      <c r="AI25" s="162">
        <v>7120.22</v>
      </c>
      <c r="AJ25" s="162">
        <v>3357.59</v>
      </c>
      <c r="AK25" s="162">
        <v>2392.65</v>
      </c>
      <c r="AL25" s="162">
        <v>9889.6299999999992</v>
      </c>
      <c r="AM25" s="162">
        <v>29771.89</v>
      </c>
      <c r="AN25" s="162">
        <v>22954</v>
      </c>
      <c r="AO25" s="162">
        <v>19987.84</v>
      </c>
      <c r="AP25" s="162">
        <v>37377.9</v>
      </c>
      <c r="AQ25" s="162">
        <v>19992.650000000001</v>
      </c>
      <c r="AR25" s="162">
        <v>0</v>
      </c>
      <c r="AS25" s="162">
        <v>6121.86</v>
      </c>
      <c r="AT25" s="162">
        <v>3669.71</v>
      </c>
      <c r="AU25" s="162">
        <v>2934.03</v>
      </c>
      <c r="AV25" s="162">
        <v>69548.759999999995</v>
      </c>
      <c r="AW25" s="162">
        <v>4811.75</v>
      </c>
      <c r="AX25" s="162">
        <v>9221.75</v>
      </c>
      <c r="AY25" s="162">
        <v>16292.79</v>
      </c>
      <c r="AZ25" s="162">
        <v>0</v>
      </c>
      <c r="BA25" s="162">
        <v>0</v>
      </c>
      <c r="BB25" s="162">
        <v>1688.52</v>
      </c>
      <c r="BC25" s="162">
        <f t="shared" si="3"/>
        <v>1371530.51</v>
      </c>
      <c r="BD25" s="162">
        <f t="shared" si="4"/>
        <v>3538.3500000000931</v>
      </c>
      <c r="BE25" s="162">
        <v>-21445.09</v>
      </c>
      <c r="BF25" s="162">
        <f t="shared" si="5"/>
        <v>-17906.739999999907</v>
      </c>
      <c r="BG25" s="162">
        <v>0</v>
      </c>
      <c r="BH25" s="162">
        <v>0</v>
      </c>
      <c r="BI25" s="162">
        <f t="shared" si="6"/>
        <v>0</v>
      </c>
      <c r="BJ25" s="162">
        <v>0</v>
      </c>
      <c r="BK25" s="162">
        <v>0</v>
      </c>
      <c r="BL25" s="162">
        <f t="shared" si="7"/>
        <v>0</v>
      </c>
      <c r="BM25" s="162">
        <f t="shared" si="8"/>
        <v>0</v>
      </c>
      <c r="BN25" s="162">
        <v>0</v>
      </c>
      <c r="BO25" s="162">
        <f t="shared" si="9"/>
        <v>0</v>
      </c>
      <c r="BP25" s="162">
        <v>10511</v>
      </c>
      <c r="BQ25" s="162">
        <v>-28417.739999999907</v>
      </c>
      <c r="BR25" s="162">
        <v>0</v>
      </c>
      <c r="BS25" s="162">
        <f t="shared" si="10"/>
        <v>-17906.739999999907</v>
      </c>
      <c r="BT25" s="162">
        <v>6164.5</v>
      </c>
      <c r="BU25" s="162">
        <v>0</v>
      </c>
      <c r="BV25" s="162">
        <v>0</v>
      </c>
      <c r="BW25" s="162">
        <f t="shared" si="11"/>
        <v>6164.5</v>
      </c>
      <c r="BX25" s="162">
        <v>0</v>
      </c>
      <c r="BY25" s="162">
        <v>13134.46</v>
      </c>
      <c r="BZ25" s="162">
        <v>0</v>
      </c>
      <c r="CA25" s="162">
        <v>1088.0999999999999</v>
      </c>
      <c r="CB25" s="162">
        <f t="shared" si="12"/>
        <v>14222.56</v>
      </c>
      <c r="CC25" s="162">
        <f t="shared" si="13"/>
        <v>-8058.0599999999995</v>
      </c>
      <c r="CD25" s="162">
        <v>23486.9</v>
      </c>
      <c r="CE25" s="162">
        <f t="shared" si="14"/>
        <v>15428.840000000002</v>
      </c>
    </row>
    <row r="26" spans="1:83" ht="15">
      <c r="A26" s="310">
        <v>3009</v>
      </c>
      <c r="B26" s="303" t="s">
        <v>310</v>
      </c>
      <c r="C26" s="75" t="s">
        <v>264</v>
      </c>
      <c r="D26" s="162">
        <v>801687.47</v>
      </c>
      <c r="E26" s="162">
        <v>0</v>
      </c>
      <c r="F26" s="162">
        <v>20183.650000000001</v>
      </c>
      <c r="G26" s="162">
        <v>0</v>
      </c>
      <c r="H26" s="162">
        <v>37560</v>
      </c>
      <c r="I26" s="162">
        <v>1771.29</v>
      </c>
      <c r="J26" s="162">
        <v>0</v>
      </c>
      <c r="K26" s="162">
        <v>511.5</v>
      </c>
      <c r="L26" s="162">
        <v>39742.25</v>
      </c>
      <c r="M26" s="162">
        <v>11763.01</v>
      </c>
      <c r="N26" s="162">
        <v>0</v>
      </c>
      <c r="O26" s="162">
        <v>0</v>
      </c>
      <c r="P26" s="162">
        <v>2420</v>
      </c>
      <c r="Q26" s="162">
        <v>6794.15</v>
      </c>
      <c r="R26" s="162">
        <v>0</v>
      </c>
      <c r="S26" s="162">
        <v>0</v>
      </c>
      <c r="T26" s="162">
        <v>0</v>
      </c>
      <c r="U26" s="162">
        <v>161.25</v>
      </c>
      <c r="V26" s="162">
        <v>38762</v>
      </c>
      <c r="W26" s="162">
        <f t="shared" si="2"/>
        <v>961356.57000000007</v>
      </c>
      <c r="X26" s="162">
        <v>483799.43</v>
      </c>
      <c r="Y26" s="162">
        <v>4980.3900000000003</v>
      </c>
      <c r="Z26" s="162">
        <v>161184.22</v>
      </c>
      <c r="AA26" s="162">
        <v>0</v>
      </c>
      <c r="AB26" s="162">
        <v>38878.01</v>
      </c>
      <c r="AC26" s="162">
        <v>0</v>
      </c>
      <c r="AD26" s="162">
        <v>28533.919999999998</v>
      </c>
      <c r="AE26" s="162">
        <v>2862.62</v>
      </c>
      <c r="AF26" s="162">
        <v>1863.39</v>
      </c>
      <c r="AG26" s="162">
        <v>3675</v>
      </c>
      <c r="AH26" s="162">
        <v>540.38</v>
      </c>
      <c r="AI26" s="162">
        <v>6383.65</v>
      </c>
      <c r="AJ26" s="162">
        <v>2921</v>
      </c>
      <c r="AK26" s="162">
        <v>22078.2</v>
      </c>
      <c r="AL26" s="162">
        <v>2426.06</v>
      </c>
      <c r="AM26" s="162">
        <v>16256.77</v>
      </c>
      <c r="AN26" s="162">
        <v>16591.75</v>
      </c>
      <c r="AO26" s="162">
        <v>5149.68</v>
      </c>
      <c r="AP26" s="162">
        <v>46970.27</v>
      </c>
      <c r="AQ26" s="162">
        <v>26974.400000000001</v>
      </c>
      <c r="AR26" s="162">
        <v>0</v>
      </c>
      <c r="AS26" s="162">
        <v>8336.15</v>
      </c>
      <c r="AT26" s="162">
        <v>2934.65</v>
      </c>
      <c r="AU26" s="162">
        <v>415.19</v>
      </c>
      <c r="AV26" s="162">
        <v>43057.82</v>
      </c>
      <c r="AW26" s="162">
        <v>0</v>
      </c>
      <c r="AX26" s="162">
        <v>1684</v>
      </c>
      <c r="AY26" s="162">
        <v>13715.05</v>
      </c>
      <c r="AZ26" s="162">
        <v>0</v>
      </c>
      <c r="BA26" s="162">
        <v>0</v>
      </c>
      <c r="BB26" s="162">
        <v>0</v>
      </c>
      <c r="BC26" s="162">
        <f t="shared" si="3"/>
        <v>942212.00000000023</v>
      </c>
      <c r="BD26" s="162">
        <f t="shared" si="4"/>
        <v>19144.569999999832</v>
      </c>
      <c r="BE26" s="162">
        <v>93499.4</v>
      </c>
      <c r="BF26" s="162">
        <f t="shared" si="5"/>
        <v>112643.96999999983</v>
      </c>
      <c r="BG26" s="162">
        <v>0</v>
      </c>
      <c r="BH26" s="162">
        <v>0</v>
      </c>
      <c r="BI26" s="162">
        <f t="shared" si="6"/>
        <v>0</v>
      </c>
      <c r="BJ26" s="162">
        <v>0</v>
      </c>
      <c r="BK26" s="162">
        <v>0</v>
      </c>
      <c r="BL26" s="162">
        <f t="shared" si="7"/>
        <v>0</v>
      </c>
      <c r="BM26" s="162">
        <f t="shared" si="8"/>
        <v>0</v>
      </c>
      <c r="BN26" s="162">
        <v>0</v>
      </c>
      <c r="BO26" s="162">
        <f t="shared" si="9"/>
        <v>0</v>
      </c>
      <c r="BP26" s="162">
        <v>23259</v>
      </c>
      <c r="BQ26" s="162">
        <v>89384.969999999827</v>
      </c>
      <c r="BR26" s="162">
        <v>0</v>
      </c>
      <c r="BS26" s="162">
        <f t="shared" si="10"/>
        <v>112643.96999999983</v>
      </c>
      <c r="BT26" s="162">
        <v>5586.25</v>
      </c>
      <c r="BU26" s="162">
        <v>0</v>
      </c>
      <c r="BV26" s="162">
        <v>0</v>
      </c>
      <c r="BW26" s="162">
        <f t="shared" si="11"/>
        <v>5586.25</v>
      </c>
      <c r="BX26" s="162">
        <v>0</v>
      </c>
      <c r="BY26" s="162">
        <v>0</v>
      </c>
      <c r="BZ26" s="162">
        <v>3245</v>
      </c>
      <c r="CA26" s="162">
        <v>0</v>
      </c>
      <c r="CB26" s="162">
        <f t="shared" si="12"/>
        <v>3245</v>
      </c>
      <c r="CC26" s="162">
        <f t="shared" si="13"/>
        <v>2341.25</v>
      </c>
      <c r="CD26" s="162">
        <v>20979.01</v>
      </c>
      <c r="CE26" s="162">
        <f t="shared" si="14"/>
        <v>23320.26</v>
      </c>
    </row>
    <row r="27" spans="1:83" ht="15">
      <c r="A27" s="310">
        <v>2091</v>
      </c>
      <c r="B27" s="303" t="s">
        <v>312</v>
      </c>
      <c r="C27" s="75" t="s">
        <v>264</v>
      </c>
      <c r="D27" s="162">
        <v>1085831.1399999999</v>
      </c>
      <c r="E27" s="162">
        <v>0</v>
      </c>
      <c r="F27" s="162">
        <v>80361.009999999995</v>
      </c>
      <c r="G27" s="162">
        <v>0</v>
      </c>
      <c r="H27" s="162">
        <v>74225</v>
      </c>
      <c r="I27" s="162">
        <v>1200</v>
      </c>
      <c r="J27" s="162">
        <v>12695.82</v>
      </c>
      <c r="K27" s="162">
        <v>0</v>
      </c>
      <c r="L27" s="162">
        <v>4578.16</v>
      </c>
      <c r="M27" s="162">
        <v>78</v>
      </c>
      <c r="N27" s="162">
        <v>0</v>
      </c>
      <c r="O27" s="162">
        <v>1895.92</v>
      </c>
      <c r="P27" s="162">
        <v>5048.3</v>
      </c>
      <c r="Q27" s="162">
        <v>1901.35</v>
      </c>
      <c r="R27" s="162">
        <v>0</v>
      </c>
      <c r="S27" s="162">
        <v>0</v>
      </c>
      <c r="T27" s="162">
        <v>0</v>
      </c>
      <c r="U27" s="162">
        <v>2764.38</v>
      </c>
      <c r="V27" s="162">
        <v>72539</v>
      </c>
      <c r="W27" s="162">
        <f t="shared" si="2"/>
        <v>1343118.0799999998</v>
      </c>
      <c r="X27" s="162">
        <v>590689.48</v>
      </c>
      <c r="Y27" s="162">
        <v>0</v>
      </c>
      <c r="Z27" s="162">
        <v>272788.62</v>
      </c>
      <c r="AA27" s="162">
        <v>57787.519999999997</v>
      </c>
      <c r="AB27" s="162">
        <v>87656.35</v>
      </c>
      <c r="AC27" s="162">
        <v>0</v>
      </c>
      <c r="AD27" s="162">
        <v>14506.97</v>
      </c>
      <c r="AE27" s="162">
        <v>4954.68</v>
      </c>
      <c r="AF27" s="162">
        <v>8692.75</v>
      </c>
      <c r="AG27" s="162">
        <v>4475</v>
      </c>
      <c r="AH27" s="162">
        <v>1600</v>
      </c>
      <c r="AI27" s="162">
        <v>9220.01</v>
      </c>
      <c r="AJ27" s="162">
        <v>1806.11</v>
      </c>
      <c r="AK27" s="162">
        <v>4448.3500000000004</v>
      </c>
      <c r="AL27" s="162">
        <v>14700</v>
      </c>
      <c r="AM27" s="162">
        <v>28843.91</v>
      </c>
      <c r="AN27" s="162">
        <v>23078.75</v>
      </c>
      <c r="AO27" s="162">
        <v>15875.13</v>
      </c>
      <c r="AP27" s="162">
        <v>48185.3</v>
      </c>
      <c r="AQ27" s="162">
        <v>31826.989999999998</v>
      </c>
      <c r="AR27" s="162">
        <v>0</v>
      </c>
      <c r="AS27" s="162">
        <v>6686.62</v>
      </c>
      <c r="AT27" s="162">
        <v>3633.71</v>
      </c>
      <c r="AU27" s="162">
        <v>849.18</v>
      </c>
      <c r="AV27" s="162">
        <v>61420.66</v>
      </c>
      <c r="AW27" s="162">
        <v>45493</v>
      </c>
      <c r="AX27" s="162">
        <v>0</v>
      </c>
      <c r="AY27" s="162">
        <v>15211.45</v>
      </c>
      <c r="AZ27" s="162">
        <v>0</v>
      </c>
      <c r="BA27" s="162">
        <v>0</v>
      </c>
      <c r="BB27" s="162">
        <v>9777.7800000000007</v>
      </c>
      <c r="BC27" s="162">
        <f t="shared" si="3"/>
        <v>1364208.3199999998</v>
      </c>
      <c r="BD27" s="162">
        <f t="shared" si="4"/>
        <v>-21090.239999999991</v>
      </c>
      <c r="BE27" s="162">
        <v>261388.16</v>
      </c>
      <c r="BF27" s="162">
        <f t="shared" si="5"/>
        <v>240297.92</v>
      </c>
      <c r="BG27" s="162">
        <v>0</v>
      </c>
      <c r="BH27" s="162">
        <v>0</v>
      </c>
      <c r="BI27" s="162">
        <f t="shared" si="6"/>
        <v>0</v>
      </c>
      <c r="BJ27" s="162">
        <v>0</v>
      </c>
      <c r="BK27" s="162">
        <v>0</v>
      </c>
      <c r="BL27" s="162">
        <f t="shared" si="7"/>
        <v>0</v>
      </c>
      <c r="BM27" s="162">
        <f t="shared" si="8"/>
        <v>0</v>
      </c>
      <c r="BN27" s="162">
        <v>0</v>
      </c>
      <c r="BO27" s="162">
        <f t="shared" si="9"/>
        <v>0</v>
      </c>
      <c r="BP27" s="162">
        <v>132276.23000000001</v>
      </c>
      <c r="BQ27" s="162">
        <v>108021.69000000024</v>
      </c>
      <c r="BR27" s="162">
        <v>0</v>
      </c>
      <c r="BS27" s="162">
        <f t="shared" si="10"/>
        <v>240297.92000000025</v>
      </c>
      <c r="BT27" s="162">
        <v>6054.25</v>
      </c>
      <c r="BU27" s="162">
        <v>0</v>
      </c>
      <c r="BV27" s="162">
        <v>9777.7800000000007</v>
      </c>
      <c r="BW27" s="162">
        <f t="shared" si="11"/>
        <v>15832.03</v>
      </c>
      <c r="BX27" s="162">
        <v>0</v>
      </c>
      <c r="BY27" s="162">
        <v>25650</v>
      </c>
      <c r="BZ27" s="162">
        <v>0</v>
      </c>
      <c r="CA27" s="162">
        <v>0</v>
      </c>
      <c r="CB27" s="162">
        <f t="shared" si="12"/>
        <v>25650</v>
      </c>
      <c r="CC27" s="162">
        <f t="shared" si="13"/>
        <v>-9817.9699999999993</v>
      </c>
      <c r="CD27" s="162">
        <v>9817.9699999999993</v>
      </c>
      <c r="CE27" s="162">
        <f t="shared" si="14"/>
        <v>0</v>
      </c>
    </row>
    <row r="28" spans="1:83" ht="15">
      <c r="A28" s="310">
        <v>2065</v>
      </c>
      <c r="B28" s="303" t="s">
        <v>314</v>
      </c>
      <c r="C28" s="75" t="s">
        <v>264</v>
      </c>
      <c r="D28" s="162">
        <v>1014104.91</v>
      </c>
      <c r="E28" s="162">
        <v>0</v>
      </c>
      <c r="F28" s="162">
        <v>82945.36</v>
      </c>
      <c r="G28" s="162">
        <v>0</v>
      </c>
      <c r="H28" s="162">
        <v>80207</v>
      </c>
      <c r="I28" s="162">
        <v>0</v>
      </c>
      <c r="J28" s="162">
        <v>2131.4499999999998</v>
      </c>
      <c r="K28" s="162">
        <v>5297</v>
      </c>
      <c r="L28" s="162">
        <v>51153.919999999998</v>
      </c>
      <c r="M28" s="162">
        <v>12124.27</v>
      </c>
      <c r="N28" s="162">
        <v>3375</v>
      </c>
      <c r="O28" s="162">
        <v>0</v>
      </c>
      <c r="P28" s="162">
        <v>10140.24</v>
      </c>
      <c r="Q28" s="162">
        <v>709.45</v>
      </c>
      <c r="R28" s="162">
        <v>0</v>
      </c>
      <c r="S28" s="162">
        <v>0</v>
      </c>
      <c r="T28" s="162">
        <v>0</v>
      </c>
      <c r="U28" s="162">
        <v>-35</v>
      </c>
      <c r="V28" s="162">
        <v>45481</v>
      </c>
      <c r="W28" s="162">
        <f t="shared" si="2"/>
        <v>1307634.5999999999</v>
      </c>
      <c r="X28" s="162">
        <v>609408.22</v>
      </c>
      <c r="Y28" s="162">
        <v>0</v>
      </c>
      <c r="Z28" s="162">
        <v>288414.07</v>
      </c>
      <c r="AA28" s="162">
        <v>2634.25</v>
      </c>
      <c r="AB28" s="162">
        <v>75899.64</v>
      </c>
      <c r="AC28" s="162">
        <v>0</v>
      </c>
      <c r="AD28" s="162">
        <v>45407.35</v>
      </c>
      <c r="AE28" s="162">
        <v>5978.36</v>
      </c>
      <c r="AF28" s="162">
        <v>5605.35</v>
      </c>
      <c r="AG28" s="162">
        <v>0</v>
      </c>
      <c r="AH28" s="162">
        <v>0</v>
      </c>
      <c r="AI28" s="162">
        <v>17387.66</v>
      </c>
      <c r="AJ28" s="162">
        <v>3213.41</v>
      </c>
      <c r="AK28" s="162">
        <v>27005.62</v>
      </c>
      <c r="AL28" s="162">
        <v>3719.03</v>
      </c>
      <c r="AM28" s="162">
        <v>28573.24</v>
      </c>
      <c r="AN28" s="162">
        <v>21956</v>
      </c>
      <c r="AO28" s="162">
        <v>3451.06</v>
      </c>
      <c r="AP28" s="162">
        <v>42212.959999999999</v>
      </c>
      <c r="AQ28" s="162">
        <v>21027.269999999997</v>
      </c>
      <c r="AR28" s="162">
        <v>0</v>
      </c>
      <c r="AS28" s="162">
        <v>13806.22</v>
      </c>
      <c r="AT28" s="162">
        <v>4005.16</v>
      </c>
      <c r="AU28" s="162">
        <v>976.55</v>
      </c>
      <c r="AV28" s="162">
        <v>45122.44</v>
      </c>
      <c r="AW28" s="162">
        <v>24179.15</v>
      </c>
      <c r="AX28" s="162">
        <v>9715</v>
      </c>
      <c r="AY28" s="162">
        <v>11053.53</v>
      </c>
      <c r="AZ28" s="162">
        <v>0</v>
      </c>
      <c r="BA28" s="162">
        <v>1254.05</v>
      </c>
      <c r="BB28" s="162">
        <v>3635.5</v>
      </c>
      <c r="BC28" s="162">
        <f t="shared" si="3"/>
        <v>1315641.0899999999</v>
      </c>
      <c r="BD28" s="162">
        <f t="shared" si="4"/>
        <v>-8006.4899999999907</v>
      </c>
      <c r="BE28" s="162">
        <v>211045.33</v>
      </c>
      <c r="BF28" s="162">
        <f t="shared" si="5"/>
        <v>203038.84</v>
      </c>
      <c r="BG28" s="162">
        <v>100798.83</v>
      </c>
      <c r="BH28" s="162">
        <v>0</v>
      </c>
      <c r="BI28" s="162">
        <f t="shared" si="6"/>
        <v>100798.83</v>
      </c>
      <c r="BJ28" s="162">
        <v>73597.22</v>
      </c>
      <c r="BK28" s="162">
        <v>20357.82</v>
      </c>
      <c r="BL28" s="162">
        <f t="shared" si="7"/>
        <v>93955.040000000008</v>
      </c>
      <c r="BM28" s="162">
        <f t="shared" si="8"/>
        <v>6843.7899999999936</v>
      </c>
      <c r="BN28" s="162">
        <v>16745.5</v>
      </c>
      <c r="BO28" s="162">
        <f t="shared" si="9"/>
        <v>23589.289999999994</v>
      </c>
      <c r="BP28" s="162">
        <v>15298.46</v>
      </c>
      <c r="BQ28" s="162">
        <v>181383.75</v>
      </c>
      <c r="BR28" s="162">
        <v>29945.919999999995</v>
      </c>
      <c r="BS28" s="162">
        <f t="shared" si="10"/>
        <v>226628.12999999998</v>
      </c>
      <c r="BT28" s="162">
        <v>6261.25</v>
      </c>
      <c r="BU28" s="162">
        <v>0</v>
      </c>
      <c r="BV28" s="162">
        <v>0</v>
      </c>
      <c r="BW28" s="162">
        <f t="shared" si="11"/>
        <v>6261.25</v>
      </c>
      <c r="BX28" s="162">
        <v>0</v>
      </c>
      <c r="BY28" s="162">
        <v>6507.75</v>
      </c>
      <c r="BZ28" s="162">
        <v>0</v>
      </c>
      <c r="CA28" s="162">
        <v>3881.04</v>
      </c>
      <c r="CB28" s="162">
        <f t="shared" si="12"/>
        <v>10388.790000000001</v>
      </c>
      <c r="CC28" s="162">
        <f t="shared" si="13"/>
        <v>-4127.5400000000009</v>
      </c>
      <c r="CD28" s="162">
        <v>24431.64</v>
      </c>
      <c r="CE28" s="162">
        <f t="shared" si="14"/>
        <v>20304.099999999999</v>
      </c>
    </row>
    <row r="29" spans="1:83" ht="15">
      <c r="A29" s="310">
        <v>1006</v>
      </c>
      <c r="B29" s="303" t="s">
        <v>316</v>
      </c>
      <c r="C29" s="75" t="s">
        <v>295</v>
      </c>
      <c r="D29" s="162">
        <v>538357.99</v>
      </c>
      <c r="E29" s="162">
        <v>0</v>
      </c>
      <c r="F29" s="162">
        <v>6092.37</v>
      </c>
      <c r="G29" s="162">
        <v>0</v>
      </c>
      <c r="H29" s="162">
        <v>0</v>
      </c>
      <c r="I29" s="162">
        <v>0</v>
      </c>
      <c r="J29" s="162">
        <v>0</v>
      </c>
      <c r="K29" s="162">
        <v>0</v>
      </c>
      <c r="L29" s="162">
        <v>141.74</v>
      </c>
      <c r="M29" s="162">
        <v>0</v>
      </c>
      <c r="N29" s="162">
        <v>0</v>
      </c>
      <c r="O29" s="162">
        <v>0</v>
      </c>
      <c r="P29" s="162">
        <v>69940.11</v>
      </c>
      <c r="Q29" s="162">
        <v>3349.27</v>
      </c>
      <c r="R29" s="162">
        <v>0</v>
      </c>
      <c r="S29" s="162">
        <v>0</v>
      </c>
      <c r="T29" s="162">
        <v>0</v>
      </c>
      <c r="U29" s="162">
        <v>0</v>
      </c>
      <c r="V29" s="162">
        <v>0</v>
      </c>
      <c r="W29" s="162">
        <f t="shared" si="2"/>
        <v>617881.48</v>
      </c>
      <c r="X29" s="162">
        <v>192568.32000000001</v>
      </c>
      <c r="Y29" s="162">
        <v>0</v>
      </c>
      <c r="Z29" s="162">
        <v>303276.98</v>
      </c>
      <c r="AA29" s="162">
        <v>0</v>
      </c>
      <c r="AB29" s="162">
        <v>58269.27</v>
      </c>
      <c r="AC29" s="162">
        <v>0</v>
      </c>
      <c r="AD29" s="162">
        <v>24944.080000000002</v>
      </c>
      <c r="AE29" s="162">
        <v>2011</v>
      </c>
      <c r="AF29" s="162">
        <v>360.99</v>
      </c>
      <c r="AG29" s="162">
        <v>0</v>
      </c>
      <c r="AH29" s="162">
        <v>0</v>
      </c>
      <c r="AI29" s="162">
        <v>2938.04</v>
      </c>
      <c r="AJ29" s="162">
        <v>1145.73</v>
      </c>
      <c r="AK29" s="162">
        <v>14342.51</v>
      </c>
      <c r="AL29" s="162">
        <v>3614.95</v>
      </c>
      <c r="AM29" s="162">
        <v>6902.06</v>
      </c>
      <c r="AN29" s="162">
        <v>13847.25</v>
      </c>
      <c r="AO29" s="162">
        <v>1927.34</v>
      </c>
      <c r="AP29" s="162">
        <v>2225.52</v>
      </c>
      <c r="AQ29" s="162">
        <v>9664.25</v>
      </c>
      <c r="AR29" s="162">
        <v>0</v>
      </c>
      <c r="AS29" s="162">
        <v>3194.44</v>
      </c>
      <c r="AT29" s="162">
        <v>1671.89</v>
      </c>
      <c r="AU29" s="162">
        <v>0</v>
      </c>
      <c r="AV29" s="162">
        <v>14789.63</v>
      </c>
      <c r="AW29" s="162">
        <v>0</v>
      </c>
      <c r="AX29" s="162">
        <v>0</v>
      </c>
      <c r="AY29" s="162">
        <v>11172.9</v>
      </c>
      <c r="AZ29" s="162">
        <v>0</v>
      </c>
      <c r="BA29" s="162">
        <v>0</v>
      </c>
      <c r="BB29" s="162">
        <v>0</v>
      </c>
      <c r="BC29" s="162">
        <f t="shared" si="3"/>
        <v>668867.14999999991</v>
      </c>
      <c r="BD29" s="162">
        <f t="shared" si="4"/>
        <v>-50985.669999999925</v>
      </c>
      <c r="BE29" s="162">
        <v>-37415.96</v>
      </c>
      <c r="BF29" s="162">
        <f t="shared" si="5"/>
        <v>-88401.629999999917</v>
      </c>
      <c r="BG29" s="162">
        <v>0</v>
      </c>
      <c r="BH29" s="162">
        <v>25538.61</v>
      </c>
      <c r="BI29" s="162">
        <f t="shared" si="6"/>
        <v>25538.61</v>
      </c>
      <c r="BJ29" s="162">
        <v>2630.25</v>
      </c>
      <c r="BK29" s="162">
        <v>22908.36</v>
      </c>
      <c r="BL29" s="162">
        <f t="shared" si="7"/>
        <v>25538.61</v>
      </c>
      <c r="BM29" s="162">
        <f t="shared" si="8"/>
        <v>0</v>
      </c>
      <c r="BN29" s="162">
        <v>2579.34</v>
      </c>
      <c r="BO29" s="162">
        <f t="shared" si="9"/>
        <v>2579.34</v>
      </c>
      <c r="BP29" s="162">
        <v>0</v>
      </c>
      <c r="BQ29" s="162">
        <v>-88401.629999999917</v>
      </c>
      <c r="BR29" s="162">
        <v>2579.34</v>
      </c>
      <c r="BS29" s="162">
        <f t="shared" si="10"/>
        <v>-85822.289999999921</v>
      </c>
      <c r="BT29" s="162">
        <v>4738.45</v>
      </c>
      <c r="BU29" s="162">
        <v>0</v>
      </c>
      <c r="BV29" s="162">
        <v>0</v>
      </c>
      <c r="BW29" s="162">
        <f t="shared" si="11"/>
        <v>4738.45</v>
      </c>
      <c r="BX29" s="162">
        <v>0</v>
      </c>
      <c r="BY29" s="162">
        <v>10833.79</v>
      </c>
      <c r="BZ29" s="162">
        <v>0</v>
      </c>
      <c r="CA29" s="162">
        <v>0</v>
      </c>
      <c r="CB29" s="162">
        <f t="shared" si="12"/>
        <v>10833.79</v>
      </c>
      <c r="CC29" s="162">
        <f t="shared" si="13"/>
        <v>-6095.3400000000011</v>
      </c>
      <c r="CD29" s="162">
        <v>12757.37</v>
      </c>
      <c r="CE29" s="162">
        <f t="shared" si="14"/>
        <v>6662.03</v>
      </c>
    </row>
    <row r="30" spans="1:83" ht="15">
      <c r="A30" s="310">
        <v>2119</v>
      </c>
      <c r="B30" s="303" t="s">
        <v>318</v>
      </c>
      <c r="C30" s="75" t="s">
        <v>264</v>
      </c>
      <c r="D30" s="162">
        <v>1306657.48</v>
      </c>
      <c r="E30" s="162">
        <v>0</v>
      </c>
      <c r="F30" s="162">
        <v>135037</v>
      </c>
      <c r="G30" s="162">
        <v>0</v>
      </c>
      <c r="H30" s="162">
        <v>68080</v>
      </c>
      <c r="I30" s="162">
        <v>2400</v>
      </c>
      <c r="J30" s="162">
        <v>0</v>
      </c>
      <c r="K30" s="162">
        <v>3984.9</v>
      </c>
      <c r="L30" s="162">
        <v>913.36</v>
      </c>
      <c r="M30" s="162">
        <v>18732.16</v>
      </c>
      <c r="N30" s="162">
        <v>0</v>
      </c>
      <c r="O30" s="162">
        <v>0</v>
      </c>
      <c r="P30" s="162">
        <v>12528.74</v>
      </c>
      <c r="Q30" s="162">
        <v>3008.92</v>
      </c>
      <c r="R30" s="162">
        <v>0</v>
      </c>
      <c r="S30" s="162">
        <v>0</v>
      </c>
      <c r="T30" s="162">
        <v>0</v>
      </c>
      <c r="U30" s="162">
        <v>3420.31</v>
      </c>
      <c r="V30" s="162">
        <v>50882</v>
      </c>
      <c r="W30" s="162">
        <f t="shared" si="2"/>
        <v>1605644.8699999999</v>
      </c>
      <c r="X30" s="162">
        <v>838611.54</v>
      </c>
      <c r="Y30" s="162">
        <v>17233.84</v>
      </c>
      <c r="Z30" s="162">
        <v>345078.66</v>
      </c>
      <c r="AA30" s="162">
        <v>77512.289999999994</v>
      </c>
      <c r="AB30" s="162">
        <v>48915.05</v>
      </c>
      <c r="AC30" s="162">
        <v>0</v>
      </c>
      <c r="AD30" s="162">
        <v>12845.25</v>
      </c>
      <c r="AE30" s="162">
        <v>7719.55</v>
      </c>
      <c r="AF30" s="162">
        <v>4661.03</v>
      </c>
      <c r="AG30" s="162">
        <v>5450</v>
      </c>
      <c r="AH30" s="162">
        <v>500</v>
      </c>
      <c r="AI30" s="162">
        <v>9443.8799999999992</v>
      </c>
      <c r="AJ30" s="162">
        <v>4650</v>
      </c>
      <c r="AK30" s="162">
        <v>3587.97</v>
      </c>
      <c r="AL30" s="162">
        <v>2041.5</v>
      </c>
      <c r="AM30" s="162">
        <v>52535.06</v>
      </c>
      <c r="AN30" s="162">
        <v>37674</v>
      </c>
      <c r="AO30" s="162">
        <v>12607.17</v>
      </c>
      <c r="AP30" s="162">
        <v>51674.67</v>
      </c>
      <c r="AQ30" s="162">
        <v>27914.21</v>
      </c>
      <c r="AR30" s="162">
        <v>0</v>
      </c>
      <c r="AS30" s="162">
        <v>11329.18</v>
      </c>
      <c r="AT30" s="162">
        <v>5471.22</v>
      </c>
      <c r="AU30" s="162">
        <v>0</v>
      </c>
      <c r="AV30" s="162">
        <v>67420.39</v>
      </c>
      <c r="AW30" s="162">
        <v>0</v>
      </c>
      <c r="AX30" s="162">
        <v>8495</v>
      </c>
      <c r="AY30" s="162">
        <v>22105.99</v>
      </c>
      <c r="AZ30" s="162">
        <v>0</v>
      </c>
      <c r="BA30" s="162">
        <v>0</v>
      </c>
      <c r="BB30" s="162">
        <v>0</v>
      </c>
      <c r="BC30" s="162">
        <f t="shared" si="3"/>
        <v>1675477.4499999997</v>
      </c>
      <c r="BD30" s="162">
        <f t="shared" si="4"/>
        <v>-69832.579999999842</v>
      </c>
      <c r="BE30" s="162">
        <v>114831.29</v>
      </c>
      <c r="BF30" s="162">
        <f t="shared" si="5"/>
        <v>44998.710000000152</v>
      </c>
      <c r="BG30" s="162">
        <v>0</v>
      </c>
      <c r="BH30" s="162">
        <v>0</v>
      </c>
      <c r="BI30" s="162">
        <f t="shared" si="6"/>
        <v>0</v>
      </c>
      <c r="BJ30" s="162">
        <v>0</v>
      </c>
      <c r="BK30" s="162">
        <v>0</v>
      </c>
      <c r="BL30" s="162">
        <f t="shared" si="7"/>
        <v>0</v>
      </c>
      <c r="BM30" s="162">
        <f t="shared" si="8"/>
        <v>0</v>
      </c>
      <c r="BN30" s="162">
        <v>0</v>
      </c>
      <c r="BO30" s="162">
        <f t="shared" si="9"/>
        <v>0</v>
      </c>
      <c r="BP30" s="162">
        <v>0</v>
      </c>
      <c r="BQ30" s="162">
        <v>44998.710000000152</v>
      </c>
      <c r="BR30" s="162">
        <v>0</v>
      </c>
      <c r="BS30" s="162">
        <f t="shared" si="10"/>
        <v>44998.710000000152</v>
      </c>
      <c r="BT30" s="162">
        <v>6567.25</v>
      </c>
      <c r="BU30" s="162">
        <v>0</v>
      </c>
      <c r="BV30" s="162">
        <v>0</v>
      </c>
      <c r="BW30" s="162">
        <f t="shared" si="11"/>
        <v>6567.25</v>
      </c>
      <c r="BX30" s="162">
        <v>0</v>
      </c>
      <c r="BY30" s="162">
        <v>11084</v>
      </c>
      <c r="BZ30" s="162">
        <v>0</v>
      </c>
      <c r="CA30" s="162">
        <v>0</v>
      </c>
      <c r="CB30" s="162">
        <f t="shared" si="12"/>
        <v>11084</v>
      </c>
      <c r="CC30" s="162">
        <f t="shared" si="13"/>
        <v>-4516.75</v>
      </c>
      <c r="CD30" s="162">
        <v>8489.06</v>
      </c>
      <c r="CE30" s="162">
        <f t="shared" si="14"/>
        <v>3972.3099999999995</v>
      </c>
    </row>
    <row r="31" spans="1:83" ht="15">
      <c r="A31" s="310">
        <v>3011</v>
      </c>
      <c r="B31" s="303" t="s">
        <v>320</v>
      </c>
      <c r="C31" s="75" t="s">
        <v>264</v>
      </c>
      <c r="D31" s="162">
        <v>663155.93999999994</v>
      </c>
      <c r="E31" s="162">
        <v>0</v>
      </c>
      <c r="F31" s="162">
        <v>39225.25</v>
      </c>
      <c r="G31" s="162">
        <v>0</v>
      </c>
      <c r="H31" s="162">
        <v>22880</v>
      </c>
      <c r="I31" s="162">
        <v>1200</v>
      </c>
      <c r="J31" s="162">
        <v>0</v>
      </c>
      <c r="K31" s="162">
        <v>10128.790000000001</v>
      </c>
      <c r="L31" s="162">
        <v>3036</v>
      </c>
      <c r="M31" s="162">
        <v>13171.9</v>
      </c>
      <c r="N31" s="162">
        <v>0</v>
      </c>
      <c r="O31" s="162">
        <v>0</v>
      </c>
      <c r="P31" s="162">
        <v>8170</v>
      </c>
      <c r="Q31" s="162">
        <v>5671.2</v>
      </c>
      <c r="R31" s="162">
        <v>0</v>
      </c>
      <c r="S31" s="162">
        <v>0</v>
      </c>
      <c r="T31" s="162">
        <v>0</v>
      </c>
      <c r="U31" s="162">
        <v>-125.62</v>
      </c>
      <c r="V31" s="162">
        <v>32403</v>
      </c>
      <c r="W31" s="162">
        <f t="shared" si="2"/>
        <v>798916.46</v>
      </c>
      <c r="X31" s="162">
        <v>389111.94</v>
      </c>
      <c r="Y31" s="162">
        <v>2643.85</v>
      </c>
      <c r="Z31" s="162">
        <v>157856.6</v>
      </c>
      <c r="AA31" s="162">
        <v>0</v>
      </c>
      <c r="AB31" s="162">
        <v>44567.95</v>
      </c>
      <c r="AC31" s="162">
        <v>0</v>
      </c>
      <c r="AD31" s="162">
        <v>17152.37</v>
      </c>
      <c r="AE31" s="162">
        <v>2700.4</v>
      </c>
      <c r="AF31" s="162">
        <v>3419.88</v>
      </c>
      <c r="AG31" s="162">
        <v>2625</v>
      </c>
      <c r="AH31" s="162">
        <v>666.25</v>
      </c>
      <c r="AI31" s="162">
        <v>4421.08</v>
      </c>
      <c r="AJ31" s="162">
        <v>2520</v>
      </c>
      <c r="AK31" s="162">
        <v>18828.04</v>
      </c>
      <c r="AL31" s="162">
        <v>3099</v>
      </c>
      <c r="AM31" s="162">
        <v>19017.18</v>
      </c>
      <c r="AN31" s="162">
        <v>20209.5</v>
      </c>
      <c r="AO31" s="162">
        <v>3649.04</v>
      </c>
      <c r="AP31" s="162">
        <v>32552.52</v>
      </c>
      <c r="AQ31" s="162">
        <v>18068.900000000001</v>
      </c>
      <c r="AR31" s="162">
        <v>0</v>
      </c>
      <c r="AS31" s="162">
        <v>4550.24</v>
      </c>
      <c r="AT31" s="162">
        <v>2301.83</v>
      </c>
      <c r="AU31" s="162">
        <v>3540.2</v>
      </c>
      <c r="AV31" s="162">
        <v>39332.339999999997</v>
      </c>
      <c r="AW31" s="162">
        <v>0</v>
      </c>
      <c r="AX31" s="162">
        <v>2777.48</v>
      </c>
      <c r="AY31" s="162">
        <v>13452.27</v>
      </c>
      <c r="AZ31" s="162">
        <v>0</v>
      </c>
      <c r="BA31" s="162">
        <v>0</v>
      </c>
      <c r="BB31" s="162">
        <v>0</v>
      </c>
      <c r="BC31" s="162">
        <f t="shared" si="3"/>
        <v>809063.86</v>
      </c>
      <c r="BD31" s="162">
        <f t="shared" si="4"/>
        <v>-10147.400000000023</v>
      </c>
      <c r="BE31" s="162">
        <v>-16011.08</v>
      </c>
      <c r="BF31" s="162">
        <f t="shared" si="5"/>
        <v>-26158.480000000025</v>
      </c>
      <c r="BG31" s="162">
        <v>0</v>
      </c>
      <c r="BH31" s="162">
        <v>0</v>
      </c>
      <c r="BI31" s="162">
        <f t="shared" si="6"/>
        <v>0</v>
      </c>
      <c r="BJ31" s="162">
        <v>0</v>
      </c>
      <c r="BK31" s="162">
        <v>0</v>
      </c>
      <c r="BL31" s="162">
        <f t="shared" si="7"/>
        <v>0</v>
      </c>
      <c r="BM31" s="162">
        <f t="shared" si="8"/>
        <v>0</v>
      </c>
      <c r="BN31" s="162">
        <v>0</v>
      </c>
      <c r="BO31" s="162">
        <f t="shared" si="9"/>
        <v>0</v>
      </c>
      <c r="BP31" s="162">
        <v>0</v>
      </c>
      <c r="BQ31" s="162">
        <v>-26158.479999999909</v>
      </c>
      <c r="BR31" s="162">
        <v>0</v>
      </c>
      <c r="BS31" s="162">
        <f t="shared" si="10"/>
        <v>-26158.479999999909</v>
      </c>
      <c r="BT31" s="162">
        <v>5203.75</v>
      </c>
      <c r="BU31" s="162">
        <v>14360.71</v>
      </c>
      <c r="BV31" s="162">
        <v>0</v>
      </c>
      <c r="BW31" s="162">
        <f t="shared" si="11"/>
        <v>19564.46</v>
      </c>
      <c r="BX31" s="162">
        <v>0</v>
      </c>
      <c r="BY31" s="162">
        <v>4360.71</v>
      </c>
      <c r="BZ31" s="162">
        <v>0</v>
      </c>
      <c r="CA31" s="162">
        <v>1913.91</v>
      </c>
      <c r="CB31" s="162">
        <f t="shared" si="12"/>
        <v>6274.62</v>
      </c>
      <c r="CC31" s="162">
        <f t="shared" si="13"/>
        <v>13289.84</v>
      </c>
      <c r="CD31" s="162">
        <v>14475.81</v>
      </c>
      <c r="CE31" s="162">
        <f t="shared" si="14"/>
        <v>27765.65</v>
      </c>
    </row>
    <row r="32" spans="1:83" ht="15">
      <c r="A32" s="310">
        <v>2006</v>
      </c>
      <c r="B32" s="303" t="s">
        <v>322</v>
      </c>
      <c r="C32" s="75" t="s">
        <v>264</v>
      </c>
      <c r="D32" s="162">
        <v>2448944.4</v>
      </c>
      <c r="E32" s="162">
        <v>0</v>
      </c>
      <c r="F32" s="162">
        <v>158451.93</v>
      </c>
      <c r="G32" s="162">
        <v>0</v>
      </c>
      <c r="H32" s="162">
        <v>132060</v>
      </c>
      <c r="I32" s="162">
        <v>3863</v>
      </c>
      <c r="J32" s="162">
        <v>20887.3</v>
      </c>
      <c r="K32" s="162">
        <v>4568.75</v>
      </c>
      <c r="L32" s="162">
        <v>4225.17</v>
      </c>
      <c r="M32" s="162">
        <v>53237.58</v>
      </c>
      <c r="N32" s="162">
        <v>3991.8</v>
      </c>
      <c r="O32" s="162">
        <v>0</v>
      </c>
      <c r="P32" s="162">
        <v>38591.449999999997</v>
      </c>
      <c r="Q32" s="162">
        <v>53586.1</v>
      </c>
      <c r="R32" s="162">
        <v>0</v>
      </c>
      <c r="S32" s="162">
        <v>0</v>
      </c>
      <c r="T32" s="162">
        <v>0</v>
      </c>
      <c r="U32" s="162">
        <v>4766.75</v>
      </c>
      <c r="V32" s="162">
        <v>96490</v>
      </c>
      <c r="W32" s="162">
        <f t="shared" si="2"/>
        <v>3023664.23</v>
      </c>
      <c r="X32" s="162">
        <v>1513058.08</v>
      </c>
      <c r="Y32" s="162">
        <v>32299.27</v>
      </c>
      <c r="Z32" s="162">
        <v>556876.54</v>
      </c>
      <c r="AA32" s="162">
        <v>112761.72</v>
      </c>
      <c r="AB32" s="162">
        <v>233689.72</v>
      </c>
      <c r="AC32" s="162">
        <v>0</v>
      </c>
      <c r="AD32" s="162">
        <v>7456.1</v>
      </c>
      <c r="AE32" s="162">
        <v>12616.08</v>
      </c>
      <c r="AF32" s="162">
        <v>6286.1</v>
      </c>
      <c r="AG32" s="162">
        <v>12175</v>
      </c>
      <c r="AH32" s="162">
        <v>0</v>
      </c>
      <c r="AI32" s="162">
        <v>21251.75</v>
      </c>
      <c r="AJ32" s="162">
        <v>5926.52</v>
      </c>
      <c r="AK32" s="162">
        <v>8903.7000000000007</v>
      </c>
      <c r="AL32" s="162">
        <v>5627.13</v>
      </c>
      <c r="AM32" s="162">
        <v>54128.46</v>
      </c>
      <c r="AN32" s="162">
        <v>76440</v>
      </c>
      <c r="AO32" s="162">
        <v>5020.04</v>
      </c>
      <c r="AP32" s="162">
        <v>125791.14</v>
      </c>
      <c r="AQ32" s="162">
        <v>39473.699999999997</v>
      </c>
      <c r="AR32" s="162">
        <v>0</v>
      </c>
      <c r="AS32" s="162">
        <v>7776.9</v>
      </c>
      <c r="AT32" s="162">
        <v>9732.9599999999991</v>
      </c>
      <c r="AU32" s="162">
        <v>793.55</v>
      </c>
      <c r="AV32" s="162">
        <v>140682.21</v>
      </c>
      <c r="AW32" s="162">
        <v>8943.31</v>
      </c>
      <c r="AX32" s="162">
        <v>8819.0400000000009</v>
      </c>
      <c r="AY32" s="162">
        <v>15778.36</v>
      </c>
      <c r="AZ32" s="162">
        <v>0</v>
      </c>
      <c r="BA32" s="162">
        <v>0</v>
      </c>
      <c r="BB32" s="162">
        <v>0</v>
      </c>
      <c r="BC32" s="162">
        <f t="shared" si="3"/>
        <v>3022307.3800000008</v>
      </c>
      <c r="BD32" s="162">
        <f t="shared" si="4"/>
        <v>1356.8499999991618</v>
      </c>
      <c r="BE32" s="162">
        <v>139266.31</v>
      </c>
      <c r="BF32" s="162">
        <f t="shared" si="5"/>
        <v>140623.15999999916</v>
      </c>
      <c r="BG32" s="162">
        <v>0</v>
      </c>
      <c r="BH32" s="162">
        <v>0</v>
      </c>
      <c r="BI32" s="162">
        <f t="shared" si="6"/>
        <v>0</v>
      </c>
      <c r="BJ32" s="162">
        <v>0</v>
      </c>
      <c r="BK32" s="162">
        <v>0</v>
      </c>
      <c r="BL32" s="162">
        <f t="shared" si="7"/>
        <v>0</v>
      </c>
      <c r="BM32" s="162">
        <f t="shared" si="8"/>
        <v>0</v>
      </c>
      <c r="BN32" s="162">
        <v>0</v>
      </c>
      <c r="BO32" s="162">
        <f t="shared" si="9"/>
        <v>0</v>
      </c>
      <c r="BP32" s="162">
        <v>6554</v>
      </c>
      <c r="BQ32" s="162">
        <v>134069.15999999963</v>
      </c>
      <c r="BR32" s="162">
        <v>0</v>
      </c>
      <c r="BS32" s="162">
        <f t="shared" si="10"/>
        <v>140623.15999999963</v>
      </c>
      <c r="BT32" s="162">
        <v>9388.75</v>
      </c>
      <c r="BU32" s="162">
        <v>0</v>
      </c>
      <c r="BV32" s="162">
        <v>0</v>
      </c>
      <c r="BW32" s="162">
        <f t="shared" si="11"/>
        <v>9388.75</v>
      </c>
      <c r="BX32" s="162">
        <v>0</v>
      </c>
      <c r="BY32" s="162">
        <v>9815.0499999999993</v>
      </c>
      <c r="BZ32" s="162">
        <v>0</v>
      </c>
      <c r="CA32" s="162">
        <v>7161.18</v>
      </c>
      <c r="CB32" s="162">
        <f t="shared" si="12"/>
        <v>16976.23</v>
      </c>
      <c r="CC32" s="162">
        <f t="shared" si="13"/>
        <v>-7587.48</v>
      </c>
      <c r="CD32" s="162">
        <v>37553.94</v>
      </c>
      <c r="CE32" s="162">
        <f t="shared" si="14"/>
        <v>29966.460000000003</v>
      </c>
    </row>
    <row r="33" spans="1:83" ht="15">
      <c r="A33" s="310">
        <v>3012</v>
      </c>
      <c r="B33" s="303" t="s">
        <v>324</v>
      </c>
      <c r="C33" s="75" t="s">
        <v>264</v>
      </c>
      <c r="D33" s="162">
        <v>529512.93999999994</v>
      </c>
      <c r="E33" s="162">
        <v>0</v>
      </c>
      <c r="F33" s="162">
        <v>0</v>
      </c>
      <c r="G33" s="162">
        <v>0</v>
      </c>
      <c r="H33" s="162">
        <v>22200</v>
      </c>
      <c r="I33" s="162">
        <v>83</v>
      </c>
      <c r="J33" s="162">
        <v>0</v>
      </c>
      <c r="K33" s="162">
        <v>5801.2</v>
      </c>
      <c r="L33" s="162">
        <v>3103.15</v>
      </c>
      <c r="M33" s="162">
        <v>13918.8</v>
      </c>
      <c r="N33" s="162">
        <v>774.4</v>
      </c>
      <c r="O33" s="162">
        <v>0</v>
      </c>
      <c r="P33" s="162">
        <v>20189.18</v>
      </c>
      <c r="Q33" s="162">
        <v>17835.02</v>
      </c>
      <c r="R33" s="162">
        <v>0</v>
      </c>
      <c r="S33" s="162">
        <v>0</v>
      </c>
      <c r="T33" s="162">
        <v>0</v>
      </c>
      <c r="U33" s="162">
        <v>796.88</v>
      </c>
      <c r="V33" s="162">
        <v>25055</v>
      </c>
      <c r="W33" s="162">
        <f t="shared" si="2"/>
        <v>639269.57000000007</v>
      </c>
      <c r="X33" s="162">
        <v>320804.53000000003</v>
      </c>
      <c r="Y33" s="162">
        <v>13399</v>
      </c>
      <c r="Z33" s="162">
        <v>75209.75</v>
      </c>
      <c r="AA33" s="162">
        <v>0</v>
      </c>
      <c r="AB33" s="162">
        <v>44925.45</v>
      </c>
      <c r="AC33" s="162">
        <v>22328.11</v>
      </c>
      <c r="AD33" s="162">
        <v>10048.92</v>
      </c>
      <c r="AE33" s="162">
        <v>1859</v>
      </c>
      <c r="AF33" s="162">
        <v>5065.75</v>
      </c>
      <c r="AG33" s="162">
        <v>1725</v>
      </c>
      <c r="AH33" s="162">
        <v>0</v>
      </c>
      <c r="AI33" s="162">
        <v>8354.19</v>
      </c>
      <c r="AJ33" s="162">
        <v>1800</v>
      </c>
      <c r="AK33" s="162">
        <v>9927.2800000000007</v>
      </c>
      <c r="AL33" s="162">
        <v>1232.98</v>
      </c>
      <c r="AM33" s="162">
        <v>14081.28</v>
      </c>
      <c r="AN33" s="162">
        <v>11227.5</v>
      </c>
      <c r="AO33" s="162">
        <v>3134.29</v>
      </c>
      <c r="AP33" s="162">
        <v>37588.83</v>
      </c>
      <c r="AQ33" s="162">
        <v>15999.71</v>
      </c>
      <c r="AR33" s="162">
        <v>0</v>
      </c>
      <c r="AS33" s="162">
        <v>3428.16</v>
      </c>
      <c r="AT33" s="162">
        <v>1662.44</v>
      </c>
      <c r="AU33" s="162">
        <v>0</v>
      </c>
      <c r="AV33" s="162">
        <v>13876.85</v>
      </c>
      <c r="AW33" s="162">
        <v>1579</v>
      </c>
      <c r="AX33" s="162">
        <v>1430</v>
      </c>
      <c r="AY33" s="162">
        <v>7639.16</v>
      </c>
      <c r="AZ33" s="162">
        <v>0</v>
      </c>
      <c r="BA33" s="162">
        <v>0</v>
      </c>
      <c r="BB33" s="162">
        <v>0</v>
      </c>
      <c r="BC33" s="162">
        <f t="shared" si="3"/>
        <v>628327.17999999993</v>
      </c>
      <c r="BD33" s="162">
        <f t="shared" si="4"/>
        <v>10942.39000000013</v>
      </c>
      <c r="BE33" s="162">
        <v>41789.199999999997</v>
      </c>
      <c r="BF33" s="162">
        <f t="shared" si="5"/>
        <v>52731.590000000127</v>
      </c>
      <c r="BG33" s="162">
        <v>0</v>
      </c>
      <c r="BH33" s="162">
        <v>0</v>
      </c>
      <c r="BI33" s="162">
        <f t="shared" si="6"/>
        <v>0</v>
      </c>
      <c r="BJ33" s="162">
        <v>0</v>
      </c>
      <c r="BK33" s="162">
        <v>0</v>
      </c>
      <c r="BL33" s="162">
        <f t="shared" si="7"/>
        <v>0</v>
      </c>
      <c r="BM33" s="162">
        <f t="shared" si="8"/>
        <v>0</v>
      </c>
      <c r="BN33" s="162">
        <v>0</v>
      </c>
      <c r="BO33" s="162">
        <f t="shared" si="9"/>
        <v>0</v>
      </c>
      <c r="BP33" s="162">
        <v>6565.47</v>
      </c>
      <c r="BQ33" s="162">
        <v>46166.120000000126</v>
      </c>
      <c r="BR33" s="162">
        <v>0</v>
      </c>
      <c r="BS33" s="162">
        <f t="shared" si="10"/>
        <v>52731.590000000127</v>
      </c>
      <c r="BT33" s="162">
        <v>153347.25</v>
      </c>
      <c r="BU33" s="162">
        <v>48368.44</v>
      </c>
      <c r="BV33" s="162">
        <v>0</v>
      </c>
      <c r="BW33" s="162">
        <f t="shared" si="11"/>
        <v>201715.69</v>
      </c>
      <c r="BX33" s="162">
        <v>0</v>
      </c>
      <c r="BY33" s="162">
        <v>45670.95</v>
      </c>
      <c r="BZ33" s="162">
        <v>0</v>
      </c>
      <c r="CA33" s="162">
        <v>3549.49</v>
      </c>
      <c r="CB33" s="162">
        <f t="shared" si="12"/>
        <v>49220.439999999995</v>
      </c>
      <c r="CC33" s="162">
        <f t="shared" si="13"/>
        <v>152495.25</v>
      </c>
      <c r="CD33" s="162">
        <v>18018.2</v>
      </c>
      <c r="CE33" s="162">
        <f t="shared" si="14"/>
        <v>170513.45</v>
      </c>
    </row>
    <row r="34" spans="1:83" ht="15">
      <c r="A34" s="310">
        <v>3041</v>
      </c>
      <c r="B34" s="303" t="s">
        <v>326</v>
      </c>
      <c r="C34" s="75" t="s">
        <v>264</v>
      </c>
      <c r="D34" s="162">
        <v>906294.06</v>
      </c>
      <c r="E34" s="162">
        <v>0</v>
      </c>
      <c r="F34" s="162">
        <v>53742.36</v>
      </c>
      <c r="G34" s="162">
        <v>0</v>
      </c>
      <c r="H34" s="162">
        <v>35130</v>
      </c>
      <c r="I34" s="162">
        <v>5168.93</v>
      </c>
      <c r="J34" s="162">
        <v>0</v>
      </c>
      <c r="K34" s="162">
        <v>35141.71</v>
      </c>
      <c r="L34" s="162">
        <v>276.64999999999998</v>
      </c>
      <c r="M34" s="162">
        <v>16514.61</v>
      </c>
      <c r="N34" s="162">
        <v>0</v>
      </c>
      <c r="O34" s="162">
        <v>0</v>
      </c>
      <c r="P34" s="162">
        <v>18237.66</v>
      </c>
      <c r="Q34" s="162">
        <v>3553.03</v>
      </c>
      <c r="R34" s="162">
        <v>0</v>
      </c>
      <c r="S34" s="162">
        <v>0</v>
      </c>
      <c r="T34" s="162">
        <v>0</v>
      </c>
      <c r="U34" s="162">
        <v>-71.87</v>
      </c>
      <c r="V34" s="162">
        <v>40861</v>
      </c>
      <c r="W34" s="162">
        <f t="shared" si="2"/>
        <v>1114848.1399999999</v>
      </c>
      <c r="X34" s="162">
        <v>437606.54</v>
      </c>
      <c r="Y34" s="162">
        <v>720.9</v>
      </c>
      <c r="Z34" s="162">
        <v>222539.41</v>
      </c>
      <c r="AA34" s="162">
        <v>56675.24</v>
      </c>
      <c r="AB34" s="162">
        <v>60379.47</v>
      </c>
      <c r="AC34" s="162">
        <v>27289.63</v>
      </c>
      <c r="AD34" s="162">
        <v>622.32000000000005</v>
      </c>
      <c r="AE34" s="162">
        <v>3203.97</v>
      </c>
      <c r="AF34" s="162">
        <v>3806.21</v>
      </c>
      <c r="AG34" s="162">
        <v>0</v>
      </c>
      <c r="AH34" s="162">
        <v>0</v>
      </c>
      <c r="AI34" s="162">
        <v>4719.9399999999996</v>
      </c>
      <c r="AJ34" s="162">
        <v>2502</v>
      </c>
      <c r="AK34" s="162">
        <v>1430.4</v>
      </c>
      <c r="AL34" s="162">
        <v>849.75</v>
      </c>
      <c r="AM34" s="162">
        <v>44427.72</v>
      </c>
      <c r="AN34" s="162">
        <v>19797.830000000002</v>
      </c>
      <c r="AO34" s="162">
        <v>7663.79</v>
      </c>
      <c r="AP34" s="162">
        <v>66155.91</v>
      </c>
      <c r="AQ34" s="162">
        <v>15923.220000000001</v>
      </c>
      <c r="AR34" s="162">
        <v>0</v>
      </c>
      <c r="AS34" s="162">
        <v>3760.8</v>
      </c>
      <c r="AT34" s="162">
        <v>3609.2</v>
      </c>
      <c r="AU34" s="162">
        <v>0</v>
      </c>
      <c r="AV34" s="162">
        <v>16906.259999999998</v>
      </c>
      <c r="AW34" s="162">
        <v>51721.29</v>
      </c>
      <c r="AX34" s="162">
        <v>36863.730000000003</v>
      </c>
      <c r="AY34" s="162">
        <v>16432.830000000002</v>
      </c>
      <c r="AZ34" s="162">
        <v>0</v>
      </c>
      <c r="BA34" s="162">
        <v>0</v>
      </c>
      <c r="BB34" s="162">
        <v>0</v>
      </c>
      <c r="BC34" s="162">
        <f t="shared" si="3"/>
        <v>1105608.3599999999</v>
      </c>
      <c r="BD34" s="162">
        <f t="shared" si="4"/>
        <v>9239.7800000000279</v>
      </c>
      <c r="BE34" s="162">
        <v>14001.01</v>
      </c>
      <c r="BF34" s="162">
        <f t="shared" si="5"/>
        <v>23240.79000000003</v>
      </c>
      <c r="BG34" s="162">
        <v>0</v>
      </c>
      <c r="BH34" s="162">
        <v>0</v>
      </c>
      <c r="BI34" s="162">
        <f t="shared" si="6"/>
        <v>0</v>
      </c>
      <c r="BJ34" s="162">
        <v>0</v>
      </c>
      <c r="BK34" s="162">
        <v>0</v>
      </c>
      <c r="BL34" s="162">
        <f t="shared" si="7"/>
        <v>0</v>
      </c>
      <c r="BM34" s="162">
        <f t="shared" si="8"/>
        <v>0</v>
      </c>
      <c r="BN34" s="162">
        <v>0</v>
      </c>
      <c r="BO34" s="162">
        <f t="shared" si="9"/>
        <v>0</v>
      </c>
      <c r="BP34" s="162">
        <v>0</v>
      </c>
      <c r="BQ34" s="162">
        <v>23240.79000000003</v>
      </c>
      <c r="BR34" s="162">
        <v>0</v>
      </c>
      <c r="BS34" s="162">
        <f t="shared" si="10"/>
        <v>23240.79000000003</v>
      </c>
      <c r="BT34" s="162">
        <v>6047.5</v>
      </c>
      <c r="BU34" s="162">
        <v>0</v>
      </c>
      <c r="BV34" s="162">
        <v>0</v>
      </c>
      <c r="BW34" s="162">
        <f t="shared" si="11"/>
        <v>6047.5</v>
      </c>
      <c r="BX34" s="162">
        <v>0</v>
      </c>
      <c r="BY34" s="162">
        <v>6179.45</v>
      </c>
      <c r="BZ34" s="162">
        <v>0</v>
      </c>
      <c r="CA34" s="162">
        <v>0</v>
      </c>
      <c r="CB34" s="162">
        <f t="shared" si="12"/>
        <v>6179.45</v>
      </c>
      <c r="CC34" s="162">
        <f t="shared" si="13"/>
        <v>-131.94999999999982</v>
      </c>
      <c r="CD34" s="162">
        <v>21430.400000000001</v>
      </c>
      <c r="CE34" s="162">
        <f t="shared" si="14"/>
        <v>21298.45</v>
      </c>
    </row>
    <row r="35" spans="1:83" ht="15">
      <c r="A35" s="310">
        <v>2246</v>
      </c>
      <c r="B35" s="303" t="s">
        <v>328</v>
      </c>
      <c r="C35" s="75" t="s">
        <v>264</v>
      </c>
      <c r="D35" s="162">
        <v>1089909.4099999999</v>
      </c>
      <c r="E35" s="162">
        <v>0</v>
      </c>
      <c r="F35" s="162">
        <v>51837.66</v>
      </c>
      <c r="G35" s="162">
        <v>0</v>
      </c>
      <c r="H35" s="162">
        <v>58000</v>
      </c>
      <c r="I35" s="162">
        <v>3256.93</v>
      </c>
      <c r="J35" s="162">
        <v>0</v>
      </c>
      <c r="K35" s="162">
        <v>15217</v>
      </c>
      <c r="L35" s="162">
        <v>30881.65</v>
      </c>
      <c r="M35" s="162">
        <v>0</v>
      </c>
      <c r="N35" s="162">
        <v>0</v>
      </c>
      <c r="O35" s="162">
        <v>0</v>
      </c>
      <c r="P35" s="162">
        <v>20487.5</v>
      </c>
      <c r="Q35" s="162">
        <v>0</v>
      </c>
      <c r="R35" s="162">
        <v>0</v>
      </c>
      <c r="S35" s="162">
        <v>0</v>
      </c>
      <c r="T35" s="162">
        <v>0</v>
      </c>
      <c r="U35" s="162">
        <v>859.38</v>
      </c>
      <c r="V35" s="162">
        <v>71325</v>
      </c>
      <c r="W35" s="162">
        <f t="shared" si="2"/>
        <v>1341774.5299999996</v>
      </c>
      <c r="X35" s="162">
        <v>597611.68000000005</v>
      </c>
      <c r="Y35" s="162">
        <v>0</v>
      </c>
      <c r="Z35" s="162">
        <v>371152.23</v>
      </c>
      <c r="AA35" s="162">
        <v>26966.42</v>
      </c>
      <c r="AB35" s="162">
        <v>55919.5</v>
      </c>
      <c r="AC35" s="162">
        <v>42819.199999999997</v>
      </c>
      <c r="AD35" s="162">
        <v>39649.01</v>
      </c>
      <c r="AE35" s="162">
        <v>4427.13</v>
      </c>
      <c r="AF35" s="162">
        <v>2022</v>
      </c>
      <c r="AG35" s="162">
        <v>0</v>
      </c>
      <c r="AH35" s="162">
        <v>0</v>
      </c>
      <c r="AI35" s="162">
        <v>2857.4</v>
      </c>
      <c r="AJ35" s="162">
        <v>3498.58</v>
      </c>
      <c r="AK35" s="162">
        <v>34043.599999999999</v>
      </c>
      <c r="AL35" s="162">
        <v>4886.96</v>
      </c>
      <c r="AM35" s="162">
        <v>39066.43</v>
      </c>
      <c r="AN35" s="162">
        <v>21706.5</v>
      </c>
      <c r="AO35" s="162">
        <v>5715.09</v>
      </c>
      <c r="AP35" s="162">
        <v>15306.4</v>
      </c>
      <c r="AQ35" s="162">
        <v>23406.92</v>
      </c>
      <c r="AR35" s="162">
        <v>0</v>
      </c>
      <c r="AS35" s="162">
        <v>7430.78</v>
      </c>
      <c r="AT35" s="162">
        <v>3903.69</v>
      </c>
      <c r="AU35" s="162">
        <v>0</v>
      </c>
      <c r="AV35" s="162">
        <v>32172.41</v>
      </c>
      <c r="AW35" s="162">
        <v>14906.12</v>
      </c>
      <c r="AX35" s="162">
        <v>10702.62</v>
      </c>
      <c r="AY35" s="162">
        <v>13513.34</v>
      </c>
      <c r="AZ35" s="162">
        <v>0</v>
      </c>
      <c r="BA35" s="162">
        <v>71.27</v>
      </c>
      <c r="BB35" s="162">
        <v>833.68</v>
      </c>
      <c r="BC35" s="162">
        <f t="shared" si="3"/>
        <v>1374588.96</v>
      </c>
      <c r="BD35" s="162">
        <f t="shared" si="4"/>
        <v>-32814.4300000004</v>
      </c>
      <c r="BE35" s="162">
        <v>-25501.86</v>
      </c>
      <c r="BF35" s="162">
        <f t="shared" si="5"/>
        <v>-58316.290000000401</v>
      </c>
      <c r="BG35" s="162">
        <v>0</v>
      </c>
      <c r="BH35" s="162">
        <v>0</v>
      </c>
      <c r="BI35" s="162">
        <f t="shared" si="6"/>
        <v>0</v>
      </c>
      <c r="BJ35" s="162">
        <v>0</v>
      </c>
      <c r="BK35" s="162">
        <v>0</v>
      </c>
      <c r="BL35" s="162">
        <f t="shared" si="7"/>
        <v>0</v>
      </c>
      <c r="BM35" s="162">
        <f t="shared" si="8"/>
        <v>0</v>
      </c>
      <c r="BN35" s="162">
        <v>0</v>
      </c>
      <c r="BO35" s="162">
        <f t="shared" si="9"/>
        <v>0</v>
      </c>
      <c r="BP35" s="162">
        <v>8381.66</v>
      </c>
      <c r="BQ35" s="162">
        <v>-66697.950000000172</v>
      </c>
      <c r="BR35" s="162">
        <v>0</v>
      </c>
      <c r="BS35" s="162">
        <f t="shared" si="10"/>
        <v>-58316.290000000168</v>
      </c>
      <c r="BT35" s="162">
        <v>6177.55</v>
      </c>
      <c r="BU35" s="162">
        <v>0</v>
      </c>
      <c r="BV35" s="162">
        <v>0</v>
      </c>
      <c r="BW35" s="162">
        <f t="shared" si="11"/>
        <v>6177.55</v>
      </c>
      <c r="BX35" s="162">
        <v>0</v>
      </c>
      <c r="BY35" s="162">
        <v>-780.48</v>
      </c>
      <c r="BZ35" s="162">
        <v>0</v>
      </c>
      <c r="CA35" s="162">
        <v>1351.11</v>
      </c>
      <c r="CB35" s="162">
        <f t="shared" si="12"/>
        <v>570.62999999999988</v>
      </c>
      <c r="CC35" s="162">
        <f t="shared" si="13"/>
        <v>5606.92</v>
      </c>
      <c r="CD35" s="162">
        <v>42243.51</v>
      </c>
      <c r="CE35" s="162">
        <f t="shared" si="14"/>
        <v>47850.43</v>
      </c>
    </row>
    <row r="36" spans="1:83" ht="15">
      <c r="A36" s="310">
        <v>3308</v>
      </c>
      <c r="B36" s="303" t="s">
        <v>330</v>
      </c>
      <c r="C36" s="75" t="s">
        <v>264</v>
      </c>
      <c r="D36" s="162">
        <v>705835.01</v>
      </c>
      <c r="E36" s="162">
        <v>0</v>
      </c>
      <c r="F36" s="162">
        <v>23115.85</v>
      </c>
      <c r="G36" s="162">
        <v>0</v>
      </c>
      <c r="H36" s="162">
        <v>21167</v>
      </c>
      <c r="I36" s="162">
        <v>4171.29</v>
      </c>
      <c r="J36" s="162">
        <v>0</v>
      </c>
      <c r="K36" s="162">
        <v>0</v>
      </c>
      <c r="L36" s="162">
        <v>49208.39</v>
      </c>
      <c r="M36" s="162">
        <v>9307.39</v>
      </c>
      <c r="N36" s="162">
        <v>0</v>
      </c>
      <c r="O36" s="162">
        <v>0</v>
      </c>
      <c r="P36" s="162">
        <v>18323.98</v>
      </c>
      <c r="Q36" s="162">
        <v>1287.8800000000001</v>
      </c>
      <c r="R36" s="162">
        <v>0</v>
      </c>
      <c r="S36" s="162">
        <v>0</v>
      </c>
      <c r="T36" s="162">
        <v>0</v>
      </c>
      <c r="U36" s="162">
        <v>113.75</v>
      </c>
      <c r="V36" s="162">
        <v>37326</v>
      </c>
      <c r="W36" s="162">
        <f t="shared" si="2"/>
        <v>869856.54</v>
      </c>
      <c r="X36" s="162">
        <v>433502.91</v>
      </c>
      <c r="Y36" s="162">
        <v>15915.42</v>
      </c>
      <c r="Z36" s="162">
        <v>100907.42</v>
      </c>
      <c r="AA36" s="162">
        <v>13409.33</v>
      </c>
      <c r="AB36" s="162">
        <v>51883.7</v>
      </c>
      <c r="AC36" s="162">
        <v>0</v>
      </c>
      <c r="AD36" s="162">
        <v>29653.63</v>
      </c>
      <c r="AE36" s="162">
        <v>615</v>
      </c>
      <c r="AF36" s="162">
        <v>6124.04</v>
      </c>
      <c r="AG36" s="162">
        <v>3100</v>
      </c>
      <c r="AH36" s="162">
        <v>86.25</v>
      </c>
      <c r="AI36" s="162">
        <v>10454</v>
      </c>
      <c r="AJ36" s="162">
        <v>4200</v>
      </c>
      <c r="AK36" s="162">
        <v>2014.57</v>
      </c>
      <c r="AL36" s="162">
        <v>1355.3</v>
      </c>
      <c r="AM36" s="162">
        <v>16545.61</v>
      </c>
      <c r="AN36" s="162">
        <v>3542.9</v>
      </c>
      <c r="AO36" s="162">
        <v>2607.4699999999998</v>
      </c>
      <c r="AP36" s="162">
        <v>53907.7</v>
      </c>
      <c r="AQ36" s="162">
        <v>20446.849999999999</v>
      </c>
      <c r="AR36" s="162">
        <v>0</v>
      </c>
      <c r="AS36" s="162">
        <v>4757.8</v>
      </c>
      <c r="AT36" s="162">
        <v>2643.8</v>
      </c>
      <c r="AU36" s="162">
        <v>1301.94</v>
      </c>
      <c r="AV36" s="162">
        <v>43269.599999999999</v>
      </c>
      <c r="AW36" s="162">
        <v>8322</v>
      </c>
      <c r="AX36" s="162">
        <v>1170</v>
      </c>
      <c r="AY36" s="162">
        <v>17688.830000000002</v>
      </c>
      <c r="AZ36" s="162">
        <v>0</v>
      </c>
      <c r="BA36" s="162">
        <v>0</v>
      </c>
      <c r="BB36" s="162">
        <v>7421.49</v>
      </c>
      <c r="BC36" s="162">
        <f t="shared" si="3"/>
        <v>856847.55999999982</v>
      </c>
      <c r="BD36" s="162">
        <f t="shared" si="4"/>
        <v>13008.980000000214</v>
      </c>
      <c r="BE36" s="162">
        <v>108620.13</v>
      </c>
      <c r="BF36" s="162">
        <f t="shared" si="5"/>
        <v>121629.11000000022</v>
      </c>
      <c r="BG36" s="162">
        <v>0</v>
      </c>
      <c r="BH36" s="162">
        <v>0</v>
      </c>
      <c r="BI36" s="162">
        <f t="shared" si="6"/>
        <v>0</v>
      </c>
      <c r="BJ36" s="162">
        <v>0</v>
      </c>
      <c r="BK36" s="162">
        <v>0</v>
      </c>
      <c r="BL36" s="162">
        <f t="shared" si="7"/>
        <v>0</v>
      </c>
      <c r="BM36" s="162">
        <f t="shared" si="8"/>
        <v>0</v>
      </c>
      <c r="BN36" s="162">
        <v>0</v>
      </c>
      <c r="BO36" s="162">
        <f t="shared" si="9"/>
        <v>0</v>
      </c>
      <c r="BP36" s="162">
        <v>23453.3</v>
      </c>
      <c r="BQ36" s="162">
        <v>98175.810000000216</v>
      </c>
      <c r="BR36" s="162">
        <v>0</v>
      </c>
      <c r="BS36" s="162">
        <f t="shared" si="10"/>
        <v>121629.11000000022</v>
      </c>
      <c r="BT36" s="162">
        <v>0</v>
      </c>
      <c r="BU36" s="162">
        <v>0</v>
      </c>
      <c r="BV36" s="162">
        <v>0</v>
      </c>
      <c r="BW36" s="162">
        <f t="shared" si="11"/>
        <v>0</v>
      </c>
      <c r="BX36" s="162">
        <v>0</v>
      </c>
      <c r="BY36" s="162">
        <v>0</v>
      </c>
      <c r="BZ36" s="162">
        <v>0</v>
      </c>
      <c r="CA36" s="162">
        <v>0</v>
      </c>
      <c r="CB36" s="162">
        <f t="shared" si="12"/>
        <v>0</v>
      </c>
      <c r="CC36" s="162">
        <f t="shared" si="13"/>
        <v>0</v>
      </c>
      <c r="CD36" s="162">
        <v>0</v>
      </c>
      <c r="CE36" s="162">
        <f t="shared" si="14"/>
        <v>0</v>
      </c>
    </row>
    <row r="37" spans="1:83" ht="15">
      <c r="A37" s="310">
        <v>3368</v>
      </c>
      <c r="B37" s="303" t="s">
        <v>332</v>
      </c>
      <c r="C37" s="75" t="s">
        <v>264</v>
      </c>
      <c r="D37" s="162">
        <v>736022.19</v>
      </c>
      <c r="E37" s="162">
        <v>0</v>
      </c>
      <c r="F37" s="162">
        <v>16145.96</v>
      </c>
      <c r="G37" s="162">
        <v>0</v>
      </c>
      <c r="H37" s="162">
        <v>13270</v>
      </c>
      <c r="I37" s="162">
        <v>1211</v>
      </c>
      <c r="J37" s="162">
        <v>9820.2999999999993</v>
      </c>
      <c r="K37" s="162">
        <v>0</v>
      </c>
      <c r="L37" s="162">
        <v>1269.44</v>
      </c>
      <c r="M37" s="162">
        <v>25867.96</v>
      </c>
      <c r="N37" s="162">
        <v>6225</v>
      </c>
      <c r="O37" s="162">
        <v>0</v>
      </c>
      <c r="P37" s="162">
        <v>20773.830000000002</v>
      </c>
      <c r="Q37" s="162">
        <v>7783.71</v>
      </c>
      <c r="R37" s="162">
        <v>0</v>
      </c>
      <c r="S37" s="162">
        <v>0</v>
      </c>
      <c r="T37" s="162">
        <v>0</v>
      </c>
      <c r="U37" s="162">
        <v>-169.37</v>
      </c>
      <c r="V37" s="162">
        <v>42381</v>
      </c>
      <c r="W37" s="162">
        <f t="shared" si="2"/>
        <v>880601.01999999979</v>
      </c>
      <c r="X37" s="162">
        <v>430243.26</v>
      </c>
      <c r="Y37" s="162">
        <v>0</v>
      </c>
      <c r="Z37" s="162">
        <v>179666.18</v>
      </c>
      <c r="AA37" s="162">
        <v>0</v>
      </c>
      <c r="AB37" s="162">
        <v>36414.230000000003</v>
      </c>
      <c r="AC37" s="162">
        <v>34105.68</v>
      </c>
      <c r="AD37" s="162">
        <v>7835.46</v>
      </c>
      <c r="AE37" s="162">
        <v>132.9</v>
      </c>
      <c r="AF37" s="162">
        <v>4397.7</v>
      </c>
      <c r="AG37" s="162">
        <v>1499</v>
      </c>
      <c r="AH37" s="162">
        <v>0</v>
      </c>
      <c r="AI37" s="162">
        <v>6580.9</v>
      </c>
      <c r="AJ37" s="162">
        <v>1594.92</v>
      </c>
      <c r="AK37" s="162">
        <v>19132.68</v>
      </c>
      <c r="AL37" s="162">
        <v>1813.07</v>
      </c>
      <c r="AM37" s="162">
        <v>15198.5</v>
      </c>
      <c r="AN37" s="162">
        <v>3318.35</v>
      </c>
      <c r="AO37" s="162">
        <v>1878.1</v>
      </c>
      <c r="AP37" s="162">
        <v>43787.68</v>
      </c>
      <c r="AQ37" s="162">
        <v>21352.47</v>
      </c>
      <c r="AR37" s="162">
        <v>0</v>
      </c>
      <c r="AS37" s="162">
        <v>2003.83</v>
      </c>
      <c r="AT37" s="162">
        <v>2956.23</v>
      </c>
      <c r="AU37" s="162">
        <v>0</v>
      </c>
      <c r="AV37" s="162">
        <v>15884.96</v>
      </c>
      <c r="AW37" s="162">
        <v>7424</v>
      </c>
      <c r="AX37" s="162">
        <v>20133.47</v>
      </c>
      <c r="AY37" s="162">
        <v>11599.74</v>
      </c>
      <c r="AZ37" s="162">
        <v>0</v>
      </c>
      <c r="BA37" s="162">
        <v>0</v>
      </c>
      <c r="BB37" s="162">
        <v>495.64</v>
      </c>
      <c r="BC37" s="162">
        <f t="shared" si="3"/>
        <v>869448.94999999984</v>
      </c>
      <c r="BD37" s="162">
        <f t="shared" si="4"/>
        <v>11152.069999999949</v>
      </c>
      <c r="BE37" s="162">
        <v>62059.49</v>
      </c>
      <c r="BF37" s="162">
        <f t="shared" si="5"/>
        <v>73211.559999999939</v>
      </c>
      <c r="BG37" s="162">
        <v>0</v>
      </c>
      <c r="BH37" s="162">
        <v>0</v>
      </c>
      <c r="BI37" s="162">
        <f t="shared" si="6"/>
        <v>0</v>
      </c>
      <c r="BJ37" s="162">
        <v>0</v>
      </c>
      <c r="BK37" s="162">
        <v>0</v>
      </c>
      <c r="BL37" s="162">
        <f t="shared" si="7"/>
        <v>0</v>
      </c>
      <c r="BM37" s="162">
        <f t="shared" si="8"/>
        <v>0</v>
      </c>
      <c r="BN37" s="162">
        <v>0</v>
      </c>
      <c r="BO37" s="162">
        <f t="shared" si="9"/>
        <v>0</v>
      </c>
      <c r="BP37" s="162">
        <v>13820.33</v>
      </c>
      <c r="BQ37" s="162">
        <v>59391.229999999938</v>
      </c>
      <c r="BR37" s="162">
        <v>0</v>
      </c>
      <c r="BS37" s="162">
        <f t="shared" si="10"/>
        <v>73211.559999999939</v>
      </c>
      <c r="BT37" s="162">
        <v>0</v>
      </c>
      <c r="BU37" s="162">
        <v>0</v>
      </c>
      <c r="BV37" s="162">
        <v>0</v>
      </c>
      <c r="BW37" s="162">
        <f t="shared" si="11"/>
        <v>0</v>
      </c>
      <c r="BX37" s="162">
        <v>0</v>
      </c>
      <c r="BY37" s="162">
        <v>0</v>
      </c>
      <c r="BZ37" s="162">
        <v>0</v>
      </c>
      <c r="CA37" s="162">
        <v>0</v>
      </c>
      <c r="CB37" s="162">
        <f t="shared" si="12"/>
        <v>0</v>
      </c>
      <c r="CC37" s="162">
        <f t="shared" si="13"/>
        <v>0</v>
      </c>
      <c r="CD37" s="162">
        <v>0</v>
      </c>
      <c r="CE37" s="162">
        <f t="shared" si="14"/>
        <v>0</v>
      </c>
    </row>
    <row r="38" spans="1:83" ht="15">
      <c r="A38" s="310">
        <v>2444</v>
      </c>
      <c r="B38" s="303" t="s">
        <v>334</v>
      </c>
      <c r="C38" s="75" t="s">
        <v>264</v>
      </c>
      <c r="D38" s="162">
        <v>1848240.85</v>
      </c>
      <c r="E38" s="162">
        <v>0</v>
      </c>
      <c r="F38" s="162">
        <v>138312.68</v>
      </c>
      <c r="G38" s="162">
        <v>0</v>
      </c>
      <c r="H38" s="162">
        <v>66640</v>
      </c>
      <c r="I38" s="162">
        <v>386</v>
      </c>
      <c r="J38" s="162">
        <v>0</v>
      </c>
      <c r="K38" s="162">
        <v>17934.91</v>
      </c>
      <c r="L38" s="162">
        <v>11416.24</v>
      </c>
      <c r="M38" s="162">
        <v>41026.07</v>
      </c>
      <c r="N38" s="162">
        <v>0</v>
      </c>
      <c r="O38" s="162">
        <v>0</v>
      </c>
      <c r="P38" s="162">
        <v>55462.65</v>
      </c>
      <c r="Q38" s="162">
        <v>15389.66</v>
      </c>
      <c r="R38" s="162">
        <v>0</v>
      </c>
      <c r="S38" s="162">
        <v>0</v>
      </c>
      <c r="T38" s="162">
        <v>0</v>
      </c>
      <c r="U38" s="162">
        <v>2566.88</v>
      </c>
      <c r="V38" s="162">
        <v>92052</v>
      </c>
      <c r="W38" s="162">
        <f t="shared" si="2"/>
        <v>2289427.94</v>
      </c>
      <c r="X38" s="162">
        <v>1099273.74</v>
      </c>
      <c r="Y38" s="162">
        <v>394.97</v>
      </c>
      <c r="Z38" s="162">
        <v>469402.27</v>
      </c>
      <c r="AA38" s="162">
        <v>73790.38</v>
      </c>
      <c r="AB38" s="162">
        <v>96887.49</v>
      </c>
      <c r="AC38" s="162">
        <v>0</v>
      </c>
      <c r="AD38" s="162">
        <v>36403.879999999997</v>
      </c>
      <c r="AE38" s="162">
        <v>7835.98</v>
      </c>
      <c r="AF38" s="162">
        <v>3071</v>
      </c>
      <c r="AG38" s="162">
        <v>9175</v>
      </c>
      <c r="AH38" s="162">
        <v>306.25</v>
      </c>
      <c r="AI38" s="162">
        <v>21449.99</v>
      </c>
      <c r="AJ38" s="162">
        <v>6467.33</v>
      </c>
      <c r="AK38" s="162">
        <v>5264.99</v>
      </c>
      <c r="AL38" s="162">
        <v>8562.7800000000007</v>
      </c>
      <c r="AM38" s="162">
        <v>31935.54</v>
      </c>
      <c r="AN38" s="162">
        <v>61152</v>
      </c>
      <c r="AO38" s="162">
        <v>7553.45</v>
      </c>
      <c r="AP38" s="162">
        <v>75186.23</v>
      </c>
      <c r="AQ38" s="162">
        <v>43079.22</v>
      </c>
      <c r="AR38" s="162">
        <v>0</v>
      </c>
      <c r="AS38" s="162">
        <v>9371.0400000000009</v>
      </c>
      <c r="AT38" s="162">
        <v>7368.54</v>
      </c>
      <c r="AU38" s="162">
        <v>5213.43</v>
      </c>
      <c r="AV38" s="162">
        <v>108587.5</v>
      </c>
      <c r="AW38" s="162">
        <v>18408.080000000002</v>
      </c>
      <c r="AX38" s="162">
        <v>26174.79</v>
      </c>
      <c r="AY38" s="162">
        <v>18048.82</v>
      </c>
      <c r="AZ38" s="162">
        <v>0</v>
      </c>
      <c r="BA38" s="162">
        <v>3600.55</v>
      </c>
      <c r="BB38" s="162">
        <v>7196.05</v>
      </c>
      <c r="BC38" s="162">
        <f t="shared" si="3"/>
        <v>2261161.2899999996</v>
      </c>
      <c r="BD38" s="162">
        <f t="shared" si="4"/>
        <v>28266.650000000373</v>
      </c>
      <c r="BE38" s="162">
        <v>18961.22</v>
      </c>
      <c r="BF38" s="162">
        <f t="shared" si="5"/>
        <v>47227.870000000374</v>
      </c>
      <c r="BG38" s="162">
        <v>0</v>
      </c>
      <c r="BH38" s="162">
        <v>0</v>
      </c>
      <c r="BI38" s="162">
        <f t="shared" si="6"/>
        <v>0</v>
      </c>
      <c r="BJ38" s="162">
        <v>0</v>
      </c>
      <c r="BK38" s="162">
        <v>0</v>
      </c>
      <c r="BL38" s="162">
        <f t="shared" si="7"/>
        <v>0</v>
      </c>
      <c r="BM38" s="162">
        <f t="shared" si="8"/>
        <v>0</v>
      </c>
      <c r="BN38" s="162">
        <v>0</v>
      </c>
      <c r="BO38" s="162">
        <f t="shared" si="9"/>
        <v>0</v>
      </c>
      <c r="BP38" s="162">
        <v>23520.47</v>
      </c>
      <c r="BQ38" s="162">
        <v>23707.400000000373</v>
      </c>
      <c r="BR38" s="162">
        <v>0</v>
      </c>
      <c r="BS38" s="162">
        <f t="shared" si="10"/>
        <v>47227.870000000374</v>
      </c>
      <c r="BT38" s="162">
        <v>8207.5</v>
      </c>
      <c r="BU38" s="162">
        <v>0</v>
      </c>
      <c r="BV38" s="162">
        <v>0</v>
      </c>
      <c r="BW38" s="162">
        <f t="shared" si="11"/>
        <v>8207.5</v>
      </c>
      <c r="BX38" s="162">
        <v>0</v>
      </c>
      <c r="BY38" s="162">
        <v>5000</v>
      </c>
      <c r="BZ38" s="162">
        <v>0</v>
      </c>
      <c r="CA38" s="162">
        <v>0</v>
      </c>
      <c r="CB38" s="162">
        <f t="shared" si="12"/>
        <v>5000</v>
      </c>
      <c r="CC38" s="162">
        <f t="shared" si="13"/>
        <v>3207.5</v>
      </c>
      <c r="CD38" s="162">
        <v>8568.5499999999993</v>
      </c>
      <c r="CE38" s="162">
        <f t="shared" si="14"/>
        <v>11776.05</v>
      </c>
    </row>
    <row r="39" spans="1:83" ht="15">
      <c r="A39" s="310">
        <v>3074</v>
      </c>
      <c r="B39" s="303" t="s">
        <v>336</v>
      </c>
      <c r="C39" s="75" t="s">
        <v>264</v>
      </c>
      <c r="D39" s="162">
        <v>1048192.42</v>
      </c>
      <c r="E39" s="162">
        <v>0</v>
      </c>
      <c r="F39" s="162">
        <v>88872</v>
      </c>
      <c r="G39" s="162">
        <v>0</v>
      </c>
      <c r="H39" s="162">
        <v>79790</v>
      </c>
      <c r="I39" s="162">
        <v>5656.93</v>
      </c>
      <c r="J39" s="162">
        <v>0</v>
      </c>
      <c r="K39" s="162">
        <v>6259.37</v>
      </c>
      <c r="L39" s="162">
        <v>55620.12</v>
      </c>
      <c r="M39" s="162">
        <v>-180.2</v>
      </c>
      <c r="N39" s="162">
        <v>9936</v>
      </c>
      <c r="O39" s="162">
        <v>0</v>
      </c>
      <c r="P39" s="162">
        <v>17807.310000000001</v>
      </c>
      <c r="Q39" s="162">
        <v>2185.5700000000002</v>
      </c>
      <c r="R39" s="162">
        <v>0</v>
      </c>
      <c r="S39" s="162">
        <v>0</v>
      </c>
      <c r="T39" s="162">
        <v>0</v>
      </c>
      <c r="U39" s="162">
        <v>2937.5</v>
      </c>
      <c r="V39" s="162">
        <v>49703</v>
      </c>
      <c r="W39" s="162">
        <f t="shared" si="2"/>
        <v>1366780.0200000003</v>
      </c>
      <c r="X39" s="162">
        <v>648522.76</v>
      </c>
      <c r="Y39" s="162">
        <v>15356.75</v>
      </c>
      <c r="Z39" s="162">
        <v>192384.65</v>
      </c>
      <c r="AA39" s="162">
        <v>33181.06</v>
      </c>
      <c r="AB39" s="162">
        <v>61906.25</v>
      </c>
      <c r="AC39" s="162">
        <v>0</v>
      </c>
      <c r="AD39" s="162">
        <v>50814.5</v>
      </c>
      <c r="AE39" s="162">
        <v>4429</v>
      </c>
      <c r="AF39" s="162">
        <v>6108.83</v>
      </c>
      <c r="AG39" s="162">
        <v>4975</v>
      </c>
      <c r="AH39" s="162">
        <v>1683.75</v>
      </c>
      <c r="AI39" s="162">
        <v>115.44</v>
      </c>
      <c r="AJ39" s="162">
        <v>4759.8900000000003</v>
      </c>
      <c r="AK39" s="162">
        <v>4979.3900000000003</v>
      </c>
      <c r="AL39" s="162">
        <v>2469.69</v>
      </c>
      <c r="AM39" s="162">
        <v>28476.12</v>
      </c>
      <c r="AN39" s="162">
        <v>22455</v>
      </c>
      <c r="AO39" s="162">
        <v>5916.53</v>
      </c>
      <c r="AP39" s="162">
        <v>65583.179999999993</v>
      </c>
      <c r="AQ39" s="162">
        <v>28632.7</v>
      </c>
      <c r="AR39" s="162">
        <v>0</v>
      </c>
      <c r="AS39" s="162">
        <v>15935.42</v>
      </c>
      <c r="AT39" s="162">
        <v>3997.64</v>
      </c>
      <c r="AU39" s="162">
        <v>1741.46</v>
      </c>
      <c r="AV39" s="162">
        <v>43479.57</v>
      </c>
      <c r="AW39" s="162">
        <v>428.4</v>
      </c>
      <c r="AX39" s="162">
        <v>0</v>
      </c>
      <c r="AY39" s="162">
        <v>19532.07</v>
      </c>
      <c r="AZ39" s="162">
        <v>0</v>
      </c>
      <c r="BA39" s="162">
        <v>0</v>
      </c>
      <c r="BB39" s="162">
        <v>0</v>
      </c>
      <c r="BC39" s="162">
        <f t="shared" si="3"/>
        <v>1267865.0499999996</v>
      </c>
      <c r="BD39" s="162">
        <f t="shared" si="4"/>
        <v>98914.970000000671</v>
      </c>
      <c r="BE39" s="162">
        <v>21642.86</v>
      </c>
      <c r="BF39" s="162">
        <f t="shared" si="5"/>
        <v>120557.83000000067</v>
      </c>
      <c r="BG39" s="162">
        <v>94911.48</v>
      </c>
      <c r="BH39" s="162">
        <v>10800.85</v>
      </c>
      <c r="BI39" s="162">
        <f t="shared" si="6"/>
        <v>105712.33</v>
      </c>
      <c r="BJ39" s="162">
        <v>127609.01</v>
      </c>
      <c r="BK39" s="162">
        <v>23243.200000000001</v>
      </c>
      <c r="BL39" s="162">
        <f t="shared" si="7"/>
        <v>150852.21</v>
      </c>
      <c r="BM39" s="162">
        <f t="shared" si="8"/>
        <v>-45139.87999999999</v>
      </c>
      <c r="BN39" s="162">
        <v>75982.86</v>
      </c>
      <c r="BO39" s="162">
        <f t="shared" si="9"/>
        <v>30842.98000000001</v>
      </c>
      <c r="BP39" s="162">
        <v>4626</v>
      </c>
      <c r="BQ39" s="162">
        <v>115387.83000000044</v>
      </c>
      <c r="BR39" s="162">
        <v>31386.979999999981</v>
      </c>
      <c r="BS39" s="162">
        <f t="shared" si="10"/>
        <v>151400.81000000041</v>
      </c>
      <c r="BT39" s="162">
        <v>6424.15</v>
      </c>
      <c r="BU39" s="162">
        <v>0</v>
      </c>
      <c r="BV39" s="162">
        <v>0</v>
      </c>
      <c r="BW39" s="162">
        <f t="shared" si="11"/>
        <v>6424.15</v>
      </c>
      <c r="BX39" s="162">
        <v>0</v>
      </c>
      <c r="BY39" s="162">
        <v>5116.99</v>
      </c>
      <c r="BZ39" s="162">
        <v>0</v>
      </c>
      <c r="CA39" s="162">
        <v>0</v>
      </c>
      <c r="CB39" s="162">
        <f t="shared" si="12"/>
        <v>5116.99</v>
      </c>
      <c r="CC39" s="162">
        <f t="shared" si="13"/>
        <v>1307.1599999999999</v>
      </c>
      <c r="CD39" s="162">
        <v>7462.94</v>
      </c>
      <c r="CE39" s="162">
        <f t="shared" si="14"/>
        <v>8770.0999999999985</v>
      </c>
    </row>
    <row r="40" spans="1:83" ht="15">
      <c r="A40" s="310">
        <v>2336</v>
      </c>
      <c r="B40" s="303" t="s">
        <v>338</v>
      </c>
      <c r="C40" s="75" t="s">
        <v>264</v>
      </c>
      <c r="D40" s="162">
        <v>2116363.34</v>
      </c>
      <c r="E40" s="162">
        <v>0</v>
      </c>
      <c r="F40" s="162">
        <v>80095.03</v>
      </c>
      <c r="G40" s="162">
        <v>0</v>
      </c>
      <c r="H40" s="162">
        <v>166850</v>
      </c>
      <c r="I40" s="162">
        <v>7858.43</v>
      </c>
      <c r="J40" s="162">
        <v>0</v>
      </c>
      <c r="K40" s="162">
        <v>42129.25</v>
      </c>
      <c r="L40" s="162">
        <v>179520.16</v>
      </c>
      <c r="M40" s="162">
        <v>28547.57</v>
      </c>
      <c r="N40" s="162">
        <v>3818</v>
      </c>
      <c r="O40" s="162">
        <v>5257.68</v>
      </c>
      <c r="P40" s="162">
        <v>42470.97</v>
      </c>
      <c r="Q40" s="162">
        <v>9271.31</v>
      </c>
      <c r="R40" s="162">
        <v>0</v>
      </c>
      <c r="S40" s="162">
        <v>0</v>
      </c>
      <c r="T40" s="162">
        <v>0</v>
      </c>
      <c r="U40" s="162">
        <v>-35</v>
      </c>
      <c r="V40" s="162">
        <v>73003</v>
      </c>
      <c r="W40" s="162">
        <f t="shared" si="2"/>
        <v>2755149.74</v>
      </c>
      <c r="X40" s="162">
        <v>1153227.47</v>
      </c>
      <c r="Y40" s="162">
        <v>0</v>
      </c>
      <c r="Z40" s="162">
        <v>445188.65</v>
      </c>
      <c r="AA40" s="162">
        <v>89890.98</v>
      </c>
      <c r="AB40" s="162">
        <v>129824.09</v>
      </c>
      <c r="AC40" s="162">
        <v>0</v>
      </c>
      <c r="AD40" s="162">
        <v>78537.259999999995</v>
      </c>
      <c r="AE40" s="162">
        <v>1097.94</v>
      </c>
      <c r="AF40" s="162">
        <v>8346.7000000000007</v>
      </c>
      <c r="AG40" s="162">
        <v>10100</v>
      </c>
      <c r="AH40" s="162">
        <v>3130</v>
      </c>
      <c r="AI40" s="162">
        <v>29661.13</v>
      </c>
      <c r="AJ40" s="162">
        <v>12010</v>
      </c>
      <c r="AK40" s="162">
        <v>31271.119999999999</v>
      </c>
      <c r="AL40" s="162">
        <v>10003.040000000001</v>
      </c>
      <c r="AM40" s="162">
        <v>100290.57</v>
      </c>
      <c r="AN40" s="162">
        <v>12994.8</v>
      </c>
      <c r="AO40" s="162">
        <v>15299.47</v>
      </c>
      <c r="AP40" s="162">
        <v>71185.33</v>
      </c>
      <c r="AQ40" s="162">
        <v>37267.39</v>
      </c>
      <c r="AR40" s="162">
        <v>0</v>
      </c>
      <c r="AS40" s="162">
        <v>14042.39</v>
      </c>
      <c r="AT40" s="162">
        <v>8207.57</v>
      </c>
      <c r="AU40" s="162">
        <v>2663.64</v>
      </c>
      <c r="AV40" s="162">
        <v>125706.59</v>
      </c>
      <c r="AW40" s="162">
        <v>112977.96</v>
      </c>
      <c r="AX40" s="162">
        <v>184125.04</v>
      </c>
      <c r="AY40" s="162">
        <v>33671.56</v>
      </c>
      <c r="AZ40" s="162">
        <v>0</v>
      </c>
      <c r="BA40" s="162">
        <v>2238.91</v>
      </c>
      <c r="BB40" s="162">
        <v>7370.99</v>
      </c>
      <c r="BC40" s="162">
        <f t="shared" si="3"/>
        <v>2730330.5900000008</v>
      </c>
      <c r="BD40" s="162">
        <f t="shared" si="4"/>
        <v>24819.149999999441</v>
      </c>
      <c r="BE40" s="162">
        <v>177176.57</v>
      </c>
      <c r="BF40" s="162">
        <f t="shared" si="5"/>
        <v>201995.71999999945</v>
      </c>
      <c r="BG40" s="162">
        <v>0</v>
      </c>
      <c r="BH40" s="162">
        <v>123340.52</v>
      </c>
      <c r="BI40" s="162">
        <f t="shared" si="6"/>
        <v>123340.52</v>
      </c>
      <c r="BJ40" s="162">
        <v>53135.94</v>
      </c>
      <c r="BK40" s="162">
        <v>77844.75</v>
      </c>
      <c r="BL40" s="162">
        <f t="shared" si="7"/>
        <v>130980.69</v>
      </c>
      <c r="BM40" s="162">
        <f t="shared" si="8"/>
        <v>-7640.1699999999983</v>
      </c>
      <c r="BN40" s="162">
        <v>0</v>
      </c>
      <c r="BO40" s="162">
        <f t="shared" si="9"/>
        <v>-7640.1699999999983</v>
      </c>
      <c r="BP40" s="162">
        <v>59387</v>
      </c>
      <c r="BQ40" s="162">
        <v>142608.71999999945</v>
      </c>
      <c r="BR40" s="162">
        <v>0</v>
      </c>
      <c r="BS40" s="162">
        <f t="shared" si="10"/>
        <v>201995.71999999945</v>
      </c>
      <c r="BT40" s="162">
        <v>8374</v>
      </c>
      <c r="BU40" s="162">
        <v>0</v>
      </c>
      <c r="BV40" s="162">
        <v>0</v>
      </c>
      <c r="BW40" s="162">
        <f t="shared" si="11"/>
        <v>8374</v>
      </c>
      <c r="BX40" s="162">
        <v>0</v>
      </c>
      <c r="BY40" s="162">
        <v>7875</v>
      </c>
      <c r="BZ40" s="162">
        <v>0</v>
      </c>
      <c r="CA40" s="162">
        <v>2382</v>
      </c>
      <c r="CB40" s="162">
        <f t="shared" si="12"/>
        <v>10257</v>
      </c>
      <c r="CC40" s="162">
        <f t="shared" si="13"/>
        <v>-1883</v>
      </c>
      <c r="CD40" s="162">
        <v>2426.67</v>
      </c>
      <c r="CE40" s="162">
        <f t="shared" si="14"/>
        <v>543.67000000000007</v>
      </c>
    </row>
    <row r="41" spans="1:83" ht="15">
      <c r="A41" s="310">
        <v>2010</v>
      </c>
      <c r="B41" s="303" t="s">
        <v>340</v>
      </c>
      <c r="C41" s="75" t="s">
        <v>264</v>
      </c>
      <c r="D41" s="162">
        <v>675415.86</v>
      </c>
      <c r="E41" s="162">
        <v>0</v>
      </c>
      <c r="F41" s="162">
        <v>69146.460000000006</v>
      </c>
      <c r="G41" s="162">
        <v>0</v>
      </c>
      <c r="H41" s="162">
        <v>33210</v>
      </c>
      <c r="I41" s="162">
        <v>220</v>
      </c>
      <c r="J41" s="162">
        <v>0</v>
      </c>
      <c r="K41" s="162">
        <v>510</v>
      </c>
      <c r="L41" s="162">
        <v>6294.37</v>
      </c>
      <c r="M41" s="162">
        <v>7348.05</v>
      </c>
      <c r="N41" s="162">
        <v>2250</v>
      </c>
      <c r="O41" s="162">
        <v>38795.43</v>
      </c>
      <c r="P41" s="162">
        <v>6832.45</v>
      </c>
      <c r="Q41" s="162">
        <v>22767.35</v>
      </c>
      <c r="R41" s="162">
        <v>0</v>
      </c>
      <c r="S41" s="162">
        <v>0</v>
      </c>
      <c r="T41" s="162">
        <v>0</v>
      </c>
      <c r="U41" s="162">
        <v>1175</v>
      </c>
      <c r="V41" s="162">
        <v>33084</v>
      </c>
      <c r="W41" s="162">
        <f t="shared" si="2"/>
        <v>897048.97</v>
      </c>
      <c r="X41" s="162">
        <v>392416.85</v>
      </c>
      <c r="Y41" s="162">
        <v>5454.22</v>
      </c>
      <c r="Z41" s="162">
        <v>182151.21</v>
      </c>
      <c r="AA41" s="162">
        <v>0</v>
      </c>
      <c r="AB41" s="162">
        <v>71182.399999999994</v>
      </c>
      <c r="AC41" s="162">
        <v>0</v>
      </c>
      <c r="AD41" s="162">
        <v>17529.810000000001</v>
      </c>
      <c r="AE41" s="162">
        <v>2909</v>
      </c>
      <c r="AF41" s="162">
        <v>5020.91</v>
      </c>
      <c r="AG41" s="162">
        <v>2725</v>
      </c>
      <c r="AH41" s="162">
        <v>0</v>
      </c>
      <c r="AI41" s="162">
        <v>6503.6</v>
      </c>
      <c r="AJ41" s="162">
        <v>2400</v>
      </c>
      <c r="AK41" s="162">
        <v>19158.54</v>
      </c>
      <c r="AL41" s="162">
        <v>1985.95</v>
      </c>
      <c r="AM41" s="162">
        <v>13138.07</v>
      </c>
      <c r="AN41" s="162">
        <v>14845.25</v>
      </c>
      <c r="AO41" s="162">
        <v>6025.05</v>
      </c>
      <c r="AP41" s="162">
        <v>34735.300000000003</v>
      </c>
      <c r="AQ41" s="162">
        <v>20793.629999999997</v>
      </c>
      <c r="AR41" s="162">
        <v>0</v>
      </c>
      <c r="AS41" s="162">
        <v>11373.91</v>
      </c>
      <c r="AT41" s="162">
        <v>2373.83</v>
      </c>
      <c r="AU41" s="162">
        <v>15352.19</v>
      </c>
      <c r="AV41" s="162">
        <v>49357.22</v>
      </c>
      <c r="AW41" s="162">
        <v>7398.96</v>
      </c>
      <c r="AX41" s="162">
        <v>20309.509999999998</v>
      </c>
      <c r="AY41" s="162">
        <v>10143.09</v>
      </c>
      <c r="AZ41" s="162">
        <v>0</v>
      </c>
      <c r="BA41" s="162">
        <v>0</v>
      </c>
      <c r="BB41" s="162">
        <v>0</v>
      </c>
      <c r="BC41" s="162">
        <f t="shared" si="3"/>
        <v>915283.49999999988</v>
      </c>
      <c r="BD41" s="162">
        <f t="shared" si="4"/>
        <v>-18234.529999999912</v>
      </c>
      <c r="BE41" s="162">
        <v>-9120.82</v>
      </c>
      <c r="BF41" s="162">
        <f t="shared" si="5"/>
        <v>-27355.349999999911</v>
      </c>
      <c r="BG41" s="162">
        <v>0</v>
      </c>
      <c r="BH41" s="162">
        <v>0</v>
      </c>
      <c r="BI41" s="162">
        <f t="shared" si="6"/>
        <v>0</v>
      </c>
      <c r="BJ41" s="162">
        <v>0</v>
      </c>
      <c r="BK41" s="162">
        <v>0</v>
      </c>
      <c r="BL41" s="162">
        <f t="shared" si="7"/>
        <v>0</v>
      </c>
      <c r="BM41" s="162">
        <f t="shared" si="8"/>
        <v>0</v>
      </c>
      <c r="BN41" s="162">
        <v>0</v>
      </c>
      <c r="BO41" s="162">
        <f t="shared" si="9"/>
        <v>0</v>
      </c>
      <c r="BP41" s="162">
        <v>22817.02</v>
      </c>
      <c r="BQ41" s="162">
        <v>-50172.369999999908</v>
      </c>
      <c r="BR41" s="162">
        <v>0</v>
      </c>
      <c r="BS41" s="162">
        <f t="shared" si="10"/>
        <v>-27355.349999999908</v>
      </c>
      <c r="BT41" s="162">
        <v>5260</v>
      </c>
      <c r="BU41" s="162">
        <v>0</v>
      </c>
      <c r="BV41" s="162">
        <v>0</v>
      </c>
      <c r="BW41" s="162">
        <f t="shared" si="11"/>
        <v>5260</v>
      </c>
      <c r="BX41" s="162">
        <v>0</v>
      </c>
      <c r="BY41" s="162">
        <v>0</v>
      </c>
      <c r="BZ41" s="162">
        <v>0</v>
      </c>
      <c r="CA41" s="162">
        <v>0</v>
      </c>
      <c r="CB41" s="162">
        <f t="shared" si="12"/>
        <v>0</v>
      </c>
      <c r="CC41" s="162">
        <f t="shared" si="13"/>
        <v>5260</v>
      </c>
      <c r="CD41" s="162">
        <v>2526.02</v>
      </c>
      <c r="CE41" s="162">
        <f t="shared" si="14"/>
        <v>7786.02</v>
      </c>
    </row>
    <row r="42" spans="1:83" ht="15">
      <c r="A42" s="310">
        <v>2208</v>
      </c>
      <c r="B42" s="303" t="s">
        <v>342</v>
      </c>
      <c r="C42" s="75" t="s">
        <v>264</v>
      </c>
      <c r="D42" s="162">
        <v>1067867.3799999999</v>
      </c>
      <c r="E42" s="162">
        <v>0</v>
      </c>
      <c r="F42" s="162">
        <v>45124.83</v>
      </c>
      <c r="G42" s="162">
        <v>0</v>
      </c>
      <c r="H42" s="162">
        <v>56870</v>
      </c>
      <c r="I42" s="162">
        <v>1365</v>
      </c>
      <c r="J42" s="162">
        <v>0</v>
      </c>
      <c r="K42" s="162">
        <v>14966.07</v>
      </c>
      <c r="L42" s="162">
        <v>17584.060000000001</v>
      </c>
      <c r="M42" s="162">
        <v>26248.1</v>
      </c>
      <c r="N42" s="162">
        <v>1380</v>
      </c>
      <c r="O42" s="162">
        <v>742.1</v>
      </c>
      <c r="P42" s="162">
        <v>5857</v>
      </c>
      <c r="Q42" s="162">
        <v>7751.81</v>
      </c>
      <c r="R42" s="162">
        <v>0</v>
      </c>
      <c r="S42" s="162">
        <v>0</v>
      </c>
      <c r="T42" s="162">
        <v>0</v>
      </c>
      <c r="U42" s="162">
        <v>-76.25</v>
      </c>
      <c r="V42" s="162">
        <v>37274</v>
      </c>
      <c r="W42" s="162">
        <f t="shared" si="2"/>
        <v>1282954.1000000003</v>
      </c>
      <c r="X42" s="162">
        <v>592933.06999999995</v>
      </c>
      <c r="Y42" s="162">
        <v>5259.62</v>
      </c>
      <c r="Z42" s="162">
        <v>223427.41</v>
      </c>
      <c r="AA42" s="162">
        <v>34791.64</v>
      </c>
      <c r="AB42" s="162">
        <v>84271.94</v>
      </c>
      <c r="AC42" s="162">
        <v>0</v>
      </c>
      <c r="AD42" s="162">
        <v>35937.279999999999</v>
      </c>
      <c r="AE42" s="162">
        <v>3330.91</v>
      </c>
      <c r="AF42" s="162">
        <v>3371</v>
      </c>
      <c r="AG42" s="162">
        <v>5050</v>
      </c>
      <c r="AH42" s="162">
        <v>0</v>
      </c>
      <c r="AI42" s="162">
        <v>16968.16</v>
      </c>
      <c r="AJ42" s="162">
        <v>5924.16</v>
      </c>
      <c r="AK42" s="162">
        <v>30830.42</v>
      </c>
      <c r="AL42" s="162">
        <v>6458.7</v>
      </c>
      <c r="AM42" s="162">
        <v>31684.53</v>
      </c>
      <c r="AN42" s="162">
        <v>25199.5</v>
      </c>
      <c r="AO42" s="162">
        <v>2844.28</v>
      </c>
      <c r="AP42" s="162">
        <v>21950.37</v>
      </c>
      <c r="AQ42" s="162">
        <v>29849.439999999999</v>
      </c>
      <c r="AR42" s="162">
        <v>0</v>
      </c>
      <c r="AS42" s="162">
        <v>6867.82</v>
      </c>
      <c r="AT42" s="162">
        <v>4305.55</v>
      </c>
      <c r="AU42" s="162">
        <v>0</v>
      </c>
      <c r="AV42" s="162">
        <v>70249.710000000006</v>
      </c>
      <c r="AW42" s="162">
        <v>0</v>
      </c>
      <c r="AX42" s="162">
        <v>11999.15</v>
      </c>
      <c r="AY42" s="162">
        <v>17978.310000000001</v>
      </c>
      <c r="AZ42" s="162">
        <v>0</v>
      </c>
      <c r="BA42" s="162">
        <v>0</v>
      </c>
      <c r="BB42" s="162">
        <v>4983.22</v>
      </c>
      <c r="BC42" s="162">
        <f t="shared" si="3"/>
        <v>1276466.1900000002</v>
      </c>
      <c r="BD42" s="162">
        <f t="shared" si="4"/>
        <v>6487.910000000149</v>
      </c>
      <c r="BE42" s="162">
        <v>66615.59</v>
      </c>
      <c r="BF42" s="162">
        <f t="shared" si="5"/>
        <v>73103.500000000146</v>
      </c>
      <c r="BG42" s="162">
        <v>115692.01</v>
      </c>
      <c r="BH42" s="162">
        <v>10381.82</v>
      </c>
      <c r="BI42" s="162">
        <f t="shared" si="6"/>
        <v>126073.82999999999</v>
      </c>
      <c r="BJ42" s="162">
        <v>81271.039999999994</v>
      </c>
      <c r="BK42" s="162">
        <v>13973.13</v>
      </c>
      <c r="BL42" s="162">
        <f t="shared" si="7"/>
        <v>95244.17</v>
      </c>
      <c r="BM42" s="162">
        <f t="shared" si="8"/>
        <v>30829.659999999989</v>
      </c>
      <c r="BN42" s="162">
        <v>14248.77</v>
      </c>
      <c r="BO42" s="162">
        <f t="shared" si="9"/>
        <v>45078.429999999993</v>
      </c>
      <c r="BP42" s="162">
        <v>0</v>
      </c>
      <c r="BQ42" s="162">
        <v>68190.499999999913</v>
      </c>
      <c r="BR42" s="162">
        <v>49991.429999999978</v>
      </c>
      <c r="BS42" s="162">
        <f t="shared" si="10"/>
        <v>118181.92999999989</v>
      </c>
      <c r="BT42" s="162">
        <v>6504.25</v>
      </c>
      <c r="BU42" s="162">
        <v>0</v>
      </c>
      <c r="BV42" s="162">
        <v>0</v>
      </c>
      <c r="BW42" s="162">
        <f t="shared" si="11"/>
        <v>6504.25</v>
      </c>
      <c r="BX42" s="162">
        <v>0</v>
      </c>
      <c r="BY42" s="162">
        <v>4554.3900000000003</v>
      </c>
      <c r="BZ42" s="162">
        <v>0</v>
      </c>
      <c r="CA42" s="162">
        <v>0</v>
      </c>
      <c r="CB42" s="162">
        <f t="shared" si="12"/>
        <v>4554.3900000000003</v>
      </c>
      <c r="CC42" s="162">
        <f t="shared" si="13"/>
        <v>1949.8599999999997</v>
      </c>
      <c r="CD42" s="162">
        <v>12994.89</v>
      </c>
      <c r="CE42" s="162">
        <f t="shared" si="14"/>
        <v>14944.75</v>
      </c>
    </row>
    <row r="43" spans="1:83" ht="15">
      <c r="A43" s="310">
        <v>3065</v>
      </c>
      <c r="B43" s="303" t="s">
        <v>344</v>
      </c>
      <c r="C43" s="75" t="s">
        <v>264</v>
      </c>
      <c r="D43" s="162">
        <v>543480.64</v>
      </c>
      <c r="E43" s="162">
        <v>0</v>
      </c>
      <c r="F43" s="162">
        <v>46433.08</v>
      </c>
      <c r="G43" s="162">
        <v>0</v>
      </c>
      <c r="H43" s="162">
        <v>21420</v>
      </c>
      <c r="I43" s="162">
        <v>0</v>
      </c>
      <c r="J43" s="162">
        <v>0</v>
      </c>
      <c r="K43" s="162">
        <v>2542.5</v>
      </c>
      <c r="L43" s="162">
        <v>18335.37</v>
      </c>
      <c r="M43" s="162">
        <v>8075.24</v>
      </c>
      <c r="N43" s="162">
        <v>0</v>
      </c>
      <c r="O43" s="162">
        <v>0</v>
      </c>
      <c r="P43" s="162">
        <v>22747.35</v>
      </c>
      <c r="Q43" s="162">
        <v>7875.05</v>
      </c>
      <c r="R43" s="162">
        <v>0</v>
      </c>
      <c r="S43" s="162">
        <v>0</v>
      </c>
      <c r="T43" s="162">
        <v>0</v>
      </c>
      <c r="U43" s="162">
        <v>-11.87</v>
      </c>
      <c r="V43" s="162">
        <v>30287</v>
      </c>
      <c r="W43" s="162">
        <f t="shared" si="2"/>
        <v>701184.36</v>
      </c>
      <c r="X43" s="162">
        <v>342517.6</v>
      </c>
      <c r="Y43" s="162">
        <v>1427.58</v>
      </c>
      <c r="Z43" s="162">
        <v>131228.81</v>
      </c>
      <c r="AA43" s="162">
        <v>0</v>
      </c>
      <c r="AB43" s="162">
        <v>25171.919999999998</v>
      </c>
      <c r="AC43" s="162">
        <v>22231.05</v>
      </c>
      <c r="AD43" s="162">
        <v>36781.440000000002</v>
      </c>
      <c r="AE43" s="162">
        <v>2289.5</v>
      </c>
      <c r="AF43" s="162">
        <v>675</v>
      </c>
      <c r="AG43" s="162">
        <v>1071</v>
      </c>
      <c r="AH43" s="162">
        <v>0</v>
      </c>
      <c r="AI43" s="162">
        <v>5048.4399999999996</v>
      </c>
      <c r="AJ43" s="162">
        <v>3255</v>
      </c>
      <c r="AK43" s="162">
        <v>15367.88</v>
      </c>
      <c r="AL43" s="162">
        <v>3192.18</v>
      </c>
      <c r="AM43" s="162">
        <v>15691.78</v>
      </c>
      <c r="AN43" s="162">
        <v>14720.5</v>
      </c>
      <c r="AO43" s="162">
        <v>1016.55</v>
      </c>
      <c r="AP43" s="162">
        <v>31244.54</v>
      </c>
      <c r="AQ43" s="162">
        <v>14994.189999999999</v>
      </c>
      <c r="AR43" s="162">
        <v>0</v>
      </c>
      <c r="AS43" s="162">
        <v>4842.43</v>
      </c>
      <c r="AT43" s="162">
        <v>2035.27</v>
      </c>
      <c r="AU43" s="162">
        <v>7630.83</v>
      </c>
      <c r="AV43" s="162">
        <v>11183.55</v>
      </c>
      <c r="AW43" s="162">
        <v>0</v>
      </c>
      <c r="AX43" s="162">
        <v>4099.3500000000004</v>
      </c>
      <c r="AY43" s="162">
        <v>8640.5</v>
      </c>
      <c r="AZ43" s="162">
        <v>0</v>
      </c>
      <c r="BA43" s="162">
        <v>0</v>
      </c>
      <c r="BB43" s="162">
        <v>0</v>
      </c>
      <c r="BC43" s="162">
        <f t="shared" si="3"/>
        <v>706356.89</v>
      </c>
      <c r="BD43" s="162">
        <f t="shared" si="4"/>
        <v>-5172.5300000000279</v>
      </c>
      <c r="BE43" s="162">
        <v>158.81</v>
      </c>
      <c r="BF43" s="162">
        <f t="shared" si="5"/>
        <v>-5013.7200000000275</v>
      </c>
      <c r="BG43" s="162">
        <v>0</v>
      </c>
      <c r="BH43" s="162">
        <v>0</v>
      </c>
      <c r="BI43" s="162">
        <f t="shared" si="6"/>
        <v>0</v>
      </c>
      <c r="BJ43" s="162">
        <v>0</v>
      </c>
      <c r="BK43" s="162">
        <v>0</v>
      </c>
      <c r="BL43" s="162">
        <f t="shared" si="7"/>
        <v>0</v>
      </c>
      <c r="BM43" s="162">
        <f t="shared" si="8"/>
        <v>0</v>
      </c>
      <c r="BN43" s="162">
        <v>0</v>
      </c>
      <c r="BO43" s="162">
        <f t="shared" si="9"/>
        <v>0</v>
      </c>
      <c r="BP43" s="162">
        <v>0</v>
      </c>
      <c r="BQ43" s="162">
        <v>-5013.720000000144</v>
      </c>
      <c r="BR43" s="162">
        <v>0</v>
      </c>
      <c r="BS43" s="162">
        <f t="shared" si="10"/>
        <v>-5013.720000000144</v>
      </c>
      <c r="BT43" s="162">
        <v>5057.5</v>
      </c>
      <c r="BU43" s="162">
        <v>0</v>
      </c>
      <c r="BV43" s="162">
        <v>0</v>
      </c>
      <c r="BW43" s="162">
        <f t="shared" si="11"/>
        <v>5057.5</v>
      </c>
      <c r="BX43" s="162">
        <v>0</v>
      </c>
      <c r="BY43" s="162">
        <v>3759.2</v>
      </c>
      <c r="BZ43" s="162">
        <v>0</v>
      </c>
      <c r="CA43" s="162">
        <v>1299.24</v>
      </c>
      <c r="CB43" s="162">
        <f t="shared" si="12"/>
        <v>5058.4399999999996</v>
      </c>
      <c r="CC43" s="162">
        <f t="shared" si="13"/>
        <v>-0.93999999999959982</v>
      </c>
      <c r="CD43" s="162">
        <v>0.94</v>
      </c>
      <c r="CE43" s="162">
        <f t="shared" si="14"/>
        <v>4.0012437807490642E-13</v>
      </c>
    </row>
    <row r="44" spans="1:83" ht="15">
      <c r="A44" s="310">
        <v>3014</v>
      </c>
      <c r="B44" s="303" t="s">
        <v>346</v>
      </c>
      <c r="C44" s="75" t="s">
        <v>264</v>
      </c>
      <c r="D44" s="162">
        <v>2097343.65</v>
      </c>
      <c r="E44" s="162">
        <v>0</v>
      </c>
      <c r="F44" s="162">
        <v>96270.52</v>
      </c>
      <c r="G44" s="162">
        <v>0</v>
      </c>
      <c r="H44" s="162">
        <v>109560</v>
      </c>
      <c r="I44" s="162">
        <v>110</v>
      </c>
      <c r="J44" s="162">
        <v>0</v>
      </c>
      <c r="K44" s="162">
        <v>760</v>
      </c>
      <c r="L44" s="162">
        <v>119099.3</v>
      </c>
      <c r="M44" s="162">
        <v>36197.480000000003</v>
      </c>
      <c r="N44" s="162">
        <v>11004</v>
      </c>
      <c r="O44" s="162">
        <v>3060</v>
      </c>
      <c r="P44" s="162">
        <v>42673.41</v>
      </c>
      <c r="Q44" s="162">
        <v>23867.13</v>
      </c>
      <c r="R44" s="162">
        <v>0</v>
      </c>
      <c r="S44" s="162">
        <v>0</v>
      </c>
      <c r="T44" s="162">
        <v>0</v>
      </c>
      <c r="U44" s="162">
        <v>3778.13</v>
      </c>
      <c r="V44" s="162">
        <v>88566</v>
      </c>
      <c r="W44" s="162">
        <f t="shared" si="2"/>
        <v>2632289.6199999996</v>
      </c>
      <c r="X44" s="162">
        <v>1453104.44</v>
      </c>
      <c r="Y44" s="162">
        <v>0</v>
      </c>
      <c r="Z44" s="162">
        <v>535154.07999999996</v>
      </c>
      <c r="AA44" s="162">
        <v>21376.79</v>
      </c>
      <c r="AB44" s="162">
        <v>90496.02</v>
      </c>
      <c r="AC44" s="162">
        <v>0</v>
      </c>
      <c r="AD44" s="162">
        <v>93865.43</v>
      </c>
      <c r="AE44" s="162">
        <v>9243.74</v>
      </c>
      <c r="AF44" s="162">
        <v>8875.2999999999993</v>
      </c>
      <c r="AG44" s="162">
        <v>12530.21</v>
      </c>
      <c r="AH44" s="162">
        <v>0</v>
      </c>
      <c r="AI44" s="162">
        <v>37181.26</v>
      </c>
      <c r="AJ44" s="162">
        <v>139.97999999999999</v>
      </c>
      <c r="AK44" s="162">
        <v>57585.760000000002</v>
      </c>
      <c r="AL44" s="162">
        <v>6082.3</v>
      </c>
      <c r="AM44" s="162">
        <v>55357.04</v>
      </c>
      <c r="AN44" s="162">
        <v>65520</v>
      </c>
      <c r="AO44" s="162">
        <v>23307.41</v>
      </c>
      <c r="AP44" s="162">
        <v>106196.75</v>
      </c>
      <c r="AQ44" s="162">
        <v>29740.239999999998</v>
      </c>
      <c r="AR44" s="162">
        <v>0</v>
      </c>
      <c r="AS44" s="162">
        <v>14739.69</v>
      </c>
      <c r="AT44" s="162">
        <v>8239.1200000000008</v>
      </c>
      <c r="AU44" s="162">
        <v>0</v>
      </c>
      <c r="AV44" s="162">
        <v>124850.33</v>
      </c>
      <c r="AW44" s="162">
        <v>15647.88</v>
      </c>
      <c r="AX44" s="162">
        <v>603</v>
      </c>
      <c r="AY44" s="162">
        <v>13941.65</v>
      </c>
      <c r="AZ44" s="162">
        <v>0</v>
      </c>
      <c r="BA44" s="162">
        <v>0</v>
      </c>
      <c r="BB44" s="162">
        <v>0</v>
      </c>
      <c r="BC44" s="162">
        <f t="shared" si="3"/>
        <v>2783778.42</v>
      </c>
      <c r="BD44" s="162">
        <f t="shared" si="4"/>
        <v>-151488.80000000028</v>
      </c>
      <c r="BE44" s="162">
        <v>337408.26</v>
      </c>
      <c r="BF44" s="162">
        <f t="shared" si="5"/>
        <v>185919.45999999973</v>
      </c>
      <c r="BG44" s="162">
        <v>0</v>
      </c>
      <c r="BH44" s="162">
        <v>0</v>
      </c>
      <c r="BI44" s="162">
        <f t="shared" si="6"/>
        <v>0</v>
      </c>
      <c r="BJ44" s="162">
        <v>0</v>
      </c>
      <c r="BK44" s="162">
        <v>0</v>
      </c>
      <c r="BL44" s="162">
        <f t="shared" si="7"/>
        <v>0</v>
      </c>
      <c r="BM44" s="162">
        <f t="shared" si="8"/>
        <v>0</v>
      </c>
      <c r="BN44" s="162">
        <v>0</v>
      </c>
      <c r="BO44" s="162">
        <f t="shared" si="9"/>
        <v>0</v>
      </c>
      <c r="BP44" s="162">
        <v>8119.7</v>
      </c>
      <c r="BQ44" s="162">
        <v>177799.75999999972</v>
      </c>
      <c r="BR44" s="162">
        <v>0</v>
      </c>
      <c r="BS44" s="162">
        <f t="shared" si="10"/>
        <v>185919.45999999973</v>
      </c>
      <c r="BT44" s="162">
        <v>8702.5</v>
      </c>
      <c r="BU44" s="162">
        <v>0</v>
      </c>
      <c r="BV44" s="162">
        <v>0</v>
      </c>
      <c r="BW44" s="162">
        <f t="shared" si="11"/>
        <v>8702.5</v>
      </c>
      <c r="BX44" s="162">
        <v>0</v>
      </c>
      <c r="BY44" s="162">
        <v>0</v>
      </c>
      <c r="BZ44" s="162">
        <v>0</v>
      </c>
      <c r="CA44" s="162">
        <v>12781.85</v>
      </c>
      <c r="CB44" s="162">
        <f t="shared" si="12"/>
        <v>12781.85</v>
      </c>
      <c r="CC44" s="162">
        <f t="shared" si="13"/>
        <v>-4079.3500000000004</v>
      </c>
      <c r="CD44" s="162">
        <v>16460.03</v>
      </c>
      <c r="CE44" s="162">
        <f t="shared" si="14"/>
        <v>12380.679999999998</v>
      </c>
    </row>
    <row r="45" spans="1:83" ht="15">
      <c r="A45" s="310">
        <v>2321</v>
      </c>
      <c r="B45" s="303" t="s">
        <v>348</v>
      </c>
      <c r="C45" s="75" t="s">
        <v>264</v>
      </c>
      <c r="D45" s="162">
        <v>2262585.88</v>
      </c>
      <c r="E45" s="162">
        <v>0</v>
      </c>
      <c r="F45" s="162">
        <v>238043.65</v>
      </c>
      <c r="G45" s="162">
        <v>0</v>
      </c>
      <c r="H45" s="162">
        <v>146440</v>
      </c>
      <c r="I45" s="162">
        <v>4456.93</v>
      </c>
      <c r="J45" s="162">
        <v>579</v>
      </c>
      <c r="K45" s="162">
        <v>0</v>
      </c>
      <c r="L45" s="162">
        <v>30584.240000000002</v>
      </c>
      <c r="M45" s="162">
        <v>32352.14</v>
      </c>
      <c r="N45" s="162">
        <v>7951.32</v>
      </c>
      <c r="O45" s="162">
        <v>5154</v>
      </c>
      <c r="P45" s="162">
        <v>38651.599999999999</v>
      </c>
      <c r="Q45" s="162">
        <v>5113.8599999999997</v>
      </c>
      <c r="R45" s="162">
        <v>0</v>
      </c>
      <c r="S45" s="162">
        <v>0</v>
      </c>
      <c r="T45" s="162">
        <v>0</v>
      </c>
      <c r="U45" s="162">
        <v>5915.63</v>
      </c>
      <c r="V45" s="162">
        <v>88110</v>
      </c>
      <c r="W45" s="162">
        <f t="shared" si="2"/>
        <v>2865938.25</v>
      </c>
      <c r="X45" s="162">
        <v>1232281.3700000001</v>
      </c>
      <c r="Y45" s="162">
        <v>21171.5</v>
      </c>
      <c r="Z45" s="162">
        <v>731115.37</v>
      </c>
      <c r="AA45" s="162">
        <v>39031.660000000003</v>
      </c>
      <c r="AB45" s="162">
        <v>164335.38</v>
      </c>
      <c r="AC45" s="162">
        <v>86903.02</v>
      </c>
      <c r="AD45" s="162">
        <v>35280.07</v>
      </c>
      <c r="AE45" s="162">
        <v>11736.44</v>
      </c>
      <c r="AF45" s="162">
        <v>11369.66</v>
      </c>
      <c r="AG45" s="162">
        <v>0</v>
      </c>
      <c r="AH45" s="162">
        <v>3120</v>
      </c>
      <c r="AI45" s="162">
        <v>24392.5</v>
      </c>
      <c r="AJ45" s="162">
        <v>3709.91</v>
      </c>
      <c r="AK45" s="162">
        <v>49808.63</v>
      </c>
      <c r="AL45" s="162">
        <v>13284.81</v>
      </c>
      <c r="AM45" s="162">
        <v>57832.14</v>
      </c>
      <c r="AN45" s="162">
        <v>70258.75</v>
      </c>
      <c r="AO45" s="162">
        <v>11487.31</v>
      </c>
      <c r="AP45" s="162">
        <v>113533.95</v>
      </c>
      <c r="AQ45" s="162">
        <v>52629.63</v>
      </c>
      <c r="AR45" s="162">
        <v>0</v>
      </c>
      <c r="AS45" s="162">
        <v>10541.9</v>
      </c>
      <c r="AT45" s="162">
        <v>8462.4500000000007</v>
      </c>
      <c r="AU45" s="162">
        <v>0</v>
      </c>
      <c r="AV45" s="162">
        <v>47581.25</v>
      </c>
      <c r="AW45" s="162">
        <v>18092.43</v>
      </c>
      <c r="AX45" s="162">
        <v>1800</v>
      </c>
      <c r="AY45" s="162">
        <v>12207.97</v>
      </c>
      <c r="AZ45" s="162">
        <v>0</v>
      </c>
      <c r="BA45" s="162">
        <v>0</v>
      </c>
      <c r="BB45" s="162">
        <v>0</v>
      </c>
      <c r="BC45" s="162">
        <f t="shared" si="3"/>
        <v>2831968.100000001</v>
      </c>
      <c r="BD45" s="162">
        <f t="shared" si="4"/>
        <v>33970.149999998976</v>
      </c>
      <c r="BE45" s="162">
        <v>241330.11</v>
      </c>
      <c r="BF45" s="162">
        <f t="shared" si="5"/>
        <v>275300.25999999896</v>
      </c>
      <c r="BG45" s="162">
        <v>0</v>
      </c>
      <c r="BH45" s="162">
        <v>24479.23</v>
      </c>
      <c r="BI45" s="162">
        <f t="shared" si="6"/>
        <v>24479.23</v>
      </c>
      <c r="BJ45" s="162">
        <v>4336</v>
      </c>
      <c r="BK45" s="162">
        <v>21086.46</v>
      </c>
      <c r="BL45" s="162">
        <f t="shared" si="7"/>
        <v>25422.46</v>
      </c>
      <c r="BM45" s="162">
        <f t="shared" si="8"/>
        <v>-943.22999999999956</v>
      </c>
      <c r="BN45" s="162">
        <v>2796.43</v>
      </c>
      <c r="BO45" s="162">
        <f t="shared" si="9"/>
        <v>1853.2000000000003</v>
      </c>
      <c r="BP45" s="162">
        <v>2884.81</v>
      </c>
      <c r="BQ45" s="162">
        <v>272415.44999999896</v>
      </c>
      <c r="BR45" s="162">
        <v>1853.2000000000003</v>
      </c>
      <c r="BS45" s="162">
        <f t="shared" si="10"/>
        <v>277153.45999999897</v>
      </c>
      <c r="BT45" s="162">
        <v>9040</v>
      </c>
      <c r="BU45" s="162">
        <v>0</v>
      </c>
      <c r="BV45" s="162">
        <v>0</v>
      </c>
      <c r="BW45" s="162">
        <f t="shared" si="11"/>
        <v>9040</v>
      </c>
      <c r="BX45" s="162">
        <v>0</v>
      </c>
      <c r="BY45" s="162">
        <v>25823.88</v>
      </c>
      <c r="BZ45" s="162">
        <v>0</v>
      </c>
      <c r="CA45" s="162">
        <v>0</v>
      </c>
      <c r="CB45" s="162">
        <f t="shared" si="12"/>
        <v>25823.88</v>
      </c>
      <c r="CC45" s="162">
        <f t="shared" si="13"/>
        <v>-16783.88</v>
      </c>
      <c r="CD45" s="162">
        <v>20741.34</v>
      </c>
      <c r="CE45" s="162">
        <f t="shared" si="14"/>
        <v>3957.4599999999991</v>
      </c>
    </row>
    <row r="46" spans="1:83" ht="15">
      <c r="A46" s="310">
        <v>2011</v>
      </c>
      <c r="B46" s="303" t="s">
        <v>350</v>
      </c>
      <c r="C46" s="75" t="s">
        <v>264</v>
      </c>
      <c r="D46" s="162">
        <v>544367.81999999995</v>
      </c>
      <c r="E46" s="162">
        <v>0</v>
      </c>
      <c r="F46" s="162">
        <v>20465.41</v>
      </c>
      <c r="G46" s="162">
        <v>0</v>
      </c>
      <c r="H46" s="162">
        <v>19890</v>
      </c>
      <c r="I46" s="162">
        <v>0</v>
      </c>
      <c r="J46" s="162">
        <v>0</v>
      </c>
      <c r="K46" s="162">
        <v>4999.92</v>
      </c>
      <c r="L46" s="162">
        <v>632</v>
      </c>
      <c r="M46" s="162">
        <v>9990.69</v>
      </c>
      <c r="N46" s="162">
        <v>0</v>
      </c>
      <c r="O46" s="162">
        <v>0</v>
      </c>
      <c r="P46" s="162">
        <v>4135.05</v>
      </c>
      <c r="Q46" s="162">
        <v>203.72</v>
      </c>
      <c r="R46" s="162">
        <v>0</v>
      </c>
      <c r="S46" s="162">
        <v>0</v>
      </c>
      <c r="T46" s="162">
        <v>0</v>
      </c>
      <c r="U46" s="162">
        <v>27.5</v>
      </c>
      <c r="V46" s="162">
        <v>28398</v>
      </c>
      <c r="W46" s="162">
        <f t="shared" si="2"/>
        <v>633110.11</v>
      </c>
      <c r="X46" s="162">
        <v>279928</v>
      </c>
      <c r="Y46" s="162">
        <v>0</v>
      </c>
      <c r="Z46" s="162">
        <v>78087.12</v>
      </c>
      <c r="AA46" s="162">
        <v>4358.5200000000004</v>
      </c>
      <c r="AB46" s="162">
        <v>50995.54</v>
      </c>
      <c r="AC46" s="162">
        <v>0</v>
      </c>
      <c r="AD46" s="162">
        <v>14137.08</v>
      </c>
      <c r="AE46" s="162">
        <v>8336.2000000000007</v>
      </c>
      <c r="AF46" s="162">
        <v>3660</v>
      </c>
      <c r="AG46" s="162">
        <v>0</v>
      </c>
      <c r="AH46" s="162">
        <v>0</v>
      </c>
      <c r="AI46" s="162">
        <v>4844.6400000000003</v>
      </c>
      <c r="AJ46" s="162">
        <v>2280.13</v>
      </c>
      <c r="AK46" s="162">
        <v>15152.47</v>
      </c>
      <c r="AL46" s="162">
        <v>1805.44</v>
      </c>
      <c r="AM46" s="162">
        <v>16561.34</v>
      </c>
      <c r="AN46" s="162">
        <v>15344.25</v>
      </c>
      <c r="AO46" s="162">
        <v>8298.58</v>
      </c>
      <c r="AP46" s="162">
        <v>24309.58</v>
      </c>
      <c r="AQ46" s="162">
        <v>17364.339999999997</v>
      </c>
      <c r="AR46" s="162">
        <v>0</v>
      </c>
      <c r="AS46" s="162">
        <v>2705.22</v>
      </c>
      <c r="AT46" s="162">
        <v>2091.6999999999998</v>
      </c>
      <c r="AU46" s="162">
        <v>2728.5</v>
      </c>
      <c r="AV46" s="162">
        <v>26888.240000000002</v>
      </c>
      <c r="AW46" s="162">
        <v>34693.24</v>
      </c>
      <c r="AX46" s="162">
        <v>12472.39</v>
      </c>
      <c r="AY46" s="162">
        <v>13220.96</v>
      </c>
      <c r="AZ46" s="162">
        <v>0</v>
      </c>
      <c r="BA46" s="162">
        <v>0</v>
      </c>
      <c r="BB46" s="162">
        <v>0</v>
      </c>
      <c r="BC46" s="162">
        <f t="shared" si="3"/>
        <v>640263.47999999986</v>
      </c>
      <c r="BD46" s="162">
        <f t="shared" si="4"/>
        <v>-7153.3699999998789</v>
      </c>
      <c r="BE46" s="162">
        <v>36706.480000000003</v>
      </c>
      <c r="BF46" s="162">
        <f t="shared" si="5"/>
        <v>29553.110000000124</v>
      </c>
      <c r="BG46" s="162">
        <v>0</v>
      </c>
      <c r="BH46" s="162">
        <v>0</v>
      </c>
      <c r="BI46" s="162">
        <f t="shared" si="6"/>
        <v>0</v>
      </c>
      <c r="BJ46" s="162">
        <v>0</v>
      </c>
      <c r="BK46" s="162">
        <v>0</v>
      </c>
      <c r="BL46" s="162">
        <f t="shared" si="7"/>
        <v>0</v>
      </c>
      <c r="BM46" s="162">
        <f t="shared" si="8"/>
        <v>0</v>
      </c>
      <c r="BN46" s="162">
        <v>0</v>
      </c>
      <c r="BO46" s="162">
        <f t="shared" si="9"/>
        <v>0</v>
      </c>
      <c r="BP46" s="162">
        <v>19752.730000000003</v>
      </c>
      <c r="BQ46" s="162">
        <v>9800.3800000000047</v>
      </c>
      <c r="BR46" s="162">
        <v>0</v>
      </c>
      <c r="BS46" s="162">
        <f t="shared" si="10"/>
        <v>29553.110000000008</v>
      </c>
      <c r="BT46" s="162">
        <v>5012.5</v>
      </c>
      <c r="BU46" s="162">
        <v>0</v>
      </c>
      <c r="BV46" s="162">
        <v>0</v>
      </c>
      <c r="BW46" s="162">
        <f t="shared" si="11"/>
        <v>5012.5</v>
      </c>
      <c r="BX46" s="162">
        <v>0</v>
      </c>
      <c r="BY46" s="162">
        <v>6982.45</v>
      </c>
      <c r="BZ46" s="162">
        <v>0</v>
      </c>
      <c r="CA46" s="162">
        <v>0</v>
      </c>
      <c r="CB46" s="162">
        <f t="shared" si="12"/>
        <v>6982.45</v>
      </c>
      <c r="CC46" s="162">
        <f t="shared" si="13"/>
        <v>-1969.9499999999998</v>
      </c>
      <c r="CD46" s="162">
        <v>8096.92</v>
      </c>
      <c r="CE46" s="162">
        <f t="shared" si="14"/>
        <v>6126.97</v>
      </c>
    </row>
    <row r="47" spans="1:83" ht="15">
      <c r="A47" s="310">
        <v>2012</v>
      </c>
      <c r="B47" s="303" t="s">
        <v>352</v>
      </c>
      <c r="C47" s="75" t="s">
        <v>264</v>
      </c>
      <c r="D47" s="162">
        <v>641356.38</v>
      </c>
      <c r="E47" s="162">
        <v>0</v>
      </c>
      <c r="F47" s="162">
        <v>25177.95</v>
      </c>
      <c r="G47" s="162">
        <v>0</v>
      </c>
      <c r="H47" s="162">
        <v>36714.92</v>
      </c>
      <c r="I47" s="162">
        <v>551</v>
      </c>
      <c r="J47" s="162">
        <v>0</v>
      </c>
      <c r="K47" s="162">
        <v>0</v>
      </c>
      <c r="L47" s="162">
        <v>3654.11</v>
      </c>
      <c r="M47" s="162">
        <v>10672.29</v>
      </c>
      <c r="N47" s="162">
        <v>0</v>
      </c>
      <c r="O47" s="162">
        <v>0</v>
      </c>
      <c r="P47" s="162">
        <v>13230.84</v>
      </c>
      <c r="Q47" s="162">
        <v>1370</v>
      </c>
      <c r="R47" s="162">
        <v>0</v>
      </c>
      <c r="S47" s="162">
        <v>0</v>
      </c>
      <c r="T47" s="162">
        <v>0</v>
      </c>
      <c r="U47" s="162">
        <v>-147.5</v>
      </c>
      <c r="V47" s="162">
        <v>22396</v>
      </c>
      <c r="W47" s="162">
        <f t="shared" si="2"/>
        <v>754975.99</v>
      </c>
      <c r="X47" s="162">
        <v>322776.55</v>
      </c>
      <c r="Y47" s="162">
        <v>916.94</v>
      </c>
      <c r="Z47" s="162">
        <v>129441.45</v>
      </c>
      <c r="AA47" s="162">
        <v>17430.54</v>
      </c>
      <c r="AB47" s="162">
        <v>43962.559999999998</v>
      </c>
      <c r="AC47" s="162">
        <v>0</v>
      </c>
      <c r="AD47" s="162">
        <v>2202.9899999999998</v>
      </c>
      <c r="AE47" s="162">
        <v>2448.9299999999998</v>
      </c>
      <c r="AF47" s="162">
        <v>1423</v>
      </c>
      <c r="AG47" s="162">
        <v>2125</v>
      </c>
      <c r="AH47" s="162">
        <v>100</v>
      </c>
      <c r="AI47" s="162">
        <v>1589.77</v>
      </c>
      <c r="AJ47" s="162">
        <v>1991.5</v>
      </c>
      <c r="AK47" s="162">
        <v>1170.9000000000001</v>
      </c>
      <c r="AL47" s="162">
        <v>980.5</v>
      </c>
      <c r="AM47" s="162">
        <v>20131.259999999998</v>
      </c>
      <c r="AN47" s="162">
        <v>20209.5</v>
      </c>
      <c r="AO47" s="162">
        <v>36491.019999999997</v>
      </c>
      <c r="AP47" s="162">
        <v>23314.2</v>
      </c>
      <c r="AQ47" s="162">
        <v>16337.550000000001</v>
      </c>
      <c r="AR47" s="162">
        <v>0</v>
      </c>
      <c r="AS47" s="162">
        <v>3843.83</v>
      </c>
      <c r="AT47" s="162">
        <v>1941.86</v>
      </c>
      <c r="AU47" s="162">
        <v>75</v>
      </c>
      <c r="AV47" s="162">
        <v>26334.95</v>
      </c>
      <c r="AW47" s="162">
        <v>6393.94</v>
      </c>
      <c r="AX47" s="162">
        <v>18907.060000000001</v>
      </c>
      <c r="AY47" s="162">
        <v>18051.849999999999</v>
      </c>
      <c r="AZ47" s="162">
        <v>0</v>
      </c>
      <c r="BA47" s="162">
        <v>0</v>
      </c>
      <c r="BB47" s="162">
        <v>0</v>
      </c>
      <c r="BC47" s="162">
        <f t="shared" si="3"/>
        <v>720592.64999999991</v>
      </c>
      <c r="BD47" s="162">
        <f t="shared" si="4"/>
        <v>34383.340000000084</v>
      </c>
      <c r="BE47" s="162">
        <v>129149.02</v>
      </c>
      <c r="BF47" s="162">
        <f t="shared" si="5"/>
        <v>163532.3600000001</v>
      </c>
      <c r="BG47" s="162">
        <v>0</v>
      </c>
      <c r="BH47" s="162">
        <v>0</v>
      </c>
      <c r="BI47" s="162">
        <f t="shared" si="6"/>
        <v>0</v>
      </c>
      <c r="BJ47" s="162">
        <v>0</v>
      </c>
      <c r="BK47" s="162">
        <v>0</v>
      </c>
      <c r="BL47" s="162">
        <f t="shared" si="7"/>
        <v>0</v>
      </c>
      <c r="BM47" s="162">
        <f t="shared" si="8"/>
        <v>0</v>
      </c>
      <c r="BN47" s="162">
        <v>0</v>
      </c>
      <c r="BO47" s="162">
        <f t="shared" si="9"/>
        <v>0</v>
      </c>
      <c r="BP47" s="162">
        <v>25548.91</v>
      </c>
      <c r="BQ47" s="162">
        <v>137983.4500000001</v>
      </c>
      <c r="BR47" s="162">
        <v>0</v>
      </c>
      <c r="BS47" s="162">
        <f t="shared" si="10"/>
        <v>163532.3600000001</v>
      </c>
      <c r="BT47" s="162">
        <v>5023.75</v>
      </c>
      <c r="BU47" s="162">
        <v>0</v>
      </c>
      <c r="BV47" s="162">
        <v>0</v>
      </c>
      <c r="BW47" s="162">
        <f t="shared" si="11"/>
        <v>5023.75</v>
      </c>
      <c r="BX47" s="162">
        <v>0</v>
      </c>
      <c r="BY47" s="162">
        <v>0</v>
      </c>
      <c r="BZ47" s="162">
        <v>0</v>
      </c>
      <c r="CA47" s="162">
        <v>0</v>
      </c>
      <c r="CB47" s="162">
        <f t="shared" si="12"/>
        <v>0</v>
      </c>
      <c r="CC47" s="162">
        <f t="shared" si="13"/>
        <v>5023.75</v>
      </c>
      <c r="CD47" s="162">
        <v>12821.94</v>
      </c>
      <c r="CE47" s="162">
        <f t="shared" si="14"/>
        <v>17845.690000000002</v>
      </c>
    </row>
    <row r="48" spans="1:83" ht="15">
      <c r="A48" s="310">
        <v>2068</v>
      </c>
      <c r="B48" s="303" t="s">
        <v>354</v>
      </c>
      <c r="C48" s="75" t="s">
        <v>264</v>
      </c>
      <c r="D48" s="162">
        <v>573589.54</v>
      </c>
      <c r="E48" s="162">
        <v>0</v>
      </c>
      <c r="F48" s="162">
        <v>50368.800000000003</v>
      </c>
      <c r="G48" s="162">
        <v>0</v>
      </c>
      <c r="H48" s="162">
        <v>40332</v>
      </c>
      <c r="I48" s="162">
        <v>0</v>
      </c>
      <c r="J48" s="162">
        <v>0</v>
      </c>
      <c r="K48" s="162">
        <v>6853</v>
      </c>
      <c r="L48" s="162">
        <v>35312.35</v>
      </c>
      <c r="M48" s="162">
        <v>3605.42</v>
      </c>
      <c r="N48" s="162">
        <v>15870</v>
      </c>
      <c r="O48" s="162">
        <v>133.94999999999999</v>
      </c>
      <c r="P48" s="162">
        <v>5254</v>
      </c>
      <c r="Q48" s="162">
        <v>152.75</v>
      </c>
      <c r="R48" s="162">
        <v>0</v>
      </c>
      <c r="S48" s="162">
        <v>0</v>
      </c>
      <c r="T48" s="162">
        <v>0</v>
      </c>
      <c r="U48" s="162">
        <v>-314.37</v>
      </c>
      <c r="V48" s="162">
        <v>26389</v>
      </c>
      <c r="W48" s="162">
        <f t="shared" si="2"/>
        <v>757546.44000000006</v>
      </c>
      <c r="X48" s="162">
        <v>286012.39</v>
      </c>
      <c r="Y48" s="162">
        <v>48619.08</v>
      </c>
      <c r="Z48" s="162">
        <v>206407.25</v>
      </c>
      <c r="AA48" s="162">
        <v>33098.07</v>
      </c>
      <c r="AB48" s="162">
        <v>54128.27</v>
      </c>
      <c r="AC48" s="162">
        <v>0</v>
      </c>
      <c r="AD48" s="162">
        <v>5936.45</v>
      </c>
      <c r="AE48" s="162">
        <v>2962.7</v>
      </c>
      <c r="AF48" s="162">
        <v>2472</v>
      </c>
      <c r="AG48" s="162">
        <v>2075</v>
      </c>
      <c r="AH48" s="162">
        <v>285</v>
      </c>
      <c r="AI48" s="162">
        <v>10038.32</v>
      </c>
      <c r="AJ48" s="162">
        <v>1368.44</v>
      </c>
      <c r="AK48" s="162">
        <v>3211.81</v>
      </c>
      <c r="AL48" s="162">
        <v>813</v>
      </c>
      <c r="AM48" s="162">
        <v>19650.52</v>
      </c>
      <c r="AN48" s="162">
        <v>12100.75</v>
      </c>
      <c r="AO48" s="162">
        <v>9053.43</v>
      </c>
      <c r="AP48" s="162">
        <v>56505.41</v>
      </c>
      <c r="AQ48" s="162">
        <v>23102.48</v>
      </c>
      <c r="AR48" s="162">
        <v>0</v>
      </c>
      <c r="AS48" s="162">
        <v>6328.72</v>
      </c>
      <c r="AT48" s="162">
        <v>3387.89</v>
      </c>
      <c r="AU48" s="162">
        <v>3158.54</v>
      </c>
      <c r="AV48" s="162">
        <v>34370.68</v>
      </c>
      <c r="AW48" s="162">
        <v>0</v>
      </c>
      <c r="AX48" s="162">
        <v>26992.65</v>
      </c>
      <c r="AY48" s="162">
        <v>15324.49</v>
      </c>
      <c r="AZ48" s="162">
        <v>0</v>
      </c>
      <c r="BA48" s="162">
        <v>0</v>
      </c>
      <c r="BB48" s="162">
        <v>0</v>
      </c>
      <c r="BC48" s="162">
        <f t="shared" si="3"/>
        <v>867403.34</v>
      </c>
      <c r="BD48" s="162">
        <f t="shared" si="4"/>
        <v>-109856.89999999991</v>
      </c>
      <c r="BE48" s="162">
        <v>50880.26</v>
      </c>
      <c r="BF48" s="162">
        <f t="shared" si="5"/>
        <v>-58976.639999999905</v>
      </c>
      <c r="BG48" s="162">
        <v>0</v>
      </c>
      <c r="BH48" s="162">
        <v>0</v>
      </c>
      <c r="BI48" s="162">
        <f t="shared" si="6"/>
        <v>0</v>
      </c>
      <c r="BJ48" s="162">
        <v>0</v>
      </c>
      <c r="BK48" s="162">
        <v>0</v>
      </c>
      <c r="BL48" s="162">
        <f t="shared" si="7"/>
        <v>0</v>
      </c>
      <c r="BM48" s="162">
        <f t="shared" si="8"/>
        <v>0</v>
      </c>
      <c r="BN48" s="162">
        <v>0</v>
      </c>
      <c r="BO48" s="162">
        <f t="shared" si="9"/>
        <v>0</v>
      </c>
      <c r="BP48" s="162">
        <v>0</v>
      </c>
      <c r="BQ48" s="162">
        <v>-58976.639999999905</v>
      </c>
      <c r="BR48" s="162">
        <v>0</v>
      </c>
      <c r="BS48" s="162">
        <f t="shared" si="10"/>
        <v>-58976.639999999905</v>
      </c>
      <c r="BT48" s="162">
        <v>5001.25</v>
      </c>
      <c r="BU48" s="162">
        <v>0</v>
      </c>
      <c r="BV48" s="162">
        <v>0</v>
      </c>
      <c r="BW48" s="162">
        <f t="shared" si="11"/>
        <v>5001.25</v>
      </c>
      <c r="BX48" s="162">
        <v>0</v>
      </c>
      <c r="BY48" s="162">
        <v>12128.55</v>
      </c>
      <c r="BZ48" s="162">
        <v>0</v>
      </c>
      <c r="CA48" s="162">
        <v>3139.71</v>
      </c>
      <c r="CB48" s="162">
        <f t="shared" si="12"/>
        <v>15268.259999999998</v>
      </c>
      <c r="CC48" s="162">
        <f t="shared" si="13"/>
        <v>-10267.009999999998</v>
      </c>
      <c r="CD48" s="162">
        <v>12899.11</v>
      </c>
      <c r="CE48" s="162">
        <f t="shared" si="14"/>
        <v>2632.1000000000022</v>
      </c>
    </row>
    <row r="49" spans="1:83" ht="15">
      <c r="A49" s="310">
        <v>2328</v>
      </c>
      <c r="B49" s="303" t="s">
        <v>356</v>
      </c>
      <c r="C49" s="75" t="s">
        <v>264</v>
      </c>
      <c r="D49" s="162">
        <v>1370475.64</v>
      </c>
      <c r="E49" s="162">
        <v>0</v>
      </c>
      <c r="F49" s="162">
        <v>102175.36</v>
      </c>
      <c r="G49" s="162">
        <v>0</v>
      </c>
      <c r="H49" s="162">
        <v>56965</v>
      </c>
      <c r="I49" s="162">
        <v>5876.93</v>
      </c>
      <c r="J49" s="162">
        <v>0</v>
      </c>
      <c r="K49" s="162">
        <v>32743.01</v>
      </c>
      <c r="L49" s="162">
        <v>30268.09</v>
      </c>
      <c r="M49" s="162">
        <v>30023.39</v>
      </c>
      <c r="N49" s="162">
        <v>8010</v>
      </c>
      <c r="O49" s="162">
        <v>214</v>
      </c>
      <c r="P49" s="162">
        <v>55011.68</v>
      </c>
      <c r="Q49" s="162">
        <v>214737.82</v>
      </c>
      <c r="R49" s="162">
        <v>0</v>
      </c>
      <c r="S49" s="162">
        <v>0</v>
      </c>
      <c r="T49" s="162">
        <v>0</v>
      </c>
      <c r="U49" s="162">
        <v>2435</v>
      </c>
      <c r="V49" s="162">
        <v>59827</v>
      </c>
      <c r="W49" s="162">
        <f t="shared" si="2"/>
        <v>1968762.92</v>
      </c>
      <c r="X49" s="162">
        <v>853590.81</v>
      </c>
      <c r="Y49" s="162">
        <v>6659.46</v>
      </c>
      <c r="Z49" s="162">
        <v>405546.01</v>
      </c>
      <c r="AA49" s="162">
        <v>38272.49</v>
      </c>
      <c r="AB49" s="162">
        <v>102464.41</v>
      </c>
      <c r="AC49" s="162">
        <v>0</v>
      </c>
      <c r="AD49" s="162">
        <v>31590.49</v>
      </c>
      <c r="AE49" s="162">
        <v>8039.18</v>
      </c>
      <c r="AF49" s="162">
        <v>6471.4</v>
      </c>
      <c r="AG49" s="162">
        <v>4218.1099999999997</v>
      </c>
      <c r="AH49" s="162">
        <v>0</v>
      </c>
      <c r="AI49" s="162">
        <v>9055.2000000000007</v>
      </c>
      <c r="AJ49" s="162">
        <v>3981.66</v>
      </c>
      <c r="AK49" s="162">
        <v>47274.17</v>
      </c>
      <c r="AL49" s="162">
        <v>2068.06</v>
      </c>
      <c r="AM49" s="162">
        <v>60243.11</v>
      </c>
      <c r="AN49" s="162">
        <v>53744.65</v>
      </c>
      <c r="AO49" s="162">
        <v>12652.38</v>
      </c>
      <c r="AP49" s="162">
        <v>183401.64</v>
      </c>
      <c r="AQ49" s="162">
        <v>26379.200000000001</v>
      </c>
      <c r="AR49" s="162">
        <v>0</v>
      </c>
      <c r="AS49" s="162">
        <v>7098.83</v>
      </c>
      <c r="AT49" s="162">
        <v>6446.95</v>
      </c>
      <c r="AU49" s="162">
        <v>636.1</v>
      </c>
      <c r="AV49" s="162">
        <v>111044.34</v>
      </c>
      <c r="AW49" s="162">
        <v>15958.15</v>
      </c>
      <c r="AX49" s="162">
        <v>10940.61</v>
      </c>
      <c r="AY49" s="162">
        <v>18040.330000000002</v>
      </c>
      <c r="AZ49" s="162">
        <v>0</v>
      </c>
      <c r="BA49" s="162">
        <v>0</v>
      </c>
      <c r="BB49" s="162">
        <v>0</v>
      </c>
      <c r="BC49" s="162">
        <f t="shared" si="3"/>
        <v>2025817.7399999998</v>
      </c>
      <c r="BD49" s="162">
        <f t="shared" si="4"/>
        <v>-57054.819999999832</v>
      </c>
      <c r="BE49" s="162">
        <v>184541.06</v>
      </c>
      <c r="BF49" s="162">
        <f t="shared" si="5"/>
        <v>127486.24000000017</v>
      </c>
      <c r="BG49" s="162">
        <v>0</v>
      </c>
      <c r="BH49" s="162">
        <v>0</v>
      </c>
      <c r="BI49" s="162">
        <f t="shared" si="6"/>
        <v>0</v>
      </c>
      <c r="BJ49" s="162">
        <v>0</v>
      </c>
      <c r="BK49" s="162">
        <v>0</v>
      </c>
      <c r="BL49" s="162">
        <f t="shared" si="7"/>
        <v>0</v>
      </c>
      <c r="BM49" s="162">
        <f t="shared" si="8"/>
        <v>0</v>
      </c>
      <c r="BN49" s="162">
        <v>0</v>
      </c>
      <c r="BO49" s="162">
        <f t="shared" si="9"/>
        <v>0</v>
      </c>
      <c r="BP49" s="162">
        <v>11713</v>
      </c>
      <c r="BQ49" s="162">
        <v>115773.24000000017</v>
      </c>
      <c r="BR49" s="162">
        <v>0</v>
      </c>
      <c r="BS49" s="162">
        <f t="shared" si="10"/>
        <v>127486.24000000017</v>
      </c>
      <c r="BT49" s="162">
        <v>7161.25</v>
      </c>
      <c r="BU49" s="162">
        <v>0</v>
      </c>
      <c r="BV49" s="162">
        <v>0</v>
      </c>
      <c r="BW49" s="162">
        <f t="shared" si="11"/>
        <v>7161.25</v>
      </c>
      <c r="BX49" s="162">
        <v>0</v>
      </c>
      <c r="BY49" s="162">
        <v>5569.04</v>
      </c>
      <c r="BZ49" s="162">
        <v>0</v>
      </c>
      <c r="CA49" s="162">
        <v>13165.21</v>
      </c>
      <c r="CB49" s="162">
        <f t="shared" si="12"/>
        <v>18734.25</v>
      </c>
      <c r="CC49" s="162">
        <f t="shared" si="13"/>
        <v>-11573</v>
      </c>
      <c r="CD49" s="162">
        <v>25664.76</v>
      </c>
      <c r="CE49" s="162">
        <f t="shared" si="14"/>
        <v>14091.759999999998</v>
      </c>
    </row>
    <row r="50" spans="1:83" ht="15">
      <c r="A50" s="310">
        <v>7025</v>
      </c>
      <c r="B50" s="303" t="s">
        <v>358</v>
      </c>
      <c r="C50" s="75" t="s">
        <v>306</v>
      </c>
      <c r="D50" s="162">
        <v>2020280.95</v>
      </c>
      <c r="E50" s="162">
        <v>405003.43</v>
      </c>
      <c r="F50" s="162">
        <v>1809534.03</v>
      </c>
      <c r="G50" s="162">
        <v>0</v>
      </c>
      <c r="H50" s="162">
        <v>85245</v>
      </c>
      <c r="I50" s="162">
        <v>0</v>
      </c>
      <c r="J50" s="162">
        <v>0</v>
      </c>
      <c r="K50" s="162">
        <v>64436.14</v>
      </c>
      <c r="L50" s="162">
        <v>14375.44</v>
      </c>
      <c r="M50" s="162">
        <v>17765.82</v>
      </c>
      <c r="N50" s="162">
        <v>0</v>
      </c>
      <c r="O50" s="162">
        <v>0</v>
      </c>
      <c r="P50" s="162">
        <v>795.77</v>
      </c>
      <c r="Q50" s="162">
        <v>12387.55</v>
      </c>
      <c r="R50" s="162">
        <v>0</v>
      </c>
      <c r="S50" s="162">
        <v>0</v>
      </c>
      <c r="T50" s="162">
        <v>0</v>
      </c>
      <c r="U50" s="162">
        <v>8605.8799999999992</v>
      </c>
      <c r="V50" s="162">
        <v>18237</v>
      </c>
      <c r="W50" s="162">
        <f t="shared" si="2"/>
        <v>4456667.01</v>
      </c>
      <c r="X50" s="162">
        <v>1478892.03</v>
      </c>
      <c r="Y50" s="162">
        <v>13858.06</v>
      </c>
      <c r="Z50" s="162">
        <v>1990420.66</v>
      </c>
      <c r="AA50" s="162">
        <v>82809.19</v>
      </c>
      <c r="AB50" s="162">
        <v>203841.84</v>
      </c>
      <c r="AC50" s="162">
        <v>79236.61</v>
      </c>
      <c r="AD50" s="162">
        <v>81761.91</v>
      </c>
      <c r="AE50" s="162">
        <v>26587.37</v>
      </c>
      <c r="AF50" s="162">
        <v>18312.939999999999</v>
      </c>
      <c r="AG50" s="162">
        <v>0</v>
      </c>
      <c r="AH50" s="162">
        <v>0</v>
      </c>
      <c r="AI50" s="162">
        <v>94841.19</v>
      </c>
      <c r="AJ50" s="162">
        <v>5621.29</v>
      </c>
      <c r="AK50" s="162">
        <v>108544.6</v>
      </c>
      <c r="AL50" s="162">
        <v>4324.1400000000003</v>
      </c>
      <c r="AM50" s="162">
        <v>100928.03</v>
      </c>
      <c r="AN50" s="162">
        <v>0</v>
      </c>
      <c r="AO50" s="162">
        <v>34495.49</v>
      </c>
      <c r="AP50" s="162">
        <v>70191.73</v>
      </c>
      <c r="AQ50" s="162">
        <v>48241.05</v>
      </c>
      <c r="AR50" s="162">
        <v>3698.75</v>
      </c>
      <c r="AS50" s="162">
        <v>32090.54</v>
      </c>
      <c r="AT50" s="162">
        <v>12894.6</v>
      </c>
      <c r="AU50" s="162">
        <v>225</v>
      </c>
      <c r="AV50" s="162">
        <v>34349.78</v>
      </c>
      <c r="AW50" s="162">
        <v>111357.65</v>
      </c>
      <c r="AX50" s="162">
        <v>325380.47999999998</v>
      </c>
      <c r="AY50" s="162">
        <v>43074.77</v>
      </c>
      <c r="AZ50" s="162">
        <v>0</v>
      </c>
      <c r="BA50" s="162">
        <v>3894.04</v>
      </c>
      <c r="BB50" s="162">
        <v>8540.07</v>
      </c>
      <c r="BC50" s="162">
        <f t="shared" si="3"/>
        <v>5018413.8100000015</v>
      </c>
      <c r="BD50" s="162">
        <f t="shared" si="4"/>
        <v>-561746.80000000168</v>
      </c>
      <c r="BE50" s="162">
        <v>360286.92</v>
      </c>
      <c r="BF50" s="162">
        <f t="shared" si="5"/>
        <v>-201459.88000000169</v>
      </c>
      <c r="BG50" s="162">
        <v>0</v>
      </c>
      <c r="BH50" s="162">
        <v>0</v>
      </c>
      <c r="BI50" s="162">
        <f t="shared" si="6"/>
        <v>0</v>
      </c>
      <c r="BJ50" s="162">
        <v>0</v>
      </c>
      <c r="BK50" s="162">
        <v>0</v>
      </c>
      <c r="BL50" s="162">
        <f t="shared" si="7"/>
        <v>0</v>
      </c>
      <c r="BM50" s="162">
        <f t="shared" si="8"/>
        <v>0</v>
      </c>
      <c r="BN50" s="162">
        <v>0</v>
      </c>
      <c r="BO50" s="162">
        <f t="shared" si="9"/>
        <v>0</v>
      </c>
      <c r="BP50" s="162">
        <v>2269</v>
      </c>
      <c r="BQ50" s="162">
        <v>-203728.88000000169</v>
      </c>
      <c r="BR50" s="162">
        <v>0</v>
      </c>
      <c r="BS50" s="162">
        <f t="shared" si="10"/>
        <v>-201459.88000000169</v>
      </c>
      <c r="BT50" s="162">
        <v>13041.63</v>
      </c>
      <c r="BU50" s="162">
        <v>24876.5</v>
      </c>
      <c r="BV50" s="162">
        <v>0</v>
      </c>
      <c r="BW50" s="162">
        <f t="shared" si="11"/>
        <v>37918.129999999997</v>
      </c>
      <c r="BX50" s="162">
        <v>0</v>
      </c>
      <c r="BY50" s="162">
        <v>36399.5</v>
      </c>
      <c r="BZ50" s="162">
        <v>0</v>
      </c>
      <c r="CA50" s="162">
        <v>0</v>
      </c>
      <c r="CB50" s="162">
        <f t="shared" si="12"/>
        <v>36399.5</v>
      </c>
      <c r="CC50" s="162">
        <f t="shared" si="13"/>
        <v>1518.6299999999974</v>
      </c>
      <c r="CD50" s="162">
        <v>0</v>
      </c>
      <c r="CE50" s="162">
        <f t="shared" si="14"/>
        <v>1518.6299999999974</v>
      </c>
    </row>
    <row r="51" spans="1:83" ht="15">
      <c r="A51" s="310">
        <v>2016</v>
      </c>
      <c r="B51" s="303" t="s">
        <v>360</v>
      </c>
      <c r="C51" s="75" t="s">
        <v>264</v>
      </c>
      <c r="D51" s="162">
        <v>770821.4</v>
      </c>
      <c r="E51" s="162">
        <v>0</v>
      </c>
      <c r="F51" s="162">
        <v>35702.46</v>
      </c>
      <c r="G51" s="162">
        <v>0</v>
      </c>
      <c r="H51" s="162">
        <v>42120</v>
      </c>
      <c r="I51" s="162">
        <v>0</v>
      </c>
      <c r="J51" s="162">
        <v>0</v>
      </c>
      <c r="K51" s="162">
        <v>2975</v>
      </c>
      <c r="L51" s="162">
        <v>48797.65</v>
      </c>
      <c r="M51" s="162">
        <v>18450.009999999998</v>
      </c>
      <c r="N51" s="162">
        <v>0</v>
      </c>
      <c r="O51" s="162">
        <v>0</v>
      </c>
      <c r="P51" s="162">
        <v>13231.04</v>
      </c>
      <c r="Q51" s="162">
        <v>19318.38</v>
      </c>
      <c r="R51" s="162">
        <v>0</v>
      </c>
      <c r="S51" s="162">
        <v>0</v>
      </c>
      <c r="T51" s="162">
        <v>0</v>
      </c>
      <c r="U51" s="162">
        <v>1577.5</v>
      </c>
      <c r="V51" s="162">
        <v>37744</v>
      </c>
      <c r="W51" s="162">
        <f t="shared" si="2"/>
        <v>990737.44000000006</v>
      </c>
      <c r="X51" s="162">
        <v>478206.29</v>
      </c>
      <c r="Y51" s="162">
        <v>13058.97</v>
      </c>
      <c r="Z51" s="162">
        <v>179472.67</v>
      </c>
      <c r="AA51" s="162">
        <v>8442.86</v>
      </c>
      <c r="AB51" s="162">
        <v>32392.43</v>
      </c>
      <c r="AC51" s="162">
        <v>0</v>
      </c>
      <c r="AD51" s="162">
        <v>19883.240000000002</v>
      </c>
      <c r="AE51" s="162">
        <v>5123.05</v>
      </c>
      <c r="AF51" s="162">
        <v>5406</v>
      </c>
      <c r="AG51" s="162">
        <v>0</v>
      </c>
      <c r="AH51" s="162">
        <v>0</v>
      </c>
      <c r="AI51" s="162">
        <v>26041.200000000001</v>
      </c>
      <c r="AJ51" s="162">
        <v>1102.73</v>
      </c>
      <c r="AK51" s="162">
        <v>7616.83</v>
      </c>
      <c r="AL51" s="162">
        <v>3310.1</v>
      </c>
      <c r="AM51" s="162">
        <v>15729.16</v>
      </c>
      <c r="AN51" s="162">
        <v>16217.5</v>
      </c>
      <c r="AO51" s="162">
        <v>1708.2</v>
      </c>
      <c r="AP51" s="162">
        <v>47342.01</v>
      </c>
      <c r="AQ51" s="162">
        <v>19654.399999999998</v>
      </c>
      <c r="AR51" s="162">
        <v>0</v>
      </c>
      <c r="AS51" s="162">
        <v>5757.7</v>
      </c>
      <c r="AT51" s="162">
        <v>2829.72</v>
      </c>
      <c r="AU51" s="162">
        <v>1734.04</v>
      </c>
      <c r="AV51" s="162">
        <v>58726.04</v>
      </c>
      <c r="AW51" s="162">
        <v>17882.66</v>
      </c>
      <c r="AX51" s="162">
        <v>1530</v>
      </c>
      <c r="AY51" s="162">
        <v>9893.01</v>
      </c>
      <c r="AZ51" s="162">
        <v>0</v>
      </c>
      <c r="BA51" s="162">
        <v>1049.47</v>
      </c>
      <c r="BB51" s="162">
        <v>3058</v>
      </c>
      <c r="BC51" s="162">
        <f t="shared" si="3"/>
        <v>983168.27999999991</v>
      </c>
      <c r="BD51" s="162">
        <f t="shared" si="4"/>
        <v>7569.160000000149</v>
      </c>
      <c r="BE51" s="162">
        <v>8043.7800000000007</v>
      </c>
      <c r="BF51" s="162">
        <f t="shared" si="5"/>
        <v>15612.94000000015</v>
      </c>
      <c r="BG51" s="162">
        <v>0</v>
      </c>
      <c r="BH51" s="162">
        <v>0</v>
      </c>
      <c r="BI51" s="162">
        <f t="shared" si="6"/>
        <v>0</v>
      </c>
      <c r="BJ51" s="162">
        <v>0</v>
      </c>
      <c r="BK51" s="162">
        <v>0</v>
      </c>
      <c r="BL51" s="162">
        <f t="shared" si="7"/>
        <v>0</v>
      </c>
      <c r="BM51" s="162">
        <f t="shared" si="8"/>
        <v>0</v>
      </c>
      <c r="BN51" s="162">
        <v>0</v>
      </c>
      <c r="BO51" s="162">
        <f t="shared" si="9"/>
        <v>0</v>
      </c>
      <c r="BP51" s="162">
        <v>4577.8999999999996</v>
      </c>
      <c r="BQ51" s="162">
        <v>11035.040000000265</v>
      </c>
      <c r="BR51" s="162">
        <v>0</v>
      </c>
      <c r="BS51" s="162">
        <f t="shared" si="10"/>
        <v>15612.940000000264</v>
      </c>
      <c r="BT51" s="162">
        <v>5530</v>
      </c>
      <c r="BU51" s="162">
        <v>0</v>
      </c>
      <c r="BV51" s="162">
        <v>0</v>
      </c>
      <c r="BW51" s="162">
        <f t="shared" si="11"/>
        <v>5530</v>
      </c>
      <c r="BX51" s="162">
        <v>0</v>
      </c>
      <c r="BY51" s="162">
        <v>4503.4399999999996</v>
      </c>
      <c r="BZ51" s="162">
        <v>0</v>
      </c>
      <c r="CA51" s="162">
        <v>0</v>
      </c>
      <c r="CB51" s="162">
        <f t="shared" si="12"/>
        <v>4503.4399999999996</v>
      </c>
      <c r="CC51" s="162">
        <f t="shared" si="13"/>
        <v>1026.5600000000004</v>
      </c>
      <c r="CD51" s="162">
        <v>22950.280000000002</v>
      </c>
      <c r="CE51" s="162">
        <f t="shared" si="14"/>
        <v>23976.840000000004</v>
      </c>
    </row>
    <row r="52" spans="1:83" ht="15">
      <c r="A52" s="310">
        <v>3310</v>
      </c>
      <c r="B52" s="303" t="s">
        <v>362</v>
      </c>
      <c r="C52" s="75" t="s">
        <v>264</v>
      </c>
      <c r="D52" s="162">
        <v>1033907.26</v>
      </c>
      <c r="E52" s="162">
        <v>0</v>
      </c>
      <c r="F52" s="162">
        <v>60009.3</v>
      </c>
      <c r="G52" s="162">
        <v>0</v>
      </c>
      <c r="H52" s="162">
        <v>30935</v>
      </c>
      <c r="I52" s="162">
        <v>3112.5</v>
      </c>
      <c r="J52" s="162">
        <v>10000</v>
      </c>
      <c r="K52" s="162">
        <v>7505.64</v>
      </c>
      <c r="L52" s="162">
        <v>36847.22</v>
      </c>
      <c r="M52" s="162">
        <v>33182.879999999997</v>
      </c>
      <c r="N52" s="162">
        <v>0</v>
      </c>
      <c r="O52" s="162">
        <v>0</v>
      </c>
      <c r="P52" s="162">
        <v>21852.3</v>
      </c>
      <c r="Q52" s="162">
        <v>21632.33</v>
      </c>
      <c r="R52" s="162">
        <v>0</v>
      </c>
      <c r="S52" s="162">
        <v>0</v>
      </c>
      <c r="T52" s="162">
        <v>0</v>
      </c>
      <c r="U52" s="162">
        <v>1163.75</v>
      </c>
      <c r="V52" s="162">
        <v>51218</v>
      </c>
      <c r="W52" s="162">
        <f t="shared" si="2"/>
        <v>1311366.18</v>
      </c>
      <c r="X52" s="162">
        <v>577692.74</v>
      </c>
      <c r="Y52" s="162">
        <v>15048.09</v>
      </c>
      <c r="Z52" s="162">
        <v>240093.72</v>
      </c>
      <c r="AA52" s="162">
        <v>35901.839999999997</v>
      </c>
      <c r="AB52" s="162">
        <v>58780.160000000003</v>
      </c>
      <c r="AC52" s="162">
        <v>0</v>
      </c>
      <c r="AD52" s="162">
        <v>22189.65</v>
      </c>
      <c r="AE52" s="162">
        <v>2428.3200000000002</v>
      </c>
      <c r="AF52" s="162">
        <v>3845.92</v>
      </c>
      <c r="AG52" s="162">
        <v>5225</v>
      </c>
      <c r="AH52" s="162">
        <v>0</v>
      </c>
      <c r="AI52" s="162">
        <v>12378.53</v>
      </c>
      <c r="AJ52" s="162">
        <v>2472.96</v>
      </c>
      <c r="AK52" s="162">
        <v>3512.82</v>
      </c>
      <c r="AL52" s="162">
        <v>6955.22</v>
      </c>
      <c r="AM52" s="162">
        <v>35050.18</v>
      </c>
      <c r="AN52" s="162">
        <v>4715.55</v>
      </c>
      <c r="AO52" s="162">
        <v>8990.89</v>
      </c>
      <c r="AP52" s="162">
        <v>50604.46</v>
      </c>
      <c r="AQ52" s="162">
        <v>33560.639999999999</v>
      </c>
      <c r="AR52" s="162">
        <v>0</v>
      </c>
      <c r="AS52" s="162">
        <v>13525.26</v>
      </c>
      <c r="AT52" s="162">
        <v>4173.67</v>
      </c>
      <c r="AU52" s="162">
        <v>14979.2</v>
      </c>
      <c r="AV52" s="162">
        <v>77808.740000000005</v>
      </c>
      <c r="AW52" s="162">
        <v>20515.240000000002</v>
      </c>
      <c r="AX52" s="162">
        <v>20501.75</v>
      </c>
      <c r="AY52" s="162">
        <v>18392.34</v>
      </c>
      <c r="AZ52" s="162">
        <v>0</v>
      </c>
      <c r="BA52" s="162">
        <v>0</v>
      </c>
      <c r="BB52" s="162">
        <v>569.45000000000005</v>
      </c>
      <c r="BC52" s="162">
        <f t="shared" si="3"/>
        <v>1289912.3399999999</v>
      </c>
      <c r="BD52" s="162">
        <f t="shared" si="4"/>
        <v>21453.840000000084</v>
      </c>
      <c r="BE52" s="162">
        <v>-28293.980000000003</v>
      </c>
      <c r="BF52" s="162">
        <f t="shared" si="5"/>
        <v>-6840.1399999999194</v>
      </c>
      <c r="BG52" s="162">
        <v>82772.95</v>
      </c>
      <c r="BH52" s="162">
        <v>43971.86</v>
      </c>
      <c r="BI52" s="162">
        <f t="shared" si="6"/>
        <v>126744.81</v>
      </c>
      <c r="BJ52" s="162">
        <v>148179.76</v>
      </c>
      <c r="BK52" s="162">
        <v>10548.39</v>
      </c>
      <c r="BL52" s="162">
        <f t="shared" si="7"/>
        <v>158728.15000000002</v>
      </c>
      <c r="BM52" s="162">
        <f t="shared" si="8"/>
        <v>-31983.340000000026</v>
      </c>
      <c r="BN52" s="162">
        <v>-18446.11</v>
      </c>
      <c r="BO52" s="162">
        <f t="shared" si="9"/>
        <v>-50429.450000000026</v>
      </c>
      <c r="BP52" s="162">
        <v>489.58</v>
      </c>
      <c r="BQ52" s="162">
        <v>-28887.940000000199</v>
      </c>
      <c r="BR52" s="162">
        <v>-28871.23000000004</v>
      </c>
      <c r="BS52" s="162">
        <f t="shared" si="10"/>
        <v>-57269.590000000237</v>
      </c>
      <c r="BT52" s="162">
        <v>0</v>
      </c>
      <c r="BU52" s="162">
        <v>0</v>
      </c>
      <c r="BV52" s="162">
        <v>0</v>
      </c>
      <c r="BW52" s="162">
        <f t="shared" si="11"/>
        <v>0</v>
      </c>
      <c r="BX52" s="162">
        <v>0</v>
      </c>
      <c r="BY52" s="162">
        <v>0</v>
      </c>
      <c r="BZ52" s="162">
        <v>0</v>
      </c>
      <c r="CA52" s="162">
        <v>0</v>
      </c>
      <c r="CB52" s="162">
        <f t="shared" si="12"/>
        <v>0</v>
      </c>
      <c r="CC52" s="162">
        <f t="shared" si="13"/>
        <v>0</v>
      </c>
      <c r="CD52" s="162">
        <v>0</v>
      </c>
      <c r="CE52" s="162">
        <f t="shared" si="14"/>
        <v>0</v>
      </c>
    </row>
    <row r="53" spans="1:83" ht="15">
      <c r="A53" s="310">
        <v>3068</v>
      </c>
      <c r="B53" s="303" t="s">
        <v>364</v>
      </c>
      <c r="C53" s="75" t="s">
        <v>264</v>
      </c>
      <c r="D53" s="162">
        <v>627030.53</v>
      </c>
      <c r="E53" s="162">
        <v>0</v>
      </c>
      <c r="F53" s="162">
        <v>21056.400000000001</v>
      </c>
      <c r="G53" s="162">
        <v>0</v>
      </c>
      <c r="H53" s="162">
        <v>17760</v>
      </c>
      <c r="I53" s="162">
        <v>0</v>
      </c>
      <c r="J53" s="162">
        <v>0</v>
      </c>
      <c r="K53" s="162">
        <v>2474.6999999999998</v>
      </c>
      <c r="L53" s="162">
        <v>20918.43</v>
      </c>
      <c r="M53" s="162">
        <v>9496.48</v>
      </c>
      <c r="N53" s="162">
        <v>0</v>
      </c>
      <c r="O53" s="162">
        <v>1952.5</v>
      </c>
      <c r="P53" s="162">
        <v>18925.46</v>
      </c>
      <c r="Q53" s="162">
        <v>1373</v>
      </c>
      <c r="R53" s="162">
        <v>0</v>
      </c>
      <c r="S53" s="162">
        <v>0</v>
      </c>
      <c r="T53" s="162">
        <v>0</v>
      </c>
      <c r="U53" s="162">
        <v>-11.87</v>
      </c>
      <c r="V53" s="162">
        <v>30640</v>
      </c>
      <c r="W53" s="162">
        <f t="shared" si="2"/>
        <v>751615.63</v>
      </c>
      <c r="X53" s="162">
        <v>373682.38</v>
      </c>
      <c r="Y53" s="162">
        <v>7409.75</v>
      </c>
      <c r="Z53" s="162">
        <v>138775.60999999999</v>
      </c>
      <c r="AA53" s="162">
        <v>32516.959999999999</v>
      </c>
      <c r="AB53" s="162">
        <v>41477.339999999997</v>
      </c>
      <c r="AC53" s="162">
        <v>0</v>
      </c>
      <c r="AD53" s="162">
        <v>3593.49</v>
      </c>
      <c r="AE53" s="162">
        <v>4260.96</v>
      </c>
      <c r="AF53" s="162">
        <v>3501</v>
      </c>
      <c r="AG53" s="162">
        <v>2475</v>
      </c>
      <c r="AH53" s="162">
        <v>136.25</v>
      </c>
      <c r="AI53" s="162">
        <v>9091.32</v>
      </c>
      <c r="AJ53" s="162">
        <v>2879.96</v>
      </c>
      <c r="AK53" s="162">
        <v>1439.73</v>
      </c>
      <c r="AL53" s="162">
        <v>1722.46</v>
      </c>
      <c r="AM53" s="162">
        <v>13413.12</v>
      </c>
      <c r="AN53" s="162">
        <v>19960</v>
      </c>
      <c r="AO53" s="162">
        <v>2305.71</v>
      </c>
      <c r="AP53" s="162">
        <v>30364.41</v>
      </c>
      <c r="AQ53" s="162">
        <v>23039.07</v>
      </c>
      <c r="AR53" s="162">
        <v>0</v>
      </c>
      <c r="AS53" s="162">
        <v>3563.72</v>
      </c>
      <c r="AT53" s="162">
        <v>2193.84</v>
      </c>
      <c r="AU53" s="162">
        <v>574.91</v>
      </c>
      <c r="AV53" s="162">
        <v>38101.06</v>
      </c>
      <c r="AW53" s="162">
        <v>0</v>
      </c>
      <c r="AX53" s="162">
        <v>1277.67</v>
      </c>
      <c r="AY53" s="162">
        <v>8683.51</v>
      </c>
      <c r="AZ53" s="162">
        <v>0</v>
      </c>
      <c r="BA53" s="162">
        <v>2998.47</v>
      </c>
      <c r="BB53" s="162">
        <v>6139.65</v>
      </c>
      <c r="BC53" s="162">
        <f t="shared" si="3"/>
        <v>775577.34999999963</v>
      </c>
      <c r="BD53" s="162">
        <f t="shared" si="4"/>
        <v>-23961.719999999623</v>
      </c>
      <c r="BE53" s="162">
        <v>-1506.08</v>
      </c>
      <c r="BF53" s="162">
        <f t="shared" si="5"/>
        <v>-25467.799999999625</v>
      </c>
      <c r="BG53" s="162">
        <v>0</v>
      </c>
      <c r="BH53" s="162">
        <v>0</v>
      </c>
      <c r="BI53" s="162">
        <f t="shared" si="6"/>
        <v>0</v>
      </c>
      <c r="BJ53" s="162">
        <v>0</v>
      </c>
      <c r="BK53" s="162">
        <v>0</v>
      </c>
      <c r="BL53" s="162">
        <f t="shared" si="7"/>
        <v>0</v>
      </c>
      <c r="BM53" s="162">
        <f t="shared" si="8"/>
        <v>0</v>
      </c>
      <c r="BN53" s="162">
        <v>0</v>
      </c>
      <c r="BO53" s="162">
        <f t="shared" si="9"/>
        <v>0</v>
      </c>
      <c r="BP53" s="162">
        <v>0</v>
      </c>
      <c r="BQ53" s="162">
        <v>-25467.799999999857</v>
      </c>
      <c r="BR53" s="162">
        <v>0</v>
      </c>
      <c r="BS53" s="162">
        <f t="shared" si="10"/>
        <v>-25467.799999999857</v>
      </c>
      <c r="BT53" s="162">
        <v>5226.25</v>
      </c>
      <c r="BU53" s="162">
        <v>0</v>
      </c>
      <c r="BV53" s="162">
        <v>0</v>
      </c>
      <c r="BW53" s="162">
        <f t="shared" si="11"/>
        <v>5226.25</v>
      </c>
      <c r="BX53" s="162">
        <v>0</v>
      </c>
      <c r="BY53" s="162">
        <v>0</v>
      </c>
      <c r="BZ53" s="162">
        <v>0</v>
      </c>
      <c r="CA53" s="162">
        <v>0</v>
      </c>
      <c r="CB53" s="162">
        <f t="shared" si="12"/>
        <v>0</v>
      </c>
      <c r="CC53" s="162">
        <f t="shared" si="13"/>
        <v>5226.25</v>
      </c>
      <c r="CD53" s="162">
        <v>0</v>
      </c>
      <c r="CE53" s="162">
        <f t="shared" si="14"/>
        <v>5226.25</v>
      </c>
    </row>
    <row r="54" spans="1:83" ht="15">
      <c r="A54" s="310">
        <v>2315</v>
      </c>
      <c r="B54" s="303" t="s">
        <v>366</v>
      </c>
      <c r="C54" s="75" t="s">
        <v>264</v>
      </c>
      <c r="D54" s="162">
        <v>2796491.44</v>
      </c>
      <c r="E54" s="162">
        <v>0</v>
      </c>
      <c r="F54" s="162">
        <v>155137.82</v>
      </c>
      <c r="G54" s="162">
        <v>0</v>
      </c>
      <c r="H54" s="162">
        <v>129070</v>
      </c>
      <c r="I54" s="162">
        <v>4100.29</v>
      </c>
      <c r="J54" s="162">
        <v>0</v>
      </c>
      <c r="K54" s="162">
        <v>45933.87</v>
      </c>
      <c r="L54" s="162">
        <v>13848.76</v>
      </c>
      <c r="M54" s="162">
        <v>68491.11</v>
      </c>
      <c r="N54" s="162">
        <v>0</v>
      </c>
      <c r="O54" s="162">
        <v>6210</v>
      </c>
      <c r="P54" s="162">
        <v>107185.19</v>
      </c>
      <c r="Q54" s="162">
        <v>6840.98</v>
      </c>
      <c r="R54" s="162">
        <v>0</v>
      </c>
      <c r="S54" s="162">
        <v>0</v>
      </c>
      <c r="T54" s="162">
        <v>0</v>
      </c>
      <c r="U54" s="162">
        <v>5162.5</v>
      </c>
      <c r="V54" s="162">
        <v>94117</v>
      </c>
      <c r="W54" s="162">
        <f t="shared" si="2"/>
        <v>3432588.9599999995</v>
      </c>
      <c r="X54" s="162">
        <v>1661822.17</v>
      </c>
      <c r="Y54" s="162">
        <v>41491.35</v>
      </c>
      <c r="Z54" s="162">
        <v>730732.42</v>
      </c>
      <c r="AA54" s="162">
        <v>70534.81</v>
      </c>
      <c r="AB54" s="162">
        <v>131414.65</v>
      </c>
      <c r="AC54" s="162">
        <v>0</v>
      </c>
      <c r="AD54" s="162">
        <v>80282.42</v>
      </c>
      <c r="AE54" s="162">
        <v>14956.15</v>
      </c>
      <c r="AF54" s="162">
        <v>17178.02</v>
      </c>
      <c r="AG54" s="162">
        <v>12200</v>
      </c>
      <c r="AH54" s="162">
        <v>193.75</v>
      </c>
      <c r="AI54" s="162">
        <v>46301.760000000002</v>
      </c>
      <c r="AJ54" s="162">
        <v>6753.81</v>
      </c>
      <c r="AK54" s="162">
        <v>37670.67</v>
      </c>
      <c r="AL54" s="162">
        <v>9132.66</v>
      </c>
      <c r="AM54" s="162">
        <v>90124.72</v>
      </c>
      <c r="AN54" s="162">
        <v>108364.16</v>
      </c>
      <c r="AO54" s="162">
        <v>12843</v>
      </c>
      <c r="AP54" s="162">
        <v>92807.28</v>
      </c>
      <c r="AQ54" s="162">
        <v>50914.39</v>
      </c>
      <c r="AR54" s="162">
        <v>0</v>
      </c>
      <c r="AS54" s="162">
        <v>28737.05</v>
      </c>
      <c r="AT54" s="162">
        <v>11362.46</v>
      </c>
      <c r="AU54" s="162">
        <v>273.41000000000003</v>
      </c>
      <c r="AV54" s="162">
        <v>168190.7</v>
      </c>
      <c r="AW54" s="162">
        <v>0</v>
      </c>
      <c r="AX54" s="162">
        <v>16284.52</v>
      </c>
      <c r="AY54" s="162">
        <v>27237.59</v>
      </c>
      <c r="AZ54" s="162">
        <v>0</v>
      </c>
      <c r="BA54" s="162">
        <v>0</v>
      </c>
      <c r="BB54" s="162">
        <v>0</v>
      </c>
      <c r="BC54" s="162">
        <f t="shared" si="3"/>
        <v>3467803.92</v>
      </c>
      <c r="BD54" s="162">
        <f t="shared" si="4"/>
        <v>-35214.960000000428</v>
      </c>
      <c r="BE54" s="162">
        <v>177930.29</v>
      </c>
      <c r="BF54" s="162">
        <f t="shared" si="5"/>
        <v>142715.32999999958</v>
      </c>
      <c r="BG54" s="162">
        <v>0</v>
      </c>
      <c r="BH54" s="162">
        <v>0</v>
      </c>
      <c r="BI54" s="162">
        <f t="shared" si="6"/>
        <v>0</v>
      </c>
      <c r="BJ54" s="162">
        <v>0</v>
      </c>
      <c r="BK54" s="162">
        <v>0</v>
      </c>
      <c r="BL54" s="162">
        <f t="shared" si="7"/>
        <v>0</v>
      </c>
      <c r="BM54" s="162">
        <f t="shared" si="8"/>
        <v>0</v>
      </c>
      <c r="BN54" s="162">
        <v>0</v>
      </c>
      <c r="BO54" s="162">
        <f t="shared" si="9"/>
        <v>0</v>
      </c>
      <c r="BP54" s="162">
        <v>31568</v>
      </c>
      <c r="BQ54" s="162">
        <v>111147.32999999958</v>
      </c>
      <c r="BR54" s="162">
        <v>0</v>
      </c>
      <c r="BS54" s="162">
        <f t="shared" si="10"/>
        <v>142715.32999999958</v>
      </c>
      <c r="BT54" s="162">
        <v>9525.5499999999993</v>
      </c>
      <c r="BU54" s="162">
        <v>0</v>
      </c>
      <c r="BV54" s="162">
        <v>0</v>
      </c>
      <c r="BW54" s="162">
        <f t="shared" si="11"/>
        <v>9525.5499999999993</v>
      </c>
      <c r="BX54" s="162">
        <v>0</v>
      </c>
      <c r="BY54" s="162">
        <v>27670.58</v>
      </c>
      <c r="BZ54" s="162">
        <v>0</v>
      </c>
      <c r="CA54" s="162">
        <v>24187.78</v>
      </c>
      <c r="CB54" s="162">
        <f t="shared" si="12"/>
        <v>51858.36</v>
      </c>
      <c r="CC54" s="162">
        <f t="shared" si="13"/>
        <v>-42332.81</v>
      </c>
      <c r="CD54" s="162">
        <v>59428.91</v>
      </c>
      <c r="CE54" s="162">
        <f t="shared" si="14"/>
        <v>17096.100000000006</v>
      </c>
    </row>
    <row r="55" spans="1:83" ht="15">
      <c r="A55" s="310">
        <v>2018</v>
      </c>
      <c r="B55" s="303" t="s">
        <v>368</v>
      </c>
      <c r="C55" s="75" t="s">
        <v>264</v>
      </c>
      <c r="D55" s="162">
        <v>0</v>
      </c>
      <c r="E55" s="162">
        <v>0</v>
      </c>
      <c r="F55" s="162">
        <v>0</v>
      </c>
      <c r="G55" s="162">
        <v>0</v>
      </c>
      <c r="H55" s="162">
        <v>0</v>
      </c>
      <c r="I55" s="162">
        <v>0</v>
      </c>
      <c r="J55" s="162">
        <v>0</v>
      </c>
      <c r="K55" s="162">
        <v>0</v>
      </c>
      <c r="L55" s="162">
        <v>0</v>
      </c>
      <c r="M55" s="162">
        <v>0</v>
      </c>
      <c r="N55" s="162">
        <v>0</v>
      </c>
      <c r="O55" s="162">
        <v>0</v>
      </c>
      <c r="P55" s="162">
        <v>0</v>
      </c>
      <c r="Q55" s="162">
        <v>0</v>
      </c>
      <c r="R55" s="162">
        <v>0</v>
      </c>
      <c r="S55" s="162">
        <v>0</v>
      </c>
      <c r="T55" s="162">
        <v>0</v>
      </c>
      <c r="U55" s="162">
        <v>0</v>
      </c>
      <c r="V55" s="162">
        <v>0</v>
      </c>
      <c r="W55" s="162">
        <f t="shared" si="2"/>
        <v>0</v>
      </c>
      <c r="X55" s="162">
        <v>0</v>
      </c>
      <c r="Y55" s="162">
        <v>0</v>
      </c>
      <c r="Z55" s="162">
        <v>0</v>
      </c>
      <c r="AA55" s="162">
        <v>0</v>
      </c>
      <c r="AB55" s="162">
        <v>0</v>
      </c>
      <c r="AC55" s="162">
        <v>0</v>
      </c>
      <c r="AD55" s="162">
        <v>0</v>
      </c>
      <c r="AE55" s="162">
        <v>0</v>
      </c>
      <c r="AF55" s="162">
        <v>0</v>
      </c>
      <c r="AG55" s="162">
        <v>0</v>
      </c>
      <c r="AH55" s="162">
        <v>0</v>
      </c>
      <c r="AI55" s="162">
        <v>0</v>
      </c>
      <c r="AJ55" s="162">
        <v>0</v>
      </c>
      <c r="AK55" s="162">
        <v>0</v>
      </c>
      <c r="AL55" s="162">
        <v>0</v>
      </c>
      <c r="AM55" s="162">
        <v>0</v>
      </c>
      <c r="AN55" s="162">
        <v>0</v>
      </c>
      <c r="AO55" s="162">
        <v>0</v>
      </c>
      <c r="AP55" s="162">
        <v>0</v>
      </c>
      <c r="AQ55" s="162">
        <v>0</v>
      </c>
      <c r="AR55" s="162">
        <v>0</v>
      </c>
      <c r="AS55" s="162">
        <v>0</v>
      </c>
      <c r="AT55" s="162">
        <v>0</v>
      </c>
      <c r="AU55" s="162">
        <v>0</v>
      </c>
      <c r="AV55" s="162">
        <v>0</v>
      </c>
      <c r="AW55" s="162">
        <v>0</v>
      </c>
      <c r="AX55" s="162">
        <v>0</v>
      </c>
      <c r="AY55" s="162">
        <v>0</v>
      </c>
      <c r="AZ55" s="162">
        <v>0</v>
      </c>
      <c r="BA55" s="162">
        <v>0</v>
      </c>
      <c r="BB55" s="162">
        <v>0</v>
      </c>
      <c r="BC55" s="162">
        <f t="shared" si="3"/>
        <v>0</v>
      </c>
      <c r="BD55" s="162">
        <f t="shared" si="4"/>
        <v>0</v>
      </c>
      <c r="BE55" s="162">
        <v>0</v>
      </c>
      <c r="BF55" s="162">
        <f t="shared" si="5"/>
        <v>0</v>
      </c>
      <c r="BG55" s="162">
        <v>0</v>
      </c>
      <c r="BH55" s="162">
        <v>0</v>
      </c>
      <c r="BI55" s="162">
        <f t="shared" si="6"/>
        <v>0</v>
      </c>
      <c r="BJ55" s="162">
        <v>0</v>
      </c>
      <c r="BK55" s="162">
        <v>0</v>
      </c>
      <c r="BL55" s="162">
        <f t="shared" si="7"/>
        <v>0</v>
      </c>
      <c r="BM55" s="162">
        <f t="shared" si="8"/>
        <v>0</v>
      </c>
      <c r="BN55" s="162">
        <v>0</v>
      </c>
      <c r="BO55" s="162">
        <f t="shared" si="9"/>
        <v>0</v>
      </c>
      <c r="BP55" s="162">
        <v>0</v>
      </c>
      <c r="BQ55" s="162">
        <v>0</v>
      </c>
      <c r="BR55" s="162">
        <v>0</v>
      </c>
      <c r="BS55" s="162">
        <f t="shared" si="10"/>
        <v>0</v>
      </c>
      <c r="BT55" s="162">
        <v>0</v>
      </c>
      <c r="BU55" s="162">
        <v>0</v>
      </c>
      <c r="BV55" s="162">
        <v>0</v>
      </c>
      <c r="BW55" s="162">
        <f t="shared" si="11"/>
        <v>0</v>
      </c>
      <c r="BX55" s="162">
        <v>0</v>
      </c>
      <c r="BY55" s="162">
        <v>0</v>
      </c>
      <c r="BZ55" s="162">
        <v>0</v>
      </c>
      <c r="CA55" s="162">
        <v>0</v>
      </c>
      <c r="CB55" s="162">
        <f t="shared" si="12"/>
        <v>0</v>
      </c>
      <c r="CC55" s="162">
        <f t="shared" si="13"/>
        <v>0</v>
      </c>
      <c r="CD55" s="162">
        <v>0</v>
      </c>
      <c r="CE55" s="162">
        <f t="shared" si="14"/>
        <v>0</v>
      </c>
    </row>
    <row r="56" spans="1:83" ht="15">
      <c r="A56" s="310">
        <v>3035</v>
      </c>
      <c r="B56" s="303" t="s">
        <v>370</v>
      </c>
      <c r="C56" s="75" t="s">
        <v>264</v>
      </c>
      <c r="D56" s="162">
        <v>731145.42</v>
      </c>
      <c r="E56" s="162">
        <v>0</v>
      </c>
      <c r="F56" s="162">
        <v>14477.69</v>
      </c>
      <c r="G56" s="162">
        <v>0</v>
      </c>
      <c r="H56" s="162">
        <v>23680</v>
      </c>
      <c r="I56" s="162">
        <v>899</v>
      </c>
      <c r="J56" s="162">
        <v>0</v>
      </c>
      <c r="K56" s="162">
        <v>0</v>
      </c>
      <c r="L56" s="162">
        <v>16531.13</v>
      </c>
      <c r="M56" s="162">
        <v>0</v>
      </c>
      <c r="N56" s="162">
        <v>4230</v>
      </c>
      <c r="O56" s="162">
        <v>0</v>
      </c>
      <c r="P56" s="162">
        <v>17036.79</v>
      </c>
      <c r="Q56" s="162">
        <v>10566.07</v>
      </c>
      <c r="R56" s="162">
        <v>0</v>
      </c>
      <c r="S56" s="162">
        <v>0</v>
      </c>
      <c r="T56" s="162">
        <v>0</v>
      </c>
      <c r="U56" s="162">
        <v>-168.12</v>
      </c>
      <c r="V56" s="162">
        <v>34133</v>
      </c>
      <c r="W56" s="162">
        <f t="shared" si="2"/>
        <v>852530.98</v>
      </c>
      <c r="X56" s="162">
        <v>366354.44</v>
      </c>
      <c r="Y56" s="162">
        <v>49218.22</v>
      </c>
      <c r="Z56" s="162">
        <v>155593.66</v>
      </c>
      <c r="AA56" s="162">
        <v>10714.83</v>
      </c>
      <c r="AB56" s="162">
        <v>63082.19</v>
      </c>
      <c r="AC56" s="162">
        <v>0</v>
      </c>
      <c r="AD56" s="162">
        <v>25311.93</v>
      </c>
      <c r="AE56" s="162">
        <v>3925.1</v>
      </c>
      <c r="AF56" s="162">
        <v>7774.23</v>
      </c>
      <c r="AG56" s="162">
        <v>3368.19</v>
      </c>
      <c r="AH56" s="162">
        <v>0</v>
      </c>
      <c r="AI56" s="162">
        <v>11249.1</v>
      </c>
      <c r="AJ56" s="162">
        <v>1466.5</v>
      </c>
      <c r="AK56" s="162">
        <v>19500.57</v>
      </c>
      <c r="AL56" s="162">
        <v>9120.9699999999993</v>
      </c>
      <c r="AM56" s="162">
        <v>24391.94</v>
      </c>
      <c r="AN56" s="162">
        <v>18088.75</v>
      </c>
      <c r="AO56" s="162">
        <v>3985.23</v>
      </c>
      <c r="AP56" s="162">
        <v>49066.14</v>
      </c>
      <c r="AQ56" s="162">
        <v>21889.410000000003</v>
      </c>
      <c r="AR56" s="162">
        <v>0</v>
      </c>
      <c r="AS56" s="162">
        <v>6844.33</v>
      </c>
      <c r="AT56" s="162">
        <v>2814.24</v>
      </c>
      <c r="AU56" s="162">
        <v>0</v>
      </c>
      <c r="AV56" s="162">
        <v>27823.32</v>
      </c>
      <c r="AW56" s="162">
        <v>0</v>
      </c>
      <c r="AX56" s="162">
        <v>8181.65</v>
      </c>
      <c r="AY56" s="162">
        <v>17836.45</v>
      </c>
      <c r="AZ56" s="162">
        <v>0</v>
      </c>
      <c r="BA56" s="162">
        <v>0</v>
      </c>
      <c r="BB56" s="162">
        <v>1757.66</v>
      </c>
      <c r="BC56" s="162">
        <f t="shared" si="3"/>
        <v>909359.04999999981</v>
      </c>
      <c r="BD56" s="162">
        <f t="shared" si="4"/>
        <v>-56828.069999999832</v>
      </c>
      <c r="BE56" s="162">
        <v>168266.49</v>
      </c>
      <c r="BF56" s="162">
        <f t="shared" si="5"/>
        <v>111438.42000000016</v>
      </c>
      <c r="BG56" s="162">
        <v>0</v>
      </c>
      <c r="BH56" s="162">
        <v>0</v>
      </c>
      <c r="BI56" s="162">
        <f t="shared" si="6"/>
        <v>0</v>
      </c>
      <c r="BJ56" s="162">
        <v>0</v>
      </c>
      <c r="BK56" s="162">
        <v>0</v>
      </c>
      <c r="BL56" s="162">
        <f t="shared" si="7"/>
        <v>0</v>
      </c>
      <c r="BM56" s="162">
        <f t="shared" si="8"/>
        <v>0</v>
      </c>
      <c r="BN56" s="162">
        <v>0</v>
      </c>
      <c r="BO56" s="162">
        <f t="shared" si="9"/>
        <v>0</v>
      </c>
      <c r="BP56" s="162">
        <v>5665.92</v>
      </c>
      <c r="BQ56" s="162">
        <v>105772.50000000028</v>
      </c>
      <c r="BR56" s="162">
        <v>0</v>
      </c>
      <c r="BS56" s="162">
        <f t="shared" si="10"/>
        <v>111438.42000000027</v>
      </c>
      <c r="BT56" s="162">
        <v>5608.75</v>
      </c>
      <c r="BU56" s="162">
        <v>0</v>
      </c>
      <c r="BV56" s="162">
        <v>0</v>
      </c>
      <c r="BW56" s="162">
        <f t="shared" si="11"/>
        <v>5608.75</v>
      </c>
      <c r="BX56" s="162">
        <v>0</v>
      </c>
      <c r="BY56" s="162">
        <v>4454.33</v>
      </c>
      <c r="BZ56" s="162">
        <v>0</v>
      </c>
      <c r="CA56" s="162">
        <v>2724.81</v>
      </c>
      <c r="CB56" s="162">
        <f t="shared" si="12"/>
        <v>7179.1399999999994</v>
      </c>
      <c r="CC56" s="162">
        <f t="shared" si="13"/>
        <v>-1570.3899999999994</v>
      </c>
      <c r="CD56" s="162">
        <v>4247.2299999999996</v>
      </c>
      <c r="CE56" s="162">
        <f t="shared" si="14"/>
        <v>2676.84</v>
      </c>
    </row>
    <row r="57" spans="1:83" ht="15">
      <c r="A57" s="310">
        <v>2205</v>
      </c>
      <c r="B57" s="303" t="s">
        <v>372</v>
      </c>
      <c r="C57" s="75" t="s">
        <v>264</v>
      </c>
      <c r="D57" s="162">
        <v>569662.97</v>
      </c>
      <c r="E57" s="162">
        <v>0</v>
      </c>
      <c r="F57" s="162">
        <v>40841.4</v>
      </c>
      <c r="G57" s="162">
        <v>0</v>
      </c>
      <c r="H57" s="162">
        <v>26980</v>
      </c>
      <c r="I57" s="162">
        <v>1076.93</v>
      </c>
      <c r="J57" s="162">
        <v>12431.68</v>
      </c>
      <c r="K57" s="162">
        <v>3230</v>
      </c>
      <c r="L57" s="162">
        <v>3524.67</v>
      </c>
      <c r="M57" s="162">
        <v>11515.16</v>
      </c>
      <c r="N57" s="162">
        <v>0</v>
      </c>
      <c r="O57" s="162">
        <v>0</v>
      </c>
      <c r="P57" s="162">
        <v>7247.04</v>
      </c>
      <c r="Q57" s="162">
        <v>5494.25</v>
      </c>
      <c r="R57" s="162">
        <v>0</v>
      </c>
      <c r="S57" s="162">
        <v>0</v>
      </c>
      <c r="T57" s="162">
        <v>0</v>
      </c>
      <c r="U57" s="162">
        <v>-16.87</v>
      </c>
      <c r="V57" s="162">
        <v>29173</v>
      </c>
      <c r="W57" s="162">
        <f t="shared" si="2"/>
        <v>711160.23000000021</v>
      </c>
      <c r="X57" s="162">
        <v>276794.58</v>
      </c>
      <c r="Y57" s="162">
        <v>1962.25</v>
      </c>
      <c r="Z57" s="162">
        <v>181075.13</v>
      </c>
      <c r="AA57" s="162">
        <v>0</v>
      </c>
      <c r="AB57" s="162">
        <v>40019.279999999999</v>
      </c>
      <c r="AC57" s="162">
        <v>0</v>
      </c>
      <c r="AD57" s="162">
        <v>1766.64</v>
      </c>
      <c r="AE57" s="162">
        <v>3140</v>
      </c>
      <c r="AF57" s="162">
        <v>1644.27</v>
      </c>
      <c r="AG57" s="162">
        <v>1290.95</v>
      </c>
      <c r="AH57" s="162">
        <v>0</v>
      </c>
      <c r="AI57" s="162">
        <v>10185.11</v>
      </c>
      <c r="AJ57" s="162">
        <v>2685.76</v>
      </c>
      <c r="AK57" s="162">
        <v>16053.51</v>
      </c>
      <c r="AL57" s="162">
        <v>2791.5</v>
      </c>
      <c r="AM57" s="162">
        <v>18142.97</v>
      </c>
      <c r="AN57" s="162">
        <v>19367.439999999999</v>
      </c>
      <c r="AO57" s="162">
        <v>2720.31</v>
      </c>
      <c r="AP57" s="162">
        <v>36385.57</v>
      </c>
      <c r="AQ57" s="162">
        <v>19859.120000000003</v>
      </c>
      <c r="AR57" s="162">
        <v>0</v>
      </c>
      <c r="AS57" s="162">
        <v>5594.97</v>
      </c>
      <c r="AT57" s="162">
        <v>2049.85</v>
      </c>
      <c r="AU57" s="162">
        <v>47.58</v>
      </c>
      <c r="AV57" s="162">
        <v>25241.18</v>
      </c>
      <c r="AW57" s="162">
        <v>0</v>
      </c>
      <c r="AX57" s="162">
        <v>7130</v>
      </c>
      <c r="AY57" s="162">
        <v>37518.120000000003</v>
      </c>
      <c r="AZ57" s="162">
        <v>0</v>
      </c>
      <c r="BA57" s="162">
        <v>0</v>
      </c>
      <c r="BB57" s="162">
        <v>0</v>
      </c>
      <c r="BC57" s="162">
        <f t="shared" si="3"/>
        <v>713466.08999999985</v>
      </c>
      <c r="BD57" s="162">
        <f t="shared" si="4"/>
        <v>-2305.8599999996368</v>
      </c>
      <c r="BE57" s="162">
        <v>-12765.75</v>
      </c>
      <c r="BF57" s="162">
        <f t="shared" si="5"/>
        <v>-15071.609999999637</v>
      </c>
      <c r="BG57" s="162">
        <v>0</v>
      </c>
      <c r="BH57" s="162">
        <v>0</v>
      </c>
      <c r="BI57" s="162">
        <f t="shared" si="6"/>
        <v>0</v>
      </c>
      <c r="BJ57" s="162">
        <v>0</v>
      </c>
      <c r="BK57" s="162">
        <v>0</v>
      </c>
      <c r="BL57" s="162">
        <f t="shared" si="7"/>
        <v>0</v>
      </c>
      <c r="BM57" s="162">
        <f t="shared" si="8"/>
        <v>0</v>
      </c>
      <c r="BN57" s="162">
        <v>0</v>
      </c>
      <c r="BO57" s="162">
        <f t="shared" si="9"/>
        <v>0</v>
      </c>
      <c r="BP57" s="162">
        <v>17312.02</v>
      </c>
      <c r="BQ57" s="162">
        <v>-32383.629999999637</v>
      </c>
      <c r="BR57" s="162">
        <v>0</v>
      </c>
      <c r="BS57" s="162">
        <f t="shared" si="10"/>
        <v>-15071.609999999637</v>
      </c>
      <c r="BT57" s="162">
        <v>5080</v>
      </c>
      <c r="BU57" s="162">
        <v>0</v>
      </c>
      <c r="BV57" s="162">
        <v>0</v>
      </c>
      <c r="BW57" s="162">
        <f t="shared" si="11"/>
        <v>5080</v>
      </c>
      <c r="BX57" s="162">
        <v>0</v>
      </c>
      <c r="BY57" s="162">
        <v>17594.38</v>
      </c>
      <c r="BZ57" s="162">
        <v>0</v>
      </c>
      <c r="CA57" s="162">
        <v>8837.7900000000009</v>
      </c>
      <c r="CB57" s="162">
        <f t="shared" si="12"/>
        <v>26432.170000000002</v>
      </c>
      <c r="CC57" s="162">
        <f t="shared" si="13"/>
        <v>-21352.170000000002</v>
      </c>
      <c r="CD57" s="162">
        <v>45334.12</v>
      </c>
      <c r="CE57" s="162">
        <f t="shared" si="14"/>
        <v>23981.95</v>
      </c>
    </row>
    <row r="58" spans="1:83" ht="15">
      <c r="A58" s="310">
        <v>2211</v>
      </c>
      <c r="B58" s="303" t="s">
        <v>374</v>
      </c>
      <c r="C58" s="75" t="s">
        <v>264</v>
      </c>
      <c r="D58" s="162">
        <v>1407396.67</v>
      </c>
      <c r="E58" s="162">
        <v>0</v>
      </c>
      <c r="F58" s="162">
        <v>39680.18</v>
      </c>
      <c r="G58" s="162">
        <v>0</v>
      </c>
      <c r="H58" s="162">
        <v>66672</v>
      </c>
      <c r="I58" s="162">
        <v>165</v>
      </c>
      <c r="J58" s="162">
        <v>9955.89</v>
      </c>
      <c r="K58" s="162">
        <v>24097.5</v>
      </c>
      <c r="L58" s="162">
        <v>8445.99</v>
      </c>
      <c r="M58" s="162">
        <v>0</v>
      </c>
      <c r="N58" s="162">
        <v>24431</v>
      </c>
      <c r="O58" s="162">
        <v>2981.8</v>
      </c>
      <c r="P58" s="162">
        <v>21622.87</v>
      </c>
      <c r="Q58" s="162">
        <v>5766.42</v>
      </c>
      <c r="R58" s="162">
        <v>0</v>
      </c>
      <c r="S58" s="162">
        <v>0</v>
      </c>
      <c r="T58" s="162">
        <v>0</v>
      </c>
      <c r="U58" s="162">
        <v>-325</v>
      </c>
      <c r="V58" s="162">
        <v>70736</v>
      </c>
      <c r="W58" s="162">
        <f t="shared" si="2"/>
        <v>1681626.3199999998</v>
      </c>
      <c r="X58" s="162">
        <v>847711.33</v>
      </c>
      <c r="Y58" s="162">
        <v>26910.17</v>
      </c>
      <c r="Z58" s="162">
        <v>299505.33</v>
      </c>
      <c r="AA58" s="162">
        <v>35421.58</v>
      </c>
      <c r="AB58" s="162">
        <v>65161.55</v>
      </c>
      <c r="AC58" s="162">
        <v>0</v>
      </c>
      <c r="AD58" s="162">
        <v>0</v>
      </c>
      <c r="AE58" s="162">
        <v>6669</v>
      </c>
      <c r="AF58" s="162">
        <v>4220.8999999999996</v>
      </c>
      <c r="AG58" s="162">
        <v>7000</v>
      </c>
      <c r="AH58" s="162">
        <v>902.5</v>
      </c>
      <c r="AI58" s="162">
        <v>7504.91</v>
      </c>
      <c r="AJ58" s="162">
        <v>1591.9</v>
      </c>
      <c r="AK58" s="162">
        <v>29998.43</v>
      </c>
      <c r="AL58" s="162">
        <v>5068.67</v>
      </c>
      <c r="AM58" s="162">
        <v>35702.269999999997</v>
      </c>
      <c r="AN58" s="162">
        <v>34734.25</v>
      </c>
      <c r="AO58" s="162">
        <v>7014.92</v>
      </c>
      <c r="AP58" s="162">
        <v>48575.35</v>
      </c>
      <c r="AQ58" s="162">
        <v>49042.74</v>
      </c>
      <c r="AR58" s="162">
        <v>0</v>
      </c>
      <c r="AS58" s="162">
        <v>9014.7800000000007</v>
      </c>
      <c r="AT58" s="162">
        <v>5556.5</v>
      </c>
      <c r="AU58" s="162">
        <v>0</v>
      </c>
      <c r="AV58" s="162">
        <v>69686.81</v>
      </c>
      <c r="AW58" s="162">
        <v>28579.38</v>
      </c>
      <c r="AX58" s="162">
        <v>26953.01</v>
      </c>
      <c r="AY58" s="162">
        <v>15798.71</v>
      </c>
      <c r="AZ58" s="162">
        <v>0</v>
      </c>
      <c r="BA58" s="162">
        <v>0</v>
      </c>
      <c r="BB58" s="162">
        <v>0</v>
      </c>
      <c r="BC58" s="162">
        <f t="shared" si="3"/>
        <v>1668324.9899999998</v>
      </c>
      <c r="BD58" s="162">
        <f t="shared" si="4"/>
        <v>13301.330000000075</v>
      </c>
      <c r="BE58" s="162">
        <v>81507.33</v>
      </c>
      <c r="BF58" s="162">
        <f t="shared" si="5"/>
        <v>94808.660000000076</v>
      </c>
      <c r="BG58" s="162">
        <v>77529.119999999995</v>
      </c>
      <c r="BH58" s="162">
        <v>11807.68</v>
      </c>
      <c r="BI58" s="162">
        <f t="shared" si="6"/>
        <v>89336.799999999988</v>
      </c>
      <c r="BJ58" s="162">
        <v>72329.279999999999</v>
      </c>
      <c r="BK58" s="162">
        <v>15454.34</v>
      </c>
      <c r="BL58" s="162">
        <f t="shared" si="7"/>
        <v>87783.62</v>
      </c>
      <c r="BM58" s="162">
        <f t="shared" si="8"/>
        <v>1553.179999999993</v>
      </c>
      <c r="BN58" s="162">
        <v>-45508.179999999993</v>
      </c>
      <c r="BO58" s="162">
        <f t="shared" si="9"/>
        <v>-43955</v>
      </c>
      <c r="BP58" s="162">
        <v>21044</v>
      </c>
      <c r="BQ58" s="162">
        <v>51666.490000000311</v>
      </c>
      <c r="BR58" s="162">
        <v>-21856.83</v>
      </c>
      <c r="BS58" s="162">
        <f t="shared" si="10"/>
        <v>50853.660000000309</v>
      </c>
      <c r="BT58" s="162">
        <v>7183.75</v>
      </c>
      <c r="BU58" s="162">
        <v>0</v>
      </c>
      <c r="BV58" s="162">
        <v>0</v>
      </c>
      <c r="BW58" s="162">
        <f t="shared" si="11"/>
        <v>7183.75</v>
      </c>
      <c r="BX58" s="162">
        <v>0</v>
      </c>
      <c r="BY58" s="162">
        <v>15998</v>
      </c>
      <c r="BZ58" s="162">
        <v>0</v>
      </c>
      <c r="CA58" s="162">
        <v>5923.78</v>
      </c>
      <c r="CB58" s="162">
        <f t="shared" si="12"/>
        <v>21921.78</v>
      </c>
      <c r="CC58" s="162">
        <f t="shared" si="13"/>
        <v>-14738.029999999999</v>
      </c>
      <c r="CD58" s="162">
        <v>15997.69</v>
      </c>
      <c r="CE58" s="162">
        <f t="shared" si="14"/>
        <v>1259.6600000000017</v>
      </c>
    </row>
    <row r="59" spans="1:83" ht="15">
      <c r="A59" s="310">
        <v>1003</v>
      </c>
      <c r="B59" s="303" t="s">
        <v>376</v>
      </c>
      <c r="C59" s="75" t="s">
        <v>295</v>
      </c>
      <c r="D59" s="162">
        <v>496192</v>
      </c>
      <c r="E59" s="162">
        <v>0</v>
      </c>
      <c r="F59" s="162">
        <v>7654.62</v>
      </c>
      <c r="G59" s="162">
        <v>0</v>
      </c>
      <c r="H59" s="162">
        <v>0</v>
      </c>
      <c r="I59" s="162">
        <v>0</v>
      </c>
      <c r="J59" s="162">
        <v>0</v>
      </c>
      <c r="K59" s="162">
        <v>0</v>
      </c>
      <c r="L59" s="162">
        <v>20160.84</v>
      </c>
      <c r="M59" s="162">
        <v>16082.35</v>
      </c>
      <c r="N59" s="162">
        <v>0</v>
      </c>
      <c r="O59" s="162">
        <v>0</v>
      </c>
      <c r="P59" s="162">
        <v>0</v>
      </c>
      <c r="Q59" s="162">
        <v>0</v>
      </c>
      <c r="R59" s="162">
        <v>0</v>
      </c>
      <c r="S59" s="162">
        <v>0</v>
      </c>
      <c r="T59" s="162">
        <v>0</v>
      </c>
      <c r="U59" s="162">
        <v>0</v>
      </c>
      <c r="V59" s="162">
        <v>0</v>
      </c>
      <c r="W59" s="162">
        <f t="shared" si="2"/>
        <v>540089.81000000006</v>
      </c>
      <c r="X59" s="162">
        <v>236461.06</v>
      </c>
      <c r="Y59" s="162">
        <v>0</v>
      </c>
      <c r="Z59" s="162">
        <v>158002.73000000001</v>
      </c>
      <c r="AA59" s="162">
        <v>8442.09</v>
      </c>
      <c r="AB59" s="162">
        <v>24949.4</v>
      </c>
      <c r="AC59" s="162">
        <v>0</v>
      </c>
      <c r="AD59" s="162">
        <v>21806.91</v>
      </c>
      <c r="AE59" s="162">
        <v>2293.86</v>
      </c>
      <c r="AF59" s="162">
        <v>2451.9899999999998</v>
      </c>
      <c r="AG59" s="162">
        <v>0</v>
      </c>
      <c r="AH59" s="162">
        <v>0</v>
      </c>
      <c r="AI59" s="162">
        <v>8829.99</v>
      </c>
      <c r="AJ59" s="162">
        <v>3336.34</v>
      </c>
      <c r="AK59" s="162">
        <v>13701.36</v>
      </c>
      <c r="AL59" s="162">
        <v>1481.59</v>
      </c>
      <c r="AM59" s="162">
        <v>10349.030000000001</v>
      </c>
      <c r="AN59" s="162">
        <v>14471</v>
      </c>
      <c r="AO59" s="162">
        <v>8168.96</v>
      </c>
      <c r="AP59" s="162">
        <v>1864.8</v>
      </c>
      <c r="AQ59" s="162">
        <v>3044.26</v>
      </c>
      <c r="AR59" s="162">
        <v>0</v>
      </c>
      <c r="AS59" s="162">
        <v>9195.52</v>
      </c>
      <c r="AT59" s="162">
        <v>1955.5</v>
      </c>
      <c r="AU59" s="162">
        <v>0</v>
      </c>
      <c r="AV59" s="162">
        <v>8942.2199999999993</v>
      </c>
      <c r="AW59" s="162">
        <v>0</v>
      </c>
      <c r="AX59" s="162">
        <v>0</v>
      </c>
      <c r="AY59" s="162">
        <v>9281.65</v>
      </c>
      <c r="AZ59" s="162">
        <v>0</v>
      </c>
      <c r="BA59" s="162">
        <v>0</v>
      </c>
      <c r="BB59" s="162">
        <v>0</v>
      </c>
      <c r="BC59" s="162">
        <f t="shared" si="3"/>
        <v>549030.26000000013</v>
      </c>
      <c r="BD59" s="162">
        <f t="shared" si="4"/>
        <v>-8940.4500000000698</v>
      </c>
      <c r="BE59" s="162">
        <v>-44681.72</v>
      </c>
      <c r="BF59" s="162">
        <f t="shared" si="5"/>
        <v>-53622.170000000071</v>
      </c>
      <c r="BG59" s="162">
        <v>0</v>
      </c>
      <c r="BH59" s="162">
        <v>703134.16</v>
      </c>
      <c r="BI59" s="162">
        <f t="shared" si="6"/>
        <v>703134.16</v>
      </c>
      <c r="BJ59" s="162">
        <v>593358.55000000005</v>
      </c>
      <c r="BK59" s="162">
        <v>93768.76</v>
      </c>
      <c r="BL59" s="162">
        <f t="shared" si="7"/>
        <v>687127.31</v>
      </c>
      <c r="BM59" s="162">
        <f t="shared" si="8"/>
        <v>16006.849999999977</v>
      </c>
      <c r="BN59" s="162">
        <v>450396.52</v>
      </c>
      <c r="BO59" s="162">
        <f t="shared" si="9"/>
        <v>466403.37</v>
      </c>
      <c r="BP59" s="162">
        <v>0</v>
      </c>
      <c r="BQ59" s="162">
        <v>-53622.170000000071</v>
      </c>
      <c r="BR59" s="162">
        <v>466403.37</v>
      </c>
      <c r="BS59" s="162">
        <f t="shared" si="10"/>
        <v>412781.19999999995</v>
      </c>
      <c r="BT59" s="162">
        <v>4658.3500000000004</v>
      </c>
      <c r="BU59" s="162">
        <v>0</v>
      </c>
      <c r="BV59" s="162">
        <v>0</v>
      </c>
      <c r="BW59" s="162">
        <f t="shared" si="11"/>
        <v>4658.3500000000004</v>
      </c>
      <c r="BX59" s="162">
        <v>0</v>
      </c>
      <c r="BY59" s="162">
        <v>0</v>
      </c>
      <c r="BZ59" s="162">
        <v>0</v>
      </c>
      <c r="CA59" s="162">
        <v>0</v>
      </c>
      <c r="CB59" s="162">
        <f t="shared" si="12"/>
        <v>0</v>
      </c>
      <c r="CC59" s="162">
        <f t="shared" si="13"/>
        <v>4658.3500000000004</v>
      </c>
      <c r="CD59" s="162">
        <v>22695</v>
      </c>
      <c r="CE59" s="162">
        <f t="shared" si="14"/>
        <v>27353.35</v>
      </c>
    </row>
    <row r="60" spans="1:83" ht="15">
      <c r="A60" s="310">
        <v>3071</v>
      </c>
      <c r="B60" s="303" t="s">
        <v>378</v>
      </c>
      <c r="C60" s="75" t="s">
        <v>264</v>
      </c>
      <c r="D60" s="162">
        <v>1013364.36</v>
      </c>
      <c r="E60" s="162">
        <v>0</v>
      </c>
      <c r="F60" s="162">
        <v>66154.62</v>
      </c>
      <c r="G60" s="162">
        <v>0</v>
      </c>
      <c r="H60" s="162">
        <v>30690</v>
      </c>
      <c r="I60" s="162">
        <v>0</v>
      </c>
      <c r="J60" s="162">
        <v>0</v>
      </c>
      <c r="K60" s="162">
        <v>6008.22</v>
      </c>
      <c r="L60" s="162">
        <v>71145.440000000002</v>
      </c>
      <c r="M60" s="162">
        <v>519.45000000000005</v>
      </c>
      <c r="N60" s="162">
        <v>21018.799999999999</v>
      </c>
      <c r="O60" s="162">
        <v>2751.17</v>
      </c>
      <c r="P60" s="162">
        <v>27620.39</v>
      </c>
      <c r="Q60" s="162">
        <v>0</v>
      </c>
      <c r="R60" s="162">
        <v>0</v>
      </c>
      <c r="S60" s="162">
        <v>0</v>
      </c>
      <c r="T60" s="162">
        <v>0</v>
      </c>
      <c r="U60" s="162">
        <v>1126.8800000000001</v>
      </c>
      <c r="V60" s="162">
        <v>46326</v>
      </c>
      <c r="W60" s="162">
        <f t="shared" si="2"/>
        <v>1286725.3299999996</v>
      </c>
      <c r="X60" s="162">
        <v>671214.72</v>
      </c>
      <c r="Y60" s="162">
        <v>3826.87</v>
      </c>
      <c r="Z60" s="162">
        <v>268777.25</v>
      </c>
      <c r="AA60" s="162">
        <v>35063.410000000003</v>
      </c>
      <c r="AB60" s="162">
        <v>34344.199999999997</v>
      </c>
      <c r="AC60" s="162">
        <v>0</v>
      </c>
      <c r="AD60" s="162">
        <v>47529.47</v>
      </c>
      <c r="AE60" s="162">
        <v>4818.41</v>
      </c>
      <c r="AF60" s="162">
        <v>956.67</v>
      </c>
      <c r="AG60" s="162">
        <v>5050</v>
      </c>
      <c r="AH60" s="162">
        <v>0</v>
      </c>
      <c r="AI60" s="162">
        <v>21710.07</v>
      </c>
      <c r="AJ60" s="162">
        <v>787.58</v>
      </c>
      <c r="AK60" s="162">
        <v>1621.75</v>
      </c>
      <c r="AL60" s="162">
        <v>2166.42</v>
      </c>
      <c r="AM60" s="162">
        <v>18761.14</v>
      </c>
      <c r="AN60" s="162">
        <v>22330.25</v>
      </c>
      <c r="AO60" s="162">
        <v>4068.84</v>
      </c>
      <c r="AP60" s="162">
        <v>53623.79</v>
      </c>
      <c r="AQ60" s="162">
        <v>34132.089999999997</v>
      </c>
      <c r="AR60" s="162">
        <v>0</v>
      </c>
      <c r="AS60" s="162">
        <v>11534.82</v>
      </c>
      <c r="AT60" s="162">
        <v>4343.5</v>
      </c>
      <c r="AU60" s="162">
        <v>1560.51</v>
      </c>
      <c r="AV60" s="162">
        <v>43017.51</v>
      </c>
      <c r="AW60" s="162">
        <v>408.99</v>
      </c>
      <c r="AX60" s="162">
        <v>4278.25</v>
      </c>
      <c r="AY60" s="162">
        <v>11960.73</v>
      </c>
      <c r="AZ60" s="162">
        <v>0</v>
      </c>
      <c r="BA60" s="162">
        <v>0</v>
      </c>
      <c r="BB60" s="162">
        <v>0</v>
      </c>
      <c r="BC60" s="162">
        <f t="shared" si="3"/>
        <v>1307887.24</v>
      </c>
      <c r="BD60" s="162">
        <f t="shared" si="4"/>
        <v>-21161.910000000382</v>
      </c>
      <c r="BE60" s="162">
        <v>-8194.4599999999991</v>
      </c>
      <c r="BF60" s="162">
        <f t="shared" si="5"/>
        <v>-29356.370000000381</v>
      </c>
      <c r="BG60" s="162">
        <v>0</v>
      </c>
      <c r="BH60" s="162">
        <v>0</v>
      </c>
      <c r="BI60" s="162">
        <f t="shared" si="6"/>
        <v>0</v>
      </c>
      <c r="BJ60" s="162">
        <v>0</v>
      </c>
      <c r="BK60" s="162">
        <v>0</v>
      </c>
      <c r="BL60" s="162">
        <f t="shared" si="7"/>
        <v>0</v>
      </c>
      <c r="BM60" s="162">
        <f t="shared" si="8"/>
        <v>0</v>
      </c>
      <c r="BN60" s="162">
        <v>0</v>
      </c>
      <c r="BO60" s="162">
        <f t="shared" si="9"/>
        <v>0</v>
      </c>
      <c r="BP60" s="162">
        <v>0</v>
      </c>
      <c r="BQ60" s="162">
        <v>-29356.370000000381</v>
      </c>
      <c r="BR60" s="162">
        <v>0</v>
      </c>
      <c r="BS60" s="162">
        <f t="shared" si="10"/>
        <v>-29356.370000000381</v>
      </c>
      <c r="BT60" s="162">
        <v>6306.25</v>
      </c>
      <c r="BU60" s="162">
        <v>10000</v>
      </c>
      <c r="BV60" s="162">
        <v>0</v>
      </c>
      <c r="BW60" s="162">
        <f t="shared" si="11"/>
        <v>16306.25</v>
      </c>
      <c r="BX60" s="162">
        <v>0</v>
      </c>
      <c r="BY60" s="162">
        <v>7782.25</v>
      </c>
      <c r="BZ60" s="162">
        <v>0</v>
      </c>
      <c r="CA60" s="162">
        <v>0</v>
      </c>
      <c r="CB60" s="162">
        <f t="shared" si="12"/>
        <v>7782.25</v>
      </c>
      <c r="CC60" s="162">
        <f t="shared" si="13"/>
        <v>8524</v>
      </c>
      <c r="CD60" s="162">
        <v>3.24</v>
      </c>
      <c r="CE60" s="162">
        <f t="shared" si="14"/>
        <v>8527.24</v>
      </c>
    </row>
    <row r="61" spans="1:83" ht="15">
      <c r="A61" s="310">
        <v>1002</v>
      </c>
      <c r="B61" s="303" t="s">
        <v>380</v>
      </c>
      <c r="C61" s="75" t="s">
        <v>295</v>
      </c>
      <c r="D61" s="162">
        <v>545228.35</v>
      </c>
      <c r="E61" s="162">
        <v>0</v>
      </c>
      <c r="F61" s="162">
        <v>4097.3900000000003</v>
      </c>
      <c r="G61" s="162">
        <v>0</v>
      </c>
      <c r="H61" s="162">
        <v>0</v>
      </c>
      <c r="I61" s="162">
        <v>0</v>
      </c>
      <c r="J61" s="162">
        <v>0</v>
      </c>
      <c r="K61" s="162">
        <v>0</v>
      </c>
      <c r="L61" s="162">
        <v>2872.75</v>
      </c>
      <c r="M61" s="162">
        <v>0</v>
      </c>
      <c r="N61" s="162">
        <v>0</v>
      </c>
      <c r="O61" s="162">
        <v>0</v>
      </c>
      <c r="P61" s="162">
        <v>196119.17</v>
      </c>
      <c r="Q61" s="162">
        <v>15449.62</v>
      </c>
      <c r="R61" s="162">
        <v>0</v>
      </c>
      <c r="S61" s="162">
        <v>0</v>
      </c>
      <c r="T61" s="162">
        <v>0</v>
      </c>
      <c r="U61" s="162">
        <v>0</v>
      </c>
      <c r="V61" s="162">
        <v>0</v>
      </c>
      <c r="W61" s="162">
        <f t="shared" si="2"/>
        <v>763767.28</v>
      </c>
      <c r="X61" s="162">
        <v>302074.84000000003</v>
      </c>
      <c r="Y61" s="162">
        <v>0</v>
      </c>
      <c r="Z61" s="162">
        <v>199918.63</v>
      </c>
      <c r="AA61" s="162">
        <v>12299.45</v>
      </c>
      <c r="AB61" s="162">
        <v>36998.050000000003</v>
      </c>
      <c r="AC61" s="162">
        <v>0</v>
      </c>
      <c r="AD61" s="162">
        <v>58774.19</v>
      </c>
      <c r="AE61" s="162">
        <v>3570</v>
      </c>
      <c r="AF61" s="162">
        <v>5862.2</v>
      </c>
      <c r="AG61" s="162">
        <v>0</v>
      </c>
      <c r="AH61" s="162">
        <v>0</v>
      </c>
      <c r="AI61" s="162">
        <v>10873.52</v>
      </c>
      <c r="AJ61" s="162">
        <v>1358.77</v>
      </c>
      <c r="AK61" s="162">
        <v>19419.919999999998</v>
      </c>
      <c r="AL61" s="162">
        <v>1352.05</v>
      </c>
      <c r="AM61" s="162">
        <v>9964.5300000000007</v>
      </c>
      <c r="AN61" s="162">
        <v>10603.75</v>
      </c>
      <c r="AO61" s="162">
        <v>3625.89</v>
      </c>
      <c r="AP61" s="162">
        <v>6962.59</v>
      </c>
      <c r="AQ61" s="162">
        <v>13343.760000000002</v>
      </c>
      <c r="AR61" s="162">
        <v>0</v>
      </c>
      <c r="AS61" s="162">
        <v>7140.86</v>
      </c>
      <c r="AT61" s="162">
        <v>2549.94</v>
      </c>
      <c r="AU61" s="162">
        <v>0</v>
      </c>
      <c r="AV61" s="162">
        <v>436.04</v>
      </c>
      <c r="AW61" s="162">
        <v>0</v>
      </c>
      <c r="AX61" s="162">
        <v>0</v>
      </c>
      <c r="AY61" s="162">
        <v>8627.0300000000007</v>
      </c>
      <c r="AZ61" s="162">
        <v>0</v>
      </c>
      <c r="BA61" s="162">
        <v>0</v>
      </c>
      <c r="BB61" s="162">
        <v>3218.52</v>
      </c>
      <c r="BC61" s="162">
        <f t="shared" si="3"/>
        <v>718974.53000000026</v>
      </c>
      <c r="BD61" s="162">
        <f t="shared" si="4"/>
        <v>44792.749999999767</v>
      </c>
      <c r="BE61" s="162">
        <v>49188.7</v>
      </c>
      <c r="BF61" s="162">
        <f t="shared" si="5"/>
        <v>93981.449999999764</v>
      </c>
      <c r="BG61" s="162">
        <v>0</v>
      </c>
      <c r="BH61" s="162">
        <v>252481.73</v>
      </c>
      <c r="BI61" s="162">
        <f t="shared" si="6"/>
        <v>252481.73</v>
      </c>
      <c r="BJ61" s="162">
        <v>271323.75</v>
      </c>
      <c r="BK61" s="162">
        <v>60054.8</v>
      </c>
      <c r="BL61" s="162">
        <f t="shared" si="7"/>
        <v>331378.55</v>
      </c>
      <c r="BM61" s="162">
        <f t="shared" si="8"/>
        <v>-78896.819999999978</v>
      </c>
      <c r="BN61" s="162">
        <v>95325.65</v>
      </c>
      <c r="BO61" s="162">
        <f t="shared" si="9"/>
        <v>16428.830000000016</v>
      </c>
      <c r="BP61" s="162">
        <v>0</v>
      </c>
      <c r="BQ61" s="162">
        <v>59582.049999999857</v>
      </c>
      <c r="BR61" s="162">
        <v>50828.229999999952</v>
      </c>
      <c r="BS61" s="162">
        <f t="shared" si="10"/>
        <v>110410.27999999981</v>
      </c>
      <c r="BT61" s="162">
        <v>4730.3500000000004</v>
      </c>
      <c r="BU61" s="162">
        <v>0</v>
      </c>
      <c r="BV61" s="162">
        <v>0</v>
      </c>
      <c r="BW61" s="162">
        <f t="shared" si="11"/>
        <v>4730.3500000000004</v>
      </c>
      <c r="BX61" s="162">
        <v>0</v>
      </c>
      <c r="BY61" s="162">
        <v>5970.04</v>
      </c>
      <c r="BZ61" s="162">
        <v>0</v>
      </c>
      <c r="CA61" s="162">
        <v>0</v>
      </c>
      <c r="CB61" s="162">
        <f t="shared" si="12"/>
        <v>5970.04</v>
      </c>
      <c r="CC61" s="162">
        <f t="shared" si="13"/>
        <v>-1239.6899999999996</v>
      </c>
      <c r="CD61" s="162">
        <v>57972.39</v>
      </c>
      <c r="CE61" s="162">
        <f t="shared" si="14"/>
        <v>56732.7</v>
      </c>
    </row>
    <row r="62" spans="1:83" ht="15">
      <c r="A62" s="310">
        <v>2212</v>
      </c>
      <c r="B62" s="303" t="s">
        <v>382</v>
      </c>
      <c r="C62" s="75" t="s">
        <v>264</v>
      </c>
      <c r="D62" s="162">
        <v>943399.9</v>
      </c>
      <c r="E62" s="162">
        <v>0</v>
      </c>
      <c r="F62" s="162">
        <v>76330.2</v>
      </c>
      <c r="G62" s="162">
        <v>0</v>
      </c>
      <c r="H62" s="162">
        <v>29090</v>
      </c>
      <c r="I62" s="162">
        <v>1200</v>
      </c>
      <c r="J62" s="162">
        <v>0</v>
      </c>
      <c r="K62" s="162">
        <v>7970</v>
      </c>
      <c r="L62" s="162">
        <v>15555.58</v>
      </c>
      <c r="M62" s="162">
        <v>35511.53</v>
      </c>
      <c r="N62" s="162">
        <v>0</v>
      </c>
      <c r="O62" s="162">
        <v>14089</v>
      </c>
      <c r="P62" s="162">
        <v>12269.47</v>
      </c>
      <c r="Q62" s="162">
        <v>5109.2299999999996</v>
      </c>
      <c r="R62" s="162">
        <v>0</v>
      </c>
      <c r="S62" s="162">
        <v>0</v>
      </c>
      <c r="T62" s="162">
        <v>0</v>
      </c>
      <c r="U62" s="162">
        <v>74.38</v>
      </c>
      <c r="V62" s="162">
        <v>52891</v>
      </c>
      <c r="W62" s="162">
        <f t="shared" si="2"/>
        <v>1193490.29</v>
      </c>
      <c r="X62" s="162">
        <v>557601.54</v>
      </c>
      <c r="Y62" s="162">
        <v>0</v>
      </c>
      <c r="Z62" s="162">
        <v>229357.56</v>
      </c>
      <c r="AA62" s="162">
        <v>45335.07</v>
      </c>
      <c r="AB62" s="162">
        <v>67111.09</v>
      </c>
      <c r="AC62" s="162">
        <v>45947.08</v>
      </c>
      <c r="AD62" s="162">
        <v>25389.599999999999</v>
      </c>
      <c r="AE62" s="162">
        <v>25677.83</v>
      </c>
      <c r="AF62" s="162">
        <v>681</v>
      </c>
      <c r="AG62" s="162">
        <v>4500</v>
      </c>
      <c r="AH62" s="162">
        <v>0</v>
      </c>
      <c r="AI62" s="162">
        <v>2677.71</v>
      </c>
      <c r="AJ62" s="162">
        <v>2869.92</v>
      </c>
      <c r="AK62" s="162">
        <v>4186.24</v>
      </c>
      <c r="AL62" s="162">
        <v>5987.49</v>
      </c>
      <c r="AM62" s="162">
        <v>41207.440000000002</v>
      </c>
      <c r="AN62" s="162">
        <v>37947</v>
      </c>
      <c r="AO62" s="162">
        <v>7719.14</v>
      </c>
      <c r="AP62" s="162">
        <v>25284.47</v>
      </c>
      <c r="AQ62" s="162">
        <v>20371.870000000003</v>
      </c>
      <c r="AR62" s="162">
        <v>0</v>
      </c>
      <c r="AS62" s="162">
        <v>4792.6099999999997</v>
      </c>
      <c r="AT62" s="162">
        <v>4196.95</v>
      </c>
      <c r="AU62" s="162">
        <v>0</v>
      </c>
      <c r="AV62" s="162">
        <v>29177.05</v>
      </c>
      <c r="AW62" s="162">
        <v>3002.64</v>
      </c>
      <c r="AX62" s="162">
        <v>240.83</v>
      </c>
      <c r="AY62" s="162">
        <v>17748</v>
      </c>
      <c r="AZ62" s="162">
        <v>0</v>
      </c>
      <c r="BA62" s="162">
        <v>0</v>
      </c>
      <c r="BB62" s="162">
        <v>0</v>
      </c>
      <c r="BC62" s="162">
        <f t="shared" si="3"/>
        <v>1209010.1299999999</v>
      </c>
      <c r="BD62" s="162">
        <f t="shared" si="4"/>
        <v>-15519.839999999851</v>
      </c>
      <c r="BE62" s="162">
        <v>-30906.53</v>
      </c>
      <c r="BF62" s="162">
        <f t="shared" si="5"/>
        <v>-46426.36999999985</v>
      </c>
      <c r="BG62" s="162">
        <v>0</v>
      </c>
      <c r="BH62" s="162">
        <v>0</v>
      </c>
      <c r="BI62" s="162">
        <f t="shared" si="6"/>
        <v>0</v>
      </c>
      <c r="BJ62" s="162">
        <v>0</v>
      </c>
      <c r="BK62" s="162">
        <v>0</v>
      </c>
      <c r="BL62" s="162">
        <f t="shared" si="7"/>
        <v>0</v>
      </c>
      <c r="BM62" s="162">
        <f t="shared" si="8"/>
        <v>0</v>
      </c>
      <c r="BN62" s="162">
        <v>0</v>
      </c>
      <c r="BO62" s="162">
        <f t="shared" si="9"/>
        <v>0</v>
      </c>
      <c r="BP62" s="162">
        <v>8189</v>
      </c>
      <c r="BQ62" s="162">
        <v>-54615.36999999985</v>
      </c>
      <c r="BR62" s="162">
        <v>0</v>
      </c>
      <c r="BS62" s="162">
        <f t="shared" si="10"/>
        <v>-46426.36999999985</v>
      </c>
      <c r="BT62" s="162">
        <v>5991.25</v>
      </c>
      <c r="BU62" s="162">
        <v>0</v>
      </c>
      <c r="BV62" s="162">
        <v>0</v>
      </c>
      <c r="BW62" s="162">
        <f t="shared" si="11"/>
        <v>5991.25</v>
      </c>
      <c r="BX62" s="162">
        <v>0</v>
      </c>
      <c r="BY62" s="162">
        <v>23515.16</v>
      </c>
      <c r="BZ62" s="162">
        <v>0</v>
      </c>
      <c r="CA62" s="162">
        <v>1354</v>
      </c>
      <c r="CB62" s="162">
        <f t="shared" si="12"/>
        <v>24869.16</v>
      </c>
      <c r="CC62" s="162">
        <f t="shared" si="13"/>
        <v>-18877.91</v>
      </c>
      <c r="CD62" s="162">
        <v>29422.720000000001</v>
      </c>
      <c r="CE62" s="162">
        <f t="shared" si="14"/>
        <v>10544.810000000001</v>
      </c>
    </row>
    <row r="63" spans="1:83" ht="15">
      <c r="A63" s="310">
        <v>1007</v>
      </c>
      <c r="B63" s="303" t="s">
        <v>384</v>
      </c>
      <c r="C63" s="75" t="s">
        <v>295</v>
      </c>
      <c r="D63" s="162">
        <v>628964.35</v>
      </c>
      <c r="E63" s="162">
        <v>0</v>
      </c>
      <c r="F63" s="162">
        <v>13377.52</v>
      </c>
      <c r="G63" s="162">
        <v>0</v>
      </c>
      <c r="H63" s="162">
        <v>0</v>
      </c>
      <c r="I63" s="162">
        <v>0</v>
      </c>
      <c r="J63" s="162">
        <v>46500</v>
      </c>
      <c r="K63" s="162">
        <v>0</v>
      </c>
      <c r="L63" s="162">
        <v>862.6</v>
      </c>
      <c r="M63" s="162">
        <v>0</v>
      </c>
      <c r="N63" s="162">
        <v>0</v>
      </c>
      <c r="O63" s="162">
        <v>0</v>
      </c>
      <c r="P63" s="162">
        <v>36049.56</v>
      </c>
      <c r="Q63" s="162">
        <v>71124.100000000006</v>
      </c>
      <c r="R63" s="162">
        <v>0</v>
      </c>
      <c r="S63" s="162">
        <v>0</v>
      </c>
      <c r="T63" s="162">
        <v>0</v>
      </c>
      <c r="U63" s="162">
        <v>0</v>
      </c>
      <c r="V63" s="162">
        <v>0</v>
      </c>
      <c r="W63" s="162">
        <f t="shared" si="2"/>
        <v>796878.13</v>
      </c>
      <c r="X63" s="162">
        <v>206181.07</v>
      </c>
      <c r="Y63" s="162">
        <v>0</v>
      </c>
      <c r="Z63" s="162">
        <v>414597.38</v>
      </c>
      <c r="AA63" s="162">
        <v>20267.32</v>
      </c>
      <c r="AB63" s="162">
        <v>79855.820000000007</v>
      </c>
      <c r="AC63" s="162">
        <v>0</v>
      </c>
      <c r="AD63" s="162">
        <v>0</v>
      </c>
      <c r="AE63" s="162">
        <v>2468.8000000000002</v>
      </c>
      <c r="AF63" s="162">
        <v>5227.7</v>
      </c>
      <c r="AG63" s="162">
        <v>0</v>
      </c>
      <c r="AH63" s="162">
        <v>0</v>
      </c>
      <c r="AI63" s="162">
        <v>7393.06</v>
      </c>
      <c r="AJ63" s="162">
        <v>0</v>
      </c>
      <c r="AK63" s="162">
        <v>3734.18</v>
      </c>
      <c r="AL63" s="162">
        <v>1743.25</v>
      </c>
      <c r="AM63" s="162">
        <v>14070.63</v>
      </c>
      <c r="AN63" s="162">
        <v>15968</v>
      </c>
      <c r="AO63" s="162">
        <v>8141.37</v>
      </c>
      <c r="AP63" s="162">
        <v>9406.59</v>
      </c>
      <c r="AQ63" s="162">
        <v>10975.06</v>
      </c>
      <c r="AR63" s="162">
        <v>0</v>
      </c>
      <c r="AS63" s="162">
        <v>4771.37</v>
      </c>
      <c r="AT63" s="162">
        <v>1469.35</v>
      </c>
      <c r="AU63" s="162">
        <v>0</v>
      </c>
      <c r="AV63" s="162">
        <v>0</v>
      </c>
      <c r="AW63" s="162">
        <v>0</v>
      </c>
      <c r="AX63" s="162">
        <v>0</v>
      </c>
      <c r="AY63" s="162">
        <v>12063.22</v>
      </c>
      <c r="AZ63" s="162">
        <v>0</v>
      </c>
      <c r="BA63" s="162">
        <v>0</v>
      </c>
      <c r="BB63" s="162">
        <v>0</v>
      </c>
      <c r="BC63" s="162">
        <f t="shared" si="3"/>
        <v>818334.16999999993</v>
      </c>
      <c r="BD63" s="162">
        <f t="shared" si="4"/>
        <v>-21456.039999999921</v>
      </c>
      <c r="BE63" s="162">
        <v>-268432.92</v>
      </c>
      <c r="BF63" s="162">
        <f t="shared" si="5"/>
        <v>-289888.9599999999</v>
      </c>
      <c r="BG63" s="162">
        <v>169000</v>
      </c>
      <c r="BH63" s="162">
        <v>23838.12</v>
      </c>
      <c r="BI63" s="162">
        <f t="shared" si="6"/>
        <v>192838.12</v>
      </c>
      <c r="BJ63" s="162">
        <v>145447.48000000001</v>
      </c>
      <c r="BK63" s="162">
        <v>50916.67</v>
      </c>
      <c r="BL63" s="162">
        <f t="shared" si="7"/>
        <v>196364.15000000002</v>
      </c>
      <c r="BM63" s="162">
        <f t="shared" si="8"/>
        <v>-3526.0300000000279</v>
      </c>
      <c r="BN63" s="162">
        <v>19714.23</v>
      </c>
      <c r="BO63" s="162">
        <f t="shared" si="9"/>
        <v>16188.199999999972</v>
      </c>
      <c r="BP63" s="162">
        <v>57464.66</v>
      </c>
      <c r="BQ63" s="162">
        <v>-347353.61999999976</v>
      </c>
      <c r="BR63" s="162">
        <v>16188.20000000003</v>
      </c>
      <c r="BS63" s="162">
        <f t="shared" si="10"/>
        <v>-273700.75999999978</v>
      </c>
      <c r="BT63" s="162">
        <v>340056.19</v>
      </c>
      <c r="BU63" s="162">
        <v>0</v>
      </c>
      <c r="BV63" s="162">
        <v>0</v>
      </c>
      <c r="BW63" s="162">
        <f t="shared" si="11"/>
        <v>340056.19</v>
      </c>
      <c r="BX63" s="162">
        <v>0</v>
      </c>
      <c r="BY63" s="162">
        <v>138757.95000000001</v>
      </c>
      <c r="BZ63" s="162">
        <v>0</v>
      </c>
      <c r="CA63" s="162">
        <v>4311.68</v>
      </c>
      <c r="CB63" s="162">
        <f t="shared" si="12"/>
        <v>143069.63</v>
      </c>
      <c r="CC63" s="162">
        <f t="shared" si="13"/>
        <v>196986.56</v>
      </c>
      <c r="CD63" s="162">
        <v>28196.29</v>
      </c>
      <c r="CE63" s="162">
        <f t="shared" si="14"/>
        <v>225182.85</v>
      </c>
    </row>
    <row r="64" spans="1:83" ht="13.8">
      <c r="A64" s="310">
        <v>3945</v>
      </c>
      <c r="B64" s="303" t="s">
        <v>386</v>
      </c>
      <c r="C64" s="25" t="s">
        <v>264</v>
      </c>
      <c r="D64" s="162">
        <v>2293655.65</v>
      </c>
      <c r="E64" s="162">
        <v>0</v>
      </c>
      <c r="F64" s="162">
        <v>218724.12</v>
      </c>
      <c r="G64" s="162">
        <v>0</v>
      </c>
      <c r="H64" s="162">
        <v>197590</v>
      </c>
      <c r="I64" s="162">
        <v>27984.5</v>
      </c>
      <c r="J64" s="162">
        <v>7488</v>
      </c>
      <c r="K64" s="162">
        <v>0</v>
      </c>
      <c r="L64" s="162">
        <v>37789.660000000003</v>
      </c>
      <c r="M64" s="162">
        <v>29767.33</v>
      </c>
      <c r="N64" s="162">
        <v>1800</v>
      </c>
      <c r="O64" s="162">
        <v>0</v>
      </c>
      <c r="P64" s="162">
        <v>19292.28</v>
      </c>
      <c r="Q64" s="162">
        <v>2025.25</v>
      </c>
      <c r="R64" s="162">
        <v>0</v>
      </c>
      <c r="S64" s="162">
        <v>0</v>
      </c>
      <c r="T64" s="162">
        <v>0</v>
      </c>
      <c r="U64" s="162">
        <v>8019.38</v>
      </c>
      <c r="V64" s="162">
        <v>85641</v>
      </c>
      <c r="W64" s="162">
        <f t="shared" si="2"/>
        <v>2929777.17</v>
      </c>
      <c r="X64" s="162">
        <v>1246021.75</v>
      </c>
      <c r="Y64" s="162">
        <v>2718.22</v>
      </c>
      <c r="Z64" s="162">
        <v>662478.01</v>
      </c>
      <c r="AA64" s="162">
        <v>58976.31</v>
      </c>
      <c r="AB64" s="162">
        <v>141751.1</v>
      </c>
      <c r="AC64" s="162">
        <v>0</v>
      </c>
      <c r="AD64" s="162">
        <v>132805.20000000001</v>
      </c>
      <c r="AE64" s="162">
        <v>10075.86</v>
      </c>
      <c r="AF64" s="162">
        <v>6099</v>
      </c>
      <c r="AG64" s="162">
        <v>10150</v>
      </c>
      <c r="AH64" s="162">
        <v>430</v>
      </c>
      <c r="AI64" s="162">
        <v>23840.39</v>
      </c>
      <c r="AJ64" s="162">
        <v>5749.25</v>
      </c>
      <c r="AK64" s="162">
        <v>42037.57</v>
      </c>
      <c r="AL64" s="162">
        <v>18607.57</v>
      </c>
      <c r="AM64" s="162">
        <v>65751.55</v>
      </c>
      <c r="AN64" s="162">
        <v>38493</v>
      </c>
      <c r="AO64" s="162">
        <v>24127.85</v>
      </c>
      <c r="AP64" s="162">
        <v>47713.34</v>
      </c>
      <c r="AQ64" s="162">
        <v>51185.630000000005</v>
      </c>
      <c r="AR64" s="162">
        <v>0</v>
      </c>
      <c r="AS64" s="162">
        <v>24869.279999999999</v>
      </c>
      <c r="AT64" s="162">
        <v>8613.82</v>
      </c>
      <c r="AU64" s="162">
        <v>13016.89</v>
      </c>
      <c r="AV64" s="162">
        <v>147748.73000000001</v>
      </c>
      <c r="AW64" s="162">
        <v>24556.02</v>
      </c>
      <c r="AX64" s="162">
        <v>45025.14</v>
      </c>
      <c r="AY64" s="162">
        <v>18193.45</v>
      </c>
      <c r="AZ64" s="162">
        <v>0</v>
      </c>
      <c r="BA64" s="162">
        <v>0</v>
      </c>
      <c r="BB64" s="162">
        <v>3962.66</v>
      </c>
      <c r="BC64" s="162">
        <f t="shared" si="3"/>
        <v>2874997.59</v>
      </c>
      <c r="BD64" s="162">
        <f t="shared" si="4"/>
        <v>54779.580000000075</v>
      </c>
      <c r="BE64" s="162">
        <v>4956.3999999999996</v>
      </c>
      <c r="BF64" s="162">
        <f t="shared" si="5"/>
        <v>59735.980000000076</v>
      </c>
      <c r="BG64" s="162">
        <v>0</v>
      </c>
      <c r="BH64" s="162">
        <v>0</v>
      </c>
      <c r="BI64" s="162">
        <f t="shared" si="6"/>
        <v>0</v>
      </c>
      <c r="BJ64" s="162">
        <v>0</v>
      </c>
      <c r="BK64" s="162">
        <v>0</v>
      </c>
      <c r="BL64" s="162">
        <f t="shared" si="7"/>
        <v>0</v>
      </c>
      <c r="BM64" s="162">
        <f t="shared" si="8"/>
        <v>0</v>
      </c>
      <c r="BN64" s="162">
        <v>0</v>
      </c>
      <c r="BO64" s="162">
        <f t="shared" si="9"/>
        <v>0</v>
      </c>
      <c r="BP64" s="162">
        <v>21733</v>
      </c>
      <c r="BQ64" s="162">
        <v>38002.980000000076</v>
      </c>
      <c r="BR64" s="162">
        <v>0</v>
      </c>
      <c r="BS64" s="162">
        <f t="shared" si="10"/>
        <v>59735.980000000076</v>
      </c>
      <c r="BT64" s="162">
        <v>8443.75</v>
      </c>
      <c r="BU64" s="162">
        <v>39386.230000000003</v>
      </c>
      <c r="BV64" s="162">
        <v>3962.66</v>
      </c>
      <c r="BW64" s="162">
        <f t="shared" si="11"/>
        <v>51792.639999999999</v>
      </c>
      <c r="BX64" s="162">
        <v>0</v>
      </c>
      <c r="BY64" s="162">
        <v>52572.74</v>
      </c>
      <c r="BZ64" s="162">
        <v>0</v>
      </c>
      <c r="CA64" s="162">
        <v>0</v>
      </c>
      <c r="CB64" s="162">
        <f t="shared" si="12"/>
        <v>52572.74</v>
      </c>
      <c r="CC64" s="162">
        <f t="shared" si="13"/>
        <v>-780.09999999999854</v>
      </c>
      <c r="CD64" s="162">
        <v>941.5</v>
      </c>
      <c r="CE64" s="162">
        <f t="shared" si="14"/>
        <v>161.40000000000146</v>
      </c>
    </row>
    <row r="65" spans="1:83" ht="13.8">
      <c r="A65" s="310">
        <v>3022</v>
      </c>
      <c r="B65" s="303" t="s">
        <v>388</v>
      </c>
      <c r="C65" s="25" t="s">
        <v>264</v>
      </c>
      <c r="D65" s="162">
        <v>1079206.43</v>
      </c>
      <c r="E65" s="162">
        <v>0</v>
      </c>
      <c r="F65" s="162">
        <v>27335.119999999999</v>
      </c>
      <c r="G65" s="162">
        <v>0</v>
      </c>
      <c r="H65" s="162">
        <v>32270</v>
      </c>
      <c r="I65" s="162">
        <v>0</v>
      </c>
      <c r="J65" s="162">
        <v>0</v>
      </c>
      <c r="K65" s="162">
        <v>0</v>
      </c>
      <c r="L65" s="162">
        <v>43005.19</v>
      </c>
      <c r="M65" s="162">
        <v>20680.21</v>
      </c>
      <c r="N65" s="162">
        <v>7284</v>
      </c>
      <c r="O65" s="162">
        <v>0</v>
      </c>
      <c r="P65" s="162">
        <v>21833.59</v>
      </c>
      <c r="Q65" s="162">
        <v>4937.22</v>
      </c>
      <c r="R65" s="162">
        <v>0</v>
      </c>
      <c r="S65" s="162">
        <v>0</v>
      </c>
      <c r="T65" s="162">
        <v>0</v>
      </c>
      <c r="U65" s="162">
        <v>-335</v>
      </c>
      <c r="V65" s="162">
        <v>52399</v>
      </c>
      <c r="W65" s="162">
        <f t="shared" si="2"/>
        <v>1288615.76</v>
      </c>
      <c r="X65" s="162">
        <v>709916.43</v>
      </c>
      <c r="Y65" s="162">
        <v>1288.96</v>
      </c>
      <c r="Z65" s="162">
        <v>206966.7</v>
      </c>
      <c r="AA65" s="162">
        <v>31083.61</v>
      </c>
      <c r="AB65" s="162">
        <v>69047.8</v>
      </c>
      <c r="AC65" s="162">
        <v>37051.08</v>
      </c>
      <c r="AD65" s="162">
        <v>11138.49</v>
      </c>
      <c r="AE65" s="162">
        <v>5674.9</v>
      </c>
      <c r="AF65" s="162">
        <v>4781.7700000000004</v>
      </c>
      <c r="AG65" s="162">
        <v>5350</v>
      </c>
      <c r="AH65" s="162">
        <v>0</v>
      </c>
      <c r="AI65" s="162">
        <v>10028.379999999999</v>
      </c>
      <c r="AJ65" s="162">
        <v>2090.62</v>
      </c>
      <c r="AK65" s="162">
        <v>1931.85</v>
      </c>
      <c r="AL65" s="162">
        <v>5021.92</v>
      </c>
      <c r="AM65" s="162">
        <v>37230.82</v>
      </c>
      <c r="AN65" s="162">
        <v>23702.5</v>
      </c>
      <c r="AO65" s="162">
        <v>2078.7399999999998</v>
      </c>
      <c r="AP65" s="162">
        <v>44959.66</v>
      </c>
      <c r="AQ65" s="162">
        <v>20886.740000000002</v>
      </c>
      <c r="AR65" s="162">
        <v>0</v>
      </c>
      <c r="AS65" s="162">
        <v>21464.27</v>
      </c>
      <c r="AT65" s="162">
        <v>4295.29</v>
      </c>
      <c r="AU65" s="162">
        <v>302.16000000000003</v>
      </c>
      <c r="AV65" s="162">
        <v>26318.61</v>
      </c>
      <c r="AW65" s="162">
        <v>2766.61</v>
      </c>
      <c r="AX65" s="162">
        <v>3162.5</v>
      </c>
      <c r="AY65" s="162">
        <v>13176.45</v>
      </c>
      <c r="AZ65" s="162">
        <v>0</v>
      </c>
      <c r="BA65" s="162">
        <v>0</v>
      </c>
      <c r="BB65" s="162">
        <v>0</v>
      </c>
      <c r="BC65" s="162">
        <f t="shared" si="3"/>
        <v>1301716.8600000001</v>
      </c>
      <c r="BD65" s="162">
        <f t="shared" si="4"/>
        <v>-13101.100000000093</v>
      </c>
      <c r="BE65" s="162">
        <v>30170.7</v>
      </c>
      <c r="BF65" s="162">
        <f t="shared" si="5"/>
        <v>17069.599999999908</v>
      </c>
      <c r="BG65" s="162">
        <v>0</v>
      </c>
      <c r="BH65" s="162">
        <v>0</v>
      </c>
      <c r="BI65" s="162">
        <f t="shared" si="6"/>
        <v>0</v>
      </c>
      <c r="BJ65" s="162">
        <v>0</v>
      </c>
      <c r="BK65" s="162">
        <v>0</v>
      </c>
      <c r="BL65" s="162">
        <f t="shared" si="7"/>
        <v>0</v>
      </c>
      <c r="BM65" s="162">
        <f t="shared" si="8"/>
        <v>0</v>
      </c>
      <c r="BN65" s="162">
        <v>0</v>
      </c>
      <c r="BO65" s="162">
        <f t="shared" si="9"/>
        <v>0</v>
      </c>
      <c r="BP65" s="162">
        <v>0</v>
      </c>
      <c r="BQ65" s="162">
        <v>17069.60000000014</v>
      </c>
      <c r="BR65" s="162">
        <v>0</v>
      </c>
      <c r="BS65" s="162">
        <f t="shared" si="10"/>
        <v>17069.60000000014</v>
      </c>
      <c r="BT65" s="162">
        <v>6328.75</v>
      </c>
      <c r="BU65" s="162">
        <v>2366.7199999999998</v>
      </c>
      <c r="BV65" s="162">
        <v>0</v>
      </c>
      <c r="BW65" s="162">
        <f t="shared" si="11"/>
        <v>8695.4699999999993</v>
      </c>
      <c r="BX65" s="162">
        <v>0</v>
      </c>
      <c r="BY65" s="162">
        <v>0</v>
      </c>
      <c r="BZ65" s="162">
        <v>0</v>
      </c>
      <c r="CA65" s="162">
        <v>6424.23</v>
      </c>
      <c r="CB65" s="162">
        <f t="shared" si="12"/>
        <v>6424.23</v>
      </c>
      <c r="CC65" s="162">
        <f t="shared" si="13"/>
        <v>2271.2399999999998</v>
      </c>
      <c r="CD65" s="162">
        <v>6608.46</v>
      </c>
      <c r="CE65" s="162">
        <f t="shared" si="14"/>
        <v>8879.7000000000007</v>
      </c>
    </row>
    <row r="66" spans="1:83" ht="13.8">
      <c r="A66" s="310">
        <v>2442</v>
      </c>
      <c r="B66" s="303" t="s">
        <v>390</v>
      </c>
      <c r="C66" s="25" t="s">
        <v>264</v>
      </c>
      <c r="D66" s="162">
        <v>725371.83</v>
      </c>
      <c r="E66" s="162">
        <v>0</v>
      </c>
      <c r="F66" s="162">
        <v>33537.99</v>
      </c>
      <c r="G66" s="162">
        <v>0</v>
      </c>
      <c r="H66" s="162">
        <v>18440</v>
      </c>
      <c r="I66" s="162">
        <v>165</v>
      </c>
      <c r="J66" s="162">
        <v>0</v>
      </c>
      <c r="K66" s="162">
        <v>320</v>
      </c>
      <c r="L66" s="162">
        <v>1640.75</v>
      </c>
      <c r="M66" s="162">
        <v>15621.58</v>
      </c>
      <c r="N66" s="162">
        <v>0</v>
      </c>
      <c r="O66" s="162">
        <v>0</v>
      </c>
      <c r="P66" s="162">
        <v>49985.760000000002</v>
      </c>
      <c r="Q66" s="162">
        <v>18112.2</v>
      </c>
      <c r="R66" s="162">
        <v>0</v>
      </c>
      <c r="S66" s="162">
        <v>0</v>
      </c>
      <c r="T66" s="162">
        <v>0</v>
      </c>
      <c r="U66" s="162">
        <v>809.38</v>
      </c>
      <c r="V66" s="162">
        <v>44888</v>
      </c>
      <c r="W66" s="162">
        <f t="shared" si="2"/>
        <v>908892.48999999987</v>
      </c>
      <c r="X66" s="162">
        <v>427607.35</v>
      </c>
      <c r="Y66" s="162">
        <v>0</v>
      </c>
      <c r="Z66" s="162">
        <v>162437.51999999999</v>
      </c>
      <c r="AA66" s="162">
        <v>12530.16</v>
      </c>
      <c r="AB66" s="162">
        <v>51951.97</v>
      </c>
      <c r="AC66" s="162">
        <v>0</v>
      </c>
      <c r="AD66" s="162">
        <v>7647.85</v>
      </c>
      <c r="AE66" s="162">
        <v>2763.64</v>
      </c>
      <c r="AF66" s="162">
        <v>2845.5</v>
      </c>
      <c r="AG66" s="162">
        <v>3149.59</v>
      </c>
      <c r="AH66" s="162">
        <v>0</v>
      </c>
      <c r="AI66" s="162">
        <v>5961.59</v>
      </c>
      <c r="AJ66" s="162">
        <v>4153.46</v>
      </c>
      <c r="AK66" s="162">
        <v>13154.32</v>
      </c>
      <c r="AL66" s="162">
        <v>3175.31</v>
      </c>
      <c r="AM66" s="162">
        <v>10716.75</v>
      </c>
      <c r="AN66" s="162">
        <v>20459</v>
      </c>
      <c r="AO66" s="162">
        <v>5328.07</v>
      </c>
      <c r="AP66" s="162">
        <v>52989.93</v>
      </c>
      <c r="AQ66" s="162">
        <v>22036.66</v>
      </c>
      <c r="AR66" s="162">
        <v>0</v>
      </c>
      <c r="AS66" s="162">
        <v>10386.450000000001</v>
      </c>
      <c r="AT66" s="162">
        <v>2665.8</v>
      </c>
      <c r="AU66" s="162">
        <v>2631.33</v>
      </c>
      <c r="AV66" s="162">
        <v>52630.69</v>
      </c>
      <c r="AW66" s="162">
        <v>0</v>
      </c>
      <c r="AX66" s="162">
        <v>2833</v>
      </c>
      <c r="AY66" s="162">
        <v>16740.53</v>
      </c>
      <c r="AZ66" s="162">
        <v>0</v>
      </c>
      <c r="BA66" s="162">
        <v>0</v>
      </c>
      <c r="BB66" s="162">
        <v>4905.99</v>
      </c>
      <c r="BC66" s="162">
        <f t="shared" si="3"/>
        <v>901702.46</v>
      </c>
      <c r="BD66" s="162">
        <f t="shared" si="4"/>
        <v>7190.0299999999115</v>
      </c>
      <c r="BE66" s="162">
        <v>124989.73</v>
      </c>
      <c r="BF66" s="162">
        <f t="shared" si="5"/>
        <v>132179.75999999989</v>
      </c>
      <c r="BG66" s="162">
        <v>0</v>
      </c>
      <c r="BH66" s="162">
        <v>0</v>
      </c>
      <c r="BI66" s="162">
        <f t="shared" si="6"/>
        <v>0</v>
      </c>
      <c r="BJ66" s="162">
        <v>0</v>
      </c>
      <c r="BK66" s="162">
        <v>0</v>
      </c>
      <c r="BL66" s="162">
        <f t="shared" si="7"/>
        <v>0</v>
      </c>
      <c r="BM66" s="162">
        <f t="shared" si="8"/>
        <v>0</v>
      </c>
      <c r="BN66" s="162">
        <v>0</v>
      </c>
      <c r="BO66" s="162">
        <f t="shared" si="9"/>
        <v>0</v>
      </c>
      <c r="BP66" s="162">
        <v>62</v>
      </c>
      <c r="BQ66" s="162">
        <v>132117.76000000001</v>
      </c>
      <c r="BR66" s="162">
        <v>0</v>
      </c>
      <c r="BS66" s="162">
        <f t="shared" si="10"/>
        <v>132179.76</v>
      </c>
      <c r="BT66" s="162">
        <v>5203.75</v>
      </c>
      <c r="BU66" s="162">
        <v>19500</v>
      </c>
      <c r="BV66" s="162">
        <v>4905.99</v>
      </c>
      <c r="BW66" s="162">
        <f t="shared" si="11"/>
        <v>29609.739999999998</v>
      </c>
      <c r="BX66" s="162">
        <v>0</v>
      </c>
      <c r="BY66" s="162">
        <v>7029.51</v>
      </c>
      <c r="BZ66" s="162">
        <v>19500</v>
      </c>
      <c r="CA66" s="162">
        <v>3080.23</v>
      </c>
      <c r="CB66" s="162">
        <f t="shared" si="12"/>
        <v>29609.739999999998</v>
      </c>
      <c r="CC66" s="162">
        <f t="shared" si="13"/>
        <v>0</v>
      </c>
      <c r="CD66" s="162">
        <v>0</v>
      </c>
      <c r="CE66" s="162">
        <f t="shared" si="14"/>
        <v>0</v>
      </c>
    </row>
    <row r="67" spans="1:83" ht="13.8">
      <c r="A67" s="310">
        <v>2331</v>
      </c>
      <c r="B67" s="303" t="s">
        <v>392</v>
      </c>
      <c r="C67" s="25" t="s">
        <v>264</v>
      </c>
      <c r="D67" s="162">
        <v>606463.71</v>
      </c>
      <c r="E67" s="162">
        <v>0</v>
      </c>
      <c r="F67" s="162">
        <v>57919.61</v>
      </c>
      <c r="G67" s="162">
        <v>0</v>
      </c>
      <c r="H67" s="162">
        <v>48575</v>
      </c>
      <c r="I67" s="162">
        <v>1641</v>
      </c>
      <c r="J67" s="162">
        <v>0</v>
      </c>
      <c r="K67" s="162">
        <v>0</v>
      </c>
      <c r="L67" s="162">
        <v>2934.18</v>
      </c>
      <c r="M67" s="162">
        <v>3441.75</v>
      </c>
      <c r="N67" s="162">
        <v>0</v>
      </c>
      <c r="O67" s="162">
        <v>0</v>
      </c>
      <c r="P67" s="162">
        <v>5499.74</v>
      </c>
      <c r="Q67" s="162">
        <v>34308.94</v>
      </c>
      <c r="R67" s="162">
        <v>0</v>
      </c>
      <c r="S67" s="162">
        <v>0</v>
      </c>
      <c r="T67" s="162">
        <v>0</v>
      </c>
      <c r="U67" s="162">
        <v>3488.7</v>
      </c>
      <c r="V67" s="162">
        <v>26382</v>
      </c>
      <c r="W67" s="162">
        <f t="shared" si="2"/>
        <v>790654.62999999989</v>
      </c>
      <c r="X67" s="162">
        <v>294358.26</v>
      </c>
      <c r="Y67" s="162">
        <v>20968.25</v>
      </c>
      <c r="Z67" s="162">
        <v>182674.79</v>
      </c>
      <c r="AA67" s="162">
        <v>0</v>
      </c>
      <c r="AB67" s="162">
        <v>32481.99</v>
      </c>
      <c r="AC67" s="162">
        <v>17596.099999999999</v>
      </c>
      <c r="AD67" s="162">
        <v>12593.6</v>
      </c>
      <c r="AE67" s="162">
        <v>2596.5500000000002</v>
      </c>
      <c r="AF67" s="162">
        <v>4687.3999999999996</v>
      </c>
      <c r="AG67" s="162">
        <v>1950</v>
      </c>
      <c r="AH67" s="162">
        <v>890</v>
      </c>
      <c r="AI67" s="162">
        <v>2950.23</v>
      </c>
      <c r="AJ67" s="162">
        <v>3036.2</v>
      </c>
      <c r="AK67" s="162">
        <v>28050.68</v>
      </c>
      <c r="AL67" s="162">
        <v>903.02</v>
      </c>
      <c r="AM67" s="162">
        <v>13743.54</v>
      </c>
      <c r="AN67" s="162">
        <v>13090.95</v>
      </c>
      <c r="AO67" s="162">
        <v>6820.54</v>
      </c>
      <c r="AP67" s="162">
        <v>47875.95</v>
      </c>
      <c r="AQ67" s="162">
        <v>19383.62</v>
      </c>
      <c r="AR67" s="162">
        <v>0</v>
      </c>
      <c r="AS67" s="162">
        <v>5877.04</v>
      </c>
      <c r="AT67" s="162">
        <v>1815.88</v>
      </c>
      <c r="AU67" s="162">
        <v>0</v>
      </c>
      <c r="AV67" s="162">
        <v>13546.91</v>
      </c>
      <c r="AW67" s="162">
        <v>0</v>
      </c>
      <c r="AX67" s="162">
        <v>17900.62</v>
      </c>
      <c r="AY67" s="162">
        <v>9540.24</v>
      </c>
      <c r="AZ67" s="162">
        <v>0</v>
      </c>
      <c r="BA67" s="162">
        <v>0</v>
      </c>
      <c r="BB67" s="162">
        <v>0</v>
      </c>
      <c r="BC67" s="162">
        <f t="shared" si="3"/>
        <v>755332.3600000001</v>
      </c>
      <c r="BD67" s="162">
        <f t="shared" si="4"/>
        <v>35322.269999999786</v>
      </c>
      <c r="BE67" s="162">
        <v>49908.59</v>
      </c>
      <c r="BF67" s="162">
        <f t="shared" si="5"/>
        <v>85230.859999999782</v>
      </c>
      <c r="BG67" s="162">
        <v>0</v>
      </c>
      <c r="BH67" s="162">
        <v>0</v>
      </c>
      <c r="BI67" s="162">
        <f t="shared" si="6"/>
        <v>0</v>
      </c>
      <c r="BJ67" s="162">
        <v>0</v>
      </c>
      <c r="BK67" s="162">
        <v>0</v>
      </c>
      <c r="BL67" s="162">
        <f t="shared" si="7"/>
        <v>0</v>
      </c>
      <c r="BM67" s="162">
        <f t="shared" si="8"/>
        <v>0</v>
      </c>
      <c r="BN67" s="162">
        <v>0</v>
      </c>
      <c r="BO67" s="162">
        <f t="shared" si="9"/>
        <v>0</v>
      </c>
      <c r="BP67" s="162">
        <v>23089.840000000004</v>
      </c>
      <c r="BQ67" s="162">
        <v>62141.019999999662</v>
      </c>
      <c r="BR67" s="162">
        <v>0</v>
      </c>
      <c r="BS67" s="162">
        <f t="shared" si="10"/>
        <v>85230.859999999666</v>
      </c>
      <c r="BT67" s="162">
        <v>4900</v>
      </c>
      <c r="BU67" s="162">
        <v>0</v>
      </c>
      <c r="BV67" s="162">
        <v>0</v>
      </c>
      <c r="BW67" s="162">
        <f t="shared" si="11"/>
        <v>4900</v>
      </c>
      <c r="BX67" s="162">
        <v>0</v>
      </c>
      <c r="BY67" s="162">
        <v>14851.54</v>
      </c>
      <c r="BZ67" s="162">
        <v>0</v>
      </c>
      <c r="CA67" s="162">
        <v>0</v>
      </c>
      <c r="CB67" s="162">
        <f t="shared" si="12"/>
        <v>14851.54</v>
      </c>
      <c r="CC67" s="162">
        <f t="shared" si="13"/>
        <v>-9951.5400000000009</v>
      </c>
      <c r="CD67" s="162">
        <v>10922.69</v>
      </c>
      <c r="CE67" s="162">
        <f t="shared" si="14"/>
        <v>971.14999999999964</v>
      </c>
    </row>
    <row r="68" spans="1:83" ht="13.8">
      <c r="A68" s="310">
        <v>1000</v>
      </c>
      <c r="B68" s="303" t="s">
        <v>394</v>
      </c>
      <c r="C68" s="25" t="s">
        <v>295</v>
      </c>
      <c r="D68" s="162">
        <v>399082.82</v>
      </c>
      <c r="E68" s="162">
        <v>0</v>
      </c>
      <c r="F68" s="162">
        <v>8368.82</v>
      </c>
      <c r="G68" s="162">
        <v>0</v>
      </c>
      <c r="H68" s="162">
        <v>117</v>
      </c>
      <c r="I68" s="162">
        <v>2400</v>
      </c>
      <c r="J68" s="162">
        <v>0</v>
      </c>
      <c r="K68" s="162">
        <v>0</v>
      </c>
      <c r="L68" s="162">
        <v>0</v>
      </c>
      <c r="M68" s="162">
        <v>10521.1</v>
      </c>
      <c r="N68" s="162">
        <v>0</v>
      </c>
      <c r="O68" s="162">
        <v>0</v>
      </c>
      <c r="P68" s="162">
        <v>246</v>
      </c>
      <c r="Q68" s="162">
        <v>0</v>
      </c>
      <c r="R68" s="162">
        <v>0</v>
      </c>
      <c r="S68" s="162">
        <v>0</v>
      </c>
      <c r="T68" s="162">
        <v>0</v>
      </c>
      <c r="U68" s="162">
        <v>0</v>
      </c>
      <c r="V68" s="162">
        <v>0</v>
      </c>
      <c r="W68" s="162">
        <f t="shared" si="2"/>
        <v>420735.74</v>
      </c>
      <c r="X68" s="162">
        <v>181321.74</v>
      </c>
      <c r="Y68" s="162">
        <v>0</v>
      </c>
      <c r="Z68" s="162">
        <v>93642.27</v>
      </c>
      <c r="AA68" s="162">
        <v>3139.9</v>
      </c>
      <c r="AB68" s="162">
        <v>35782.9</v>
      </c>
      <c r="AC68" s="162">
        <v>7652.82</v>
      </c>
      <c r="AD68" s="162">
        <v>0</v>
      </c>
      <c r="AE68" s="162">
        <v>1383.06</v>
      </c>
      <c r="AF68" s="162">
        <v>0</v>
      </c>
      <c r="AG68" s="162">
        <v>1225</v>
      </c>
      <c r="AH68" s="162">
        <v>0</v>
      </c>
      <c r="AI68" s="162">
        <v>2846.61</v>
      </c>
      <c r="AJ68" s="162">
        <v>136.44</v>
      </c>
      <c r="AK68" s="162">
        <v>9571.41</v>
      </c>
      <c r="AL68" s="162">
        <v>470.72</v>
      </c>
      <c r="AM68" s="162">
        <v>8167.95</v>
      </c>
      <c r="AN68" s="162">
        <v>0</v>
      </c>
      <c r="AO68" s="162">
        <v>1572.93</v>
      </c>
      <c r="AP68" s="162">
        <v>1416.93</v>
      </c>
      <c r="AQ68" s="162">
        <v>4441.92</v>
      </c>
      <c r="AR68" s="162">
        <v>0</v>
      </c>
      <c r="AS68" s="162">
        <v>2527.15</v>
      </c>
      <c r="AT68" s="162">
        <v>0</v>
      </c>
      <c r="AU68" s="162">
        <v>0</v>
      </c>
      <c r="AV68" s="162">
        <v>3497.2</v>
      </c>
      <c r="AW68" s="162">
        <v>0</v>
      </c>
      <c r="AX68" s="162">
        <v>0</v>
      </c>
      <c r="AY68" s="162">
        <v>4527.9399999999996</v>
      </c>
      <c r="AZ68" s="162">
        <v>0</v>
      </c>
      <c r="BA68" s="162">
        <v>0</v>
      </c>
      <c r="BB68" s="162">
        <v>0</v>
      </c>
      <c r="BC68" s="162">
        <f t="shared" si="3"/>
        <v>363324.89</v>
      </c>
      <c r="BD68" s="162">
        <f t="shared" si="4"/>
        <v>57410.849999999977</v>
      </c>
      <c r="BE68" s="162">
        <v>149267.85</v>
      </c>
      <c r="BF68" s="162">
        <f t="shared" si="5"/>
        <v>206678.69999999998</v>
      </c>
      <c r="BG68" s="162">
        <v>0</v>
      </c>
      <c r="BH68" s="162">
        <v>0</v>
      </c>
      <c r="BI68" s="162">
        <f t="shared" si="6"/>
        <v>0</v>
      </c>
      <c r="BJ68" s="162">
        <v>0</v>
      </c>
      <c r="BK68" s="162">
        <v>0</v>
      </c>
      <c r="BL68" s="162">
        <f t="shared" si="7"/>
        <v>0</v>
      </c>
      <c r="BM68" s="162">
        <f t="shared" si="8"/>
        <v>0</v>
      </c>
      <c r="BN68" s="162">
        <v>0</v>
      </c>
      <c r="BO68" s="162">
        <f t="shared" si="9"/>
        <v>0</v>
      </c>
      <c r="BP68" s="162">
        <v>0</v>
      </c>
      <c r="BQ68" s="162">
        <v>206678.69999999998</v>
      </c>
      <c r="BR68" s="162">
        <v>0</v>
      </c>
      <c r="BS68" s="162">
        <f t="shared" si="10"/>
        <v>206678.69999999998</v>
      </c>
      <c r="BT68" s="162">
        <v>4513</v>
      </c>
      <c r="BU68" s="162">
        <v>0</v>
      </c>
      <c r="BV68" s="162">
        <v>0</v>
      </c>
      <c r="BW68" s="162">
        <f t="shared" si="11"/>
        <v>4513</v>
      </c>
      <c r="BX68" s="162">
        <v>0</v>
      </c>
      <c r="BY68" s="162">
        <v>0</v>
      </c>
      <c r="BZ68" s="162">
        <v>0</v>
      </c>
      <c r="CA68" s="162">
        <v>0</v>
      </c>
      <c r="CB68" s="162">
        <f t="shared" si="12"/>
        <v>0</v>
      </c>
      <c r="CC68" s="162">
        <f t="shared" si="13"/>
        <v>4513</v>
      </c>
      <c r="CD68" s="162">
        <v>0.09</v>
      </c>
      <c r="CE68" s="162">
        <f t="shared" si="14"/>
        <v>4513.09</v>
      </c>
    </row>
    <row r="69" spans="1:83" ht="13.8">
      <c r="A69" s="310">
        <v>2446</v>
      </c>
      <c r="B69" s="303" t="s">
        <v>396</v>
      </c>
      <c r="C69" s="25" t="s">
        <v>264</v>
      </c>
      <c r="D69" s="162">
        <v>2236881.1</v>
      </c>
      <c r="E69" s="162">
        <v>0</v>
      </c>
      <c r="F69" s="162">
        <v>78389.3</v>
      </c>
      <c r="G69" s="162">
        <v>0</v>
      </c>
      <c r="H69" s="162">
        <v>224130</v>
      </c>
      <c r="I69" s="162">
        <v>9723.86</v>
      </c>
      <c r="J69" s="162">
        <v>3150</v>
      </c>
      <c r="K69" s="162">
        <v>0</v>
      </c>
      <c r="L69" s="162">
        <v>73270.64</v>
      </c>
      <c r="M69" s="162">
        <v>33661.56</v>
      </c>
      <c r="N69" s="162">
        <v>2250</v>
      </c>
      <c r="O69" s="162">
        <v>5768.44</v>
      </c>
      <c r="P69" s="162">
        <v>16892.419999999998</v>
      </c>
      <c r="Q69" s="162">
        <v>0</v>
      </c>
      <c r="R69" s="162">
        <v>0</v>
      </c>
      <c r="S69" s="162">
        <v>0</v>
      </c>
      <c r="T69" s="162">
        <v>0</v>
      </c>
      <c r="U69" s="162">
        <v>9760.6299999999992</v>
      </c>
      <c r="V69" s="162">
        <v>72576</v>
      </c>
      <c r="W69" s="162">
        <f t="shared" ref="W69:W125" si="15">SUM(D69:V69)</f>
        <v>2766453.9499999997</v>
      </c>
      <c r="X69" s="162">
        <v>1378595.11</v>
      </c>
      <c r="Y69" s="162">
        <v>0</v>
      </c>
      <c r="Z69" s="162">
        <v>548581.26</v>
      </c>
      <c r="AA69" s="162">
        <v>19833.78</v>
      </c>
      <c r="AB69" s="162">
        <v>178849.08</v>
      </c>
      <c r="AC69" s="162">
        <v>78335.289999999994</v>
      </c>
      <c r="AD69" s="162">
        <v>93743.8</v>
      </c>
      <c r="AE69" s="162">
        <v>10860.11</v>
      </c>
      <c r="AF69" s="162">
        <v>7461.81</v>
      </c>
      <c r="AG69" s="162">
        <v>9825</v>
      </c>
      <c r="AH69" s="162">
        <v>2493.75</v>
      </c>
      <c r="AI69" s="162">
        <v>61542.42</v>
      </c>
      <c r="AJ69" s="162">
        <v>3494.31</v>
      </c>
      <c r="AK69" s="162">
        <v>61080.47</v>
      </c>
      <c r="AL69" s="162">
        <v>4466.28</v>
      </c>
      <c r="AM69" s="162">
        <v>53730.48</v>
      </c>
      <c r="AN69" s="162">
        <v>60060</v>
      </c>
      <c r="AO69" s="162">
        <v>18215.080000000002</v>
      </c>
      <c r="AP69" s="162">
        <v>59484.18</v>
      </c>
      <c r="AQ69" s="162">
        <v>56506.350000000006</v>
      </c>
      <c r="AR69" s="162">
        <v>0</v>
      </c>
      <c r="AS69" s="162">
        <v>31113.66</v>
      </c>
      <c r="AT69" s="162">
        <v>9179.3700000000008</v>
      </c>
      <c r="AU69" s="162">
        <v>8659.0400000000009</v>
      </c>
      <c r="AV69" s="162">
        <v>77676.460000000006</v>
      </c>
      <c r="AW69" s="162">
        <v>0</v>
      </c>
      <c r="AX69" s="162">
        <v>0</v>
      </c>
      <c r="AY69" s="162">
        <v>47903.62</v>
      </c>
      <c r="AZ69" s="162">
        <v>0</v>
      </c>
      <c r="BA69" s="162">
        <v>0</v>
      </c>
      <c r="BB69" s="162">
        <v>0</v>
      </c>
      <c r="BC69" s="162">
        <f t="shared" ref="BC69:BC125" si="16">SUM(X69:BB69)</f>
        <v>2881690.7100000004</v>
      </c>
      <c r="BD69" s="162">
        <f t="shared" ref="BD69:BD125" si="17">W69-BC69</f>
        <v>-115236.76000000071</v>
      </c>
      <c r="BE69" s="162">
        <v>681686.33</v>
      </c>
      <c r="BF69" s="162">
        <f t="shared" ref="BF69:BF125" si="18">BE69+BD69</f>
        <v>566449.56999999925</v>
      </c>
      <c r="BG69" s="162">
        <v>0</v>
      </c>
      <c r="BH69" s="162">
        <v>0</v>
      </c>
      <c r="BI69" s="162">
        <f t="shared" ref="BI69:BI125" si="19">SUM(BG69:BH69)</f>
        <v>0</v>
      </c>
      <c r="BJ69" s="162">
        <v>0</v>
      </c>
      <c r="BK69" s="162">
        <v>0</v>
      </c>
      <c r="BL69" s="162">
        <f t="shared" ref="BL69:BL125" si="20">SUM(BJ69:BK69)</f>
        <v>0</v>
      </c>
      <c r="BM69" s="162">
        <f t="shared" ref="BM69:BM125" si="21">BI69-BL69</f>
        <v>0</v>
      </c>
      <c r="BN69" s="162">
        <v>0</v>
      </c>
      <c r="BO69" s="162">
        <f t="shared" ref="BO69:BO125" si="22">BN69+BM69</f>
        <v>0</v>
      </c>
      <c r="BP69" s="162">
        <v>212000</v>
      </c>
      <c r="BQ69" s="162">
        <v>354449.56999999972</v>
      </c>
      <c r="BR69" s="162">
        <v>0</v>
      </c>
      <c r="BS69" s="162">
        <f t="shared" ref="BS69:BS125" si="23">BR69+BQ69+BP69</f>
        <v>566449.56999999972</v>
      </c>
      <c r="BT69" s="162">
        <v>8331.25</v>
      </c>
      <c r="BU69" s="162">
        <v>0</v>
      </c>
      <c r="BV69" s="162">
        <v>0</v>
      </c>
      <c r="BW69" s="162">
        <f t="shared" ref="BW69:BW125" si="24">BV69+BU69+BT69</f>
        <v>8331.25</v>
      </c>
      <c r="BX69" s="162">
        <v>0</v>
      </c>
      <c r="BY69" s="162">
        <v>2425.08</v>
      </c>
      <c r="BZ69" s="162">
        <v>0</v>
      </c>
      <c r="CA69" s="162">
        <v>2742.95</v>
      </c>
      <c r="CB69" s="162">
        <f t="shared" ref="CB69:CB125" si="25">CA69+BZ69+BY69+BX69</f>
        <v>5168.03</v>
      </c>
      <c r="CC69" s="162">
        <f t="shared" ref="CC69:CC125" si="26">BW69-CB69</f>
        <v>3163.2200000000003</v>
      </c>
      <c r="CD69" s="162">
        <v>-0.49</v>
      </c>
      <c r="CE69" s="162">
        <f t="shared" ref="CE69:CE125" si="27">CD69+CC69</f>
        <v>3162.7300000000005</v>
      </c>
    </row>
    <row r="70" spans="1:83" ht="13.8">
      <c r="A70" s="310">
        <v>3317</v>
      </c>
      <c r="B70" s="303" t="s">
        <v>398</v>
      </c>
      <c r="C70" s="25" t="s">
        <v>264</v>
      </c>
      <c r="D70" s="162">
        <v>800693.46</v>
      </c>
      <c r="E70" s="162">
        <v>0</v>
      </c>
      <c r="F70" s="162">
        <v>28145.64</v>
      </c>
      <c r="G70" s="162">
        <v>0</v>
      </c>
      <c r="H70" s="162">
        <v>38770</v>
      </c>
      <c r="I70" s="162">
        <v>386</v>
      </c>
      <c r="J70" s="162">
        <v>0</v>
      </c>
      <c r="K70" s="162">
        <v>2921.93</v>
      </c>
      <c r="L70" s="162">
        <v>10</v>
      </c>
      <c r="M70" s="162">
        <v>699.63</v>
      </c>
      <c r="N70" s="162">
        <v>920</v>
      </c>
      <c r="O70" s="162">
        <v>0</v>
      </c>
      <c r="P70" s="162">
        <v>89530.14</v>
      </c>
      <c r="Q70" s="162">
        <v>13236.78</v>
      </c>
      <c r="R70" s="162">
        <v>0</v>
      </c>
      <c r="S70" s="162">
        <v>0</v>
      </c>
      <c r="T70" s="162">
        <v>0</v>
      </c>
      <c r="U70" s="162">
        <v>79.38</v>
      </c>
      <c r="V70" s="162">
        <v>72533</v>
      </c>
      <c r="W70" s="162">
        <f t="shared" si="15"/>
        <v>1047925.9600000001</v>
      </c>
      <c r="X70" s="162">
        <v>529963.06000000006</v>
      </c>
      <c r="Y70" s="162">
        <v>0</v>
      </c>
      <c r="Z70" s="162">
        <v>304479.7</v>
      </c>
      <c r="AA70" s="162">
        <v>26984.58</v>
      </c>
      <c r="AB70" s="162">
        <v>56601.58</v>
      </c>
      <c r="AC70" s="162">
        <v>48168.12</v>
      </c>
      <c r="AD70" s="162">
        <v>21408.31</v>
      </c>
      <c r="AE70" s="162">
        <v>404.5</v>
      </c>
      <c r="AF70" s="162">
        <v>4099.1099999999997</v>
      </c>
      <c r="AG70" s="162">
        <v>3675</v>
      </c>
      <c r="AH70" s="162">
        <v>58.48</v>
      </c>
      <c r="AI70" s="162">
        <v>3994.24</v>
      </c>
      <c r="AJ70" s="162">
        <v>348.95</v>
      </c>
      <c r="AK70" s="162">
        <v>4326.8</v>
      </c>
      <c r="AL70" s="162">
        <v>2479.88</v>
      </c>
      <c r="AM70" s="162">
        <v>22142.53</v>
      </c>
      <c r="AN70" s="162">
        <v>3143.7</v>
      </c>
      <c r="AO70" s="162">
        <v>4339.9799999999996</v>
      </c>
      <c r="AP70" s="162">
        <v>25828.91</v>
      </c>
      <c r="AQ70" s="162">
        <v>18191.349999999999</v>
      </c>
      <c r="AR70" s="162">
        <v>0</v>
      </c>
      <c r="AS70" s="162">
        <v>4935.8599999999997</v>
      </c>
      <c r="AT70" s="162">
        <v>3231.23</v>
      </c>
      <c r="AU70" s="162">
        <v>0</v>
      </c>
      <c r="AV70" s="162">
        <v>30555.7</v>
      </c>
      <c r="AW70" s="162">
        <v>0</v>
      </c>
      <c r="AX70" s="162">
        <v>17919</v>
      </c>
      <c r="AY70" s="162">
        <v>12308.17</v>
      </c>
      <c r="AZ70" s="162">
        <v>0</v>
      </c>
      <c r="BA70" s="162">
        <v>50.88</v>
      </c>
      <c r="BB70" s="162">
        <v>0</v>
      </c>
      <c r="BC70" s="162">
        <f t="shared" si="16"/>
        <v>1149639.6199999999</v>
      </c>
      <c r="BD70" s="162">
        <f t="shared" si="17"/>
        <v>-101713.6599999998</v>
      </c>
      <c r="BE70" s="162">
        <v>-112680.65</v>
      </c>
      <c r="BF70" s="162">
        <f t="shared" si="18"/>
        <v>-214394.30999999979</v>
      </c>
      <c r="BG70" s="162">
        <v>0</v>
      </c>
      <c r="BH70" s="162">
        <v>0</v>
      </c>
      <c r="BI70" s="162">
        <f t="shared" si="19"/>
        <v>0</v>
      </c>
      <c r="BJ70" s="162">
        <v>0</v>
      </c>
      <c r="BK70" s="162">
        <v>0</v>
      </c>
      <c r="BL70" s="162">
        <f t="shared" si="20"/>
        <v>0</v>
      </c>
      <c r="BM70" s="162">
        <f t="shared" si="21"/>
        <v>0</v>
      </c>
      <c r="BN70" s="162">
        <v>0</v>
      </c>
      <c r="BO70" s="162">
        <f t="shared" si="22"/>
        <v>0</v>
      </c>
      <c r="BP70" s="162">
        <v>0</v>
      </c>
      <c r="BQ70" s="162">
        <v>-214394.30999999979</v>
      </c>
      <c r="BR70" s="162">
        <v>0</v>
      </c>
      <c r="BS70" s="162">
        <f t="shared" si="23"/>
        <v>-214394.30999999979</v>
      </c>
      <c r="BT70" s="162">
        <v>0</v>
      </c>
      <c r="BU70" s="162">
        <v>0</v>
      </c>
      <c r="BV70" s="162">
        <v>0</v>
      </c>
      <c r="BW70" s="162">
        <f t="shared" si="24"/>
        <v>0</v>
      </c>
      <c r="BX70" s="162">
        <v>0</v>
      </c>
      <c r="BY70" s="162">
        <v>0</v>
      </c>
      <c r="BZ70" s="162">
        <v>0</v>
      </c>
      <c r="CA70" s="162">
        <v>0</v>
      </c>
      <c r="CB70" s="162">
        <f t="shared" si="25"/>
        <v>0</v>
      </c>
      <c r="CC70" s="162">
        <f t="shared" si="26"/>
        <v>0</v>
      </c>
      <c r="CD70" s="162">
        <v>0</v>
      </c>
      <c r="CE70" s="162">
        <f t="shared" si="27"/>
        <v>0</v>
      </c>
    </row>
    <row r="71" spans="1:83" ht="13.8">
      <c r="A71" s="312">
        <v>2066</v>
      </c>
      <c r="B71" s="305" t="s">
        <v>400</v>
      </c>
      <c r="C71" s="25" t="s">
        <v>264</v>
      </c>
      <c r="D71" s="162">
        <v>1072973.95</v>
      </c>
      <c r="E71" s="162">
        <v>0</v>
      </c>
      <c r="F71" s="162">
        <v>27927.06</v>
      </c>
      <c r="G71" s="162">
        <v>0</v>
      </c>
      <c r="H71" s="162">
        <v>55806.79</v>
      </c>
      <c r="I71" s="162">
        <v>3421.93</v>
      </c>
      <c r="J71" s="162">
        <v>14470.71</v>
      </c>
      <c r="K71" s="162">
        <v>9500</v>
      </c>
      <c r="L71" s="162">
        <v>6710.03</v>
      </c>
      <c r="M71" s="162">
        <v>24800.77</v>
      </c>
      <c r="N71" s="162">
        <v>2250</v>
      </c>
      <c r="O71" s="162">
        <v>39.520000000000003</v>
      </c>
      <c r="P71" s="162">
        <v>16310</v>
      </c>
      <c r="Q71" s="162">
        <v>2927.92</v>
      </c>
      <c r="R71" s="162">
        <v>0</v>
      </c>
      <c r="S71" s="162">
        <v>0</v>
      </c>
      <c r="T71" s="162">
        <v>0</v>
      </c>
      <c r="U71" s="162">
        <v>1975.63</v>
      </c>
      <c r="V71" s="162">
        <v>54348</v>
      </c>
      <c r="W71" s="162">
        <f t="shared" si="15"/>
        <v>1293462.3099999998</v>
      </c>
      <c r="X71" s="162">
        <v>651441.04</v>
      </c>
      <c r="Y71" s="162">
        <v>640</v>
      </c>
      <c r="Z71" s="162">
        <v>302822.15000000002</v>
      </c>
      <c r="AA71" s="162">
        <v>34123.26</v>
      </c>
      <c r="AB71" s="162">
        <v>40509.51</v>
      </c>
      <c r="AC71" s="162">
        <v>39062.93</v>
      </c>
      <c r="AD71" s="162">
        <v>27755.86</v>
      </c>
      <c r="AE71" s="162">
        <v>4651.5</v>
      </c>
      <c r="AF71" s="162">
        <v>7126.53</v>
      </c>
      <c r="AG71" s="162">
        <v>5300</v>
      </c>
      <c r="AH71" s="162">
        <v>1858.13</v>
      </c>
      <c r="AI71" s="162">
        <v>3900.5</v>
      </c>
      <c r="AJ71" s="162">
        <v>2375</v>
      </c>
      <c r="AK71" s="162">
        <v>2708.14</v>
      </c>
      <c r="AL71" s="162">
        <v>4708.7700000000004</v>
      </c>
      <c r="AM71" s="162">
        <v>30709.62</v>
      </c>
      <c r="AN71" s="162">
        <v>35763</v>
      </c>
      <c r="AO71" s="162">
        <v>4344.84</v>
      </c>
      <c r="AP71" s="162">
        <v>61031.97</v>
      </c>
      <c r="AQ71" s="162">
        <v>18962.34</v>
      </c>
      <c r="AR71" s="162">
        <v>0</v>
      </c>
      <c r="AS71" s="162">
        <v>6555.87</v>
      </c>
      <c r="AT71" s="162">
        <v>0</v>
      </c>
      <c r="AU71" s="162">
        <v>0</v>
      </c>
      <c r="AV71" s="162">
        <v>25039.33</v>
      </c>
      <c r="AW71" s="162">
        <v>0</v>
      </c>
      <c r="AX71" s="162">
        <v>6922</v>
      </c>
      <c r="AY71" s="162">
        <v>7792.67</v>
      </c>
      <c r="AZ71" s="162">
        <v>0</v>
      </c>
      <c r="BA71" s="162">
        <v>0</v>
      </c>
      <c r="BB71" s="162">
        <v>0</v>
      </c>
      <c r="BC71" s="162">
        <f t="shared" si="16"/>
        <v>1326104.9600000004</v>
      </c>
      <c r="BD71" s="162">
        <f t="shared" si="17"/>
        <v>-32642.650000000605</v>
      </c>
      <c r="BE71" s="162">
        <v>-19356.079999999998</v>
      </c>
      <c r="BF71" s="162">
        <f t="shared" si="18"/>
        <v>-51998.730000000607</v>
      </c>
      <c r="BG71" s="162">
        <v>0</v>
      </c>
      <c r="BH71" s="162">
        <v>113642.34</v>
      </c>
      <c r="BI71" s="162">
        <f t="shared" si="19"/>
        <v>113642.34</v>
      </c>
      <c r="BJ71" s="162">
        <v>106997.64</v>
      </c>
      <c r="BK71" s="162">
        <v>9234.32</v>
      </c>
      <c r="BL71" s="162">
        <f t="shared" si="20"/>
        <v>116231.95999999999</v>
      </c>
      <c r="BM71" s="162">
        <f t="shared" si="21"/>
        <v>-2589.6199999999953</v>
      </c>
      <c r="BN71" s="162">
        <v>-1448.0500000000002</v>
      </c>
      <c r="BO71" s="162">
        <f t="shared" si="22"/>
        <v>-4037.6699999999955</v>
      </c>
      <c r="BP71" s="162">
        <v>2547</v>
      </c>
      <c r="BQ71" s="162">
        <v>-59041.410000000367</v>
      </c>
      <c r="BR71" s="162">
        <v>458.01000000000477</v>
      </c>
      <c r="BS71" s="162">
        <f t="shared" si="23"/>
        <v>-56036.400000000365</v>
      </c>
      <c r="BT71" s="162">
        <v>6340</v>
      </c>
      <c r="BU71" s="162">
        <v>0</v>
      </c>
      <c r="BV71" s="162">
        <v>0</v>
      </c>
      <c r="BW71" s="162">
        <f t="shared" si="24"/>
        <v>6340</v>
      </c>
      <c r="BX71" s="162">
        <v>0</v>
      </c>
      <c r="BY71" s="162">
        <v>924</v>
      </c>
      <c r="BZ71" s="162">
        <v>0</v>
      </c>
      <c r="CA71" s="162">
        <v>12485.16</v>
      </c>
      <c r="CB71" s="162">
        <f t="shared" si="25"/>
        <v>13409.16</v>
      </c>
      <c r="CC71" s="162">
        <f t="shared" si="26"/>
        <v>-7069.16</v>
      </c>
      <c r="CD71" s="162">
        <v>41723.199999999997</v>
      </c>
      <c r="CE71" s="162">
        <f t="shared" si="27"/>
        <v>34654.039999999994</v>
      </c>
    </row>
    <row r="72" spans="1:83" ht="13.8">
      <c r="A72" s="310">
        <v>2293</v>
      </c>
      <c r="B72" s="303" t="s">
        <v>402</v>
      </c>
      <c r="C72" s="25" t="s">
        <v>264</v>
      </c>
      <c r="D72" s="162">
        <v>1503406.79</v>
      </c>
      <c r="E72" s="162">
        <v>0</v>
      </c>
      <c r="F72" s="162">
        <v>128432.24</v>
      </c>
      <c r="G72" s="162">
        <v>0</v>
      </c>
      <c r="H72" s="162">
        <v>75720</v>
      </c>
      <c r="I72" s="162">
        <v>2932.57</v>
      </c>
      <c r="J72" s="162">
        <v>0</v>
      </c>
      <c r="K72" s="162">
        <v>33730.769999999997</v>
      </c>
      <c r="L72" s="162">
        <v>5682.47</v>
      </c>
      <c r="M72" s="162">
        <v>15232.71</v>
      </c>
      <c r="N72" s="162">
        <v>6777</v>
      </c>
      <c r="O72" s="162">
        <v>0</v>
      </c>
      <c r="P72" s="162">
        <v>32783.620000000003</v>
      </c>
      <c r="Q72" s="162">
        <v>18380.12</v>
      </c>
      <c r="R72" s="162">
        <v>0</v>
      </c>
      <c r="S72" s="162">
        <v>0</v>
      </c>
      <c r="T72" s="162">
        <v>0</v>
      </c>
      <c r="U72" s="162">
        <v>-468.12</v>
      </c>
      <c r="V72" s="162">
        <v>49246</v>
      </c>
      <c r="W72" s="162">
        <f t="shared" si="15"/>
        <v>1871856.1700000002</v>
      </c>
      <c r="X72" s="162">
        <v>906011.17</v>
      </c>
      <c r="Y72" s="162">
        <v>2541.9299999999998</v>
      </c>
      <c r="Z72" s="162">
        <v>470777.92</v>
      </c>
      <c r="AA72" s="162">
        <v>50804.44</v>
      </c>
      <c r="AB72" s="162">
        <v>134362.5</v>
      </c>
      <c r="AC72" s="162">
        <v>0</v>
      </c>
      <c r="AD72" s="162">
        <v>0</v>
      </c>
      <c r="AE72" s="162">
        <v>6393.54</v>
      </c>
      <c r="AF72" s="162">
        <v>3776.97</v>
      </c>
      <c r="AG72" s="162">
        <v>7400</v>
      </c>
      <c r="AH72" s="162">
        <v>82.01</v>
      </c>
      <c r="AI72" s="162">
        <v>9687.98</v>
      </c>
      <c r="AJ72" s="162">
        <v>3266.44</v>
      </c>
      <c r="AK72" s="162">
        <v>2824.44</v>
      </c>
      <c r="AL72" s="162">
        <v>5765.08</v>
      </c>
      <c r="AM72" s="162">
        <v>40462.01</v>
      </c>
      <c r="AN72" s="162">
        <v>52143</v>
      </c>
      <c r="AO72" s="162">
        <v>7149.62</v>
      </c>
      <c r="AP72" s="162">
        <v>62186.59</v>
      </c>
      <c r="AQ72" s="162">
        <v>36416.03</v>
      </c>
      <c r="AR72" s="162">
        <v>0</v>
      </c>
      <c r="AS72" s="162">
        <v>7498.98</v>
      </c>
      <c r="AT72" s="162">
        <v>6190.02</v>
      </c>
      <c r="AU72" s="162">
        <v>0</v>
      </c>
      <c r="AV72" s="162">
        <v>64654.69</v>
      </c>
      <c r="AW72" s="162">
        <v>16541.79</v>
      </c>
      <c r="AX72" s="162">
        <v>13484.41</v>
      </c>
      <c r="AY72" s="162">
        <v>15716.07</v>
      </c>
      <c r="AZ72" s="162">
        <v>0</v>
      </c>
      <c r="BA72" s="162">
        <v>0</v>
      </c>
      <c r="BB72" s="162">
        <v>0</v>
      </c>
      <c r="BC72" s="162">
        <f t="shared" si="16"/>
        <v>1926137.6300000001</v>
      </c>
      <c r="BD72" s="162">
        <f t="shared" si="17"/>
        <v>-54281.459999999963</v>
      </c>
      <c r="BE72" s="162">
        <v>157017.51999999999</v>
      </c>
      <c r="BF72" s="162">
        <f t="shared" si="18"/>
        <v>102736.06000000003</v>
      </c>
      <c r="BG72" s="162">
        <v>0</v>
      </c>
      <c r="BH72" s="162">
        <v>0</v>
      </c>
      <c r="BI72" s="162">
        <f t="shared" si="19"/>
        <v>0</v>
      </c>
      <c r="BJ72" s="162">
        <v>0</v>
      </c>
      <c r="BK72" s="162">
        <v>0</v>
      </c>
      <c r="BL72" s="162">
        <f t="shared" si="20"/>
        <v>0</v>
      </c>
      <c r="BM72" s="162">
        <f t="shared" si="21"/>
        <v>0</v>
      </c>
      <c r="BN72" s="162">
        <v>0</v>
      </c>
      <c r="BO72" s="162">
        <f t="shared" si="22"/>
        <v>0</v>
      </c>
      <c r="BP72" s="162">
        <v>243.97</v>
      </c>
      <c r="BQ72" s="162">
        <v>102492.09000000003</v>
      </c>
      <c r="BR72" s="162">
        <v>0</v>
      </c>
      <c r="BS72" s="162">
        <f t="shared" si="23"/>
        <v>102736.06000000003</v>
      </c>
      <c r="BT72" s="162">
        <v>7639.38</v>
      </c>
      <c r="BU72" s="162">
        <v>0</v>
      </c>
      <c r="BV72" s="162">
        <v>0</v>
      </c>
      <c r="BW72" s="162">
        <f t="shared" si="24"/>
        <v>7639.38</v>
      </c>
      <c r="BX72" s="162">
        <v>0</v>
      </c>
      <c r="BY72" s="162">
        <v>0</v>
      </c>
      <c r="BZ72" s="162">
        <v>0</v>
      </c>
      <c r="CA72" s="162">
        <v>10946.44</v>
      </c>
      <c r="CB72" s="162">
        <f t="shared" si="25"/>
        <v>10946.44</v>
      </c>
      <c r="CC72" s="162">
        <f t="shared" si="26"/>
        <v>-3307.0600000000004</v>
      </c>
      <c r="CD72" s="162">
        <v>30626.09</v>
      </c>
      <c r="CE72" s="162">
        <f t="shared" si="27"/>
        <v>27319.03</v>
      </c>
    </row>
    <row r="73" spans="1:83" ht="13.8">
      <c r="A73" s="310">
        <v>2074</v>
      </c>
      <c r="B73" s="303" t="s">
        <v>404</v>
      </c>
      <c r="C73" s="25" t="s">
        <v>264</v>
      </c>
      <c r="D73" s="162">
        <v>2042871.8</v>
      </c>
      <c r="E73" s="162">
        <v>0</v>
      </c>
      <c r="F73" s="162">
        <v>88259.199999999997</v>
      </c>
      <c r="G73" s="162">
        <v>0</v>
      </c>
      <c r="H73" s="162">
        <v>147638</v>
      </c>
      <c r="I73" s="162">
        <v>42418.19</v>
      </c>
      <c r="J73" s="162">
        <v>0</v>
      </c>
      <c r="K73" s="162">
        <v>21257.14</v>
      </c>
      <c r="L73" s="162">
        <v>37149.96</v>
      </c>
      <c r="M73" s="162">
        <v>26233.65</v>
      </c>
      <c r="N73" s="162">
        <v>4425.2</v>
      </c>
      <c r="O73" s="162">
        <v>0</v>
      </c>
      <c r="P73" s="162">
        <v>45756.1</v>
      </c>
      <c r="Q73" s="162">
        <v>35</v>
      </c>
      <c r="R73" s="162">
        <v>0</v>
      </c>
      <c r="S73" s="162">
        <v>0</v>
      </c>
      <c r="T73" s="162">
        <v>0</v>
      </c>
      <c r="U73" s="162">
        <v>5.63</v>
      </c>
      <c r="V73" s="162">
        <v>47274</v>
      </c>
      <c r="W73" s="162">
        <f t="shared" si="15"/>
        <v>2503323.87</v>
      </c>
      <c r="X73" s="162">
        <v>1159287.94</v>
      </c>
      <c r="Y73" s="162">
        <v>0</v>
      </c>
      <c r="Z73" s="162">
        <v>504049.32</v>
      </c>
      <c r="AA73" s="162">
        <v>108635.56</v>
      </c>
      <c r="AB73" s="162">
        <v>149987.07</v>
      </c>
      <c r="AC73" s="162">
        <v>0</v>
      </c>
      <c r="AD73" s="162">
        <v>66173.009999999995</v>
      </c>
      <c r="AE73" s="162">
        <v>8682.6</v>
      </c>
      <c r="AF73" s="162">
        <v>10627.96</v>
      </c>
      <c r="AG73" s="162">
        <v>10000</v>
      </c>
      <c r="AH73" s="162">
        <v>500</v>
      </c>
      <c r="AI73" s="162">
        <v>14865.38</v>
      </c>
      <c r="AJ73" s="162">
        <v>2762.2</v>
      </c>
      <c r="AK73" s="162">
        <v>6577.41</v>
      </c>
      <c r="AL73" s="162">
        <v>6251.74</v>
      </c>
      <c r="AM73" s="162">
        <v>43159.35</v>
      </c>
      <c r="AN73" s="162">
        <v>84630</v>
      </c>
      <c r="AO73" s="162">
        <v>9630.4</v>
      </c>
      <c r="AP73" s="162">
        <v>81919.62</v>
      </c>
      <c r="AQ73" s="162">
        <v>23800.9</v>
      </c>
      <c r="AR73" s="162">
        <v>0</v>
      </c>
      <c r="AS73" s="162">
        <v>21942.26</v>
      </c>
      <c r="AT73" s="162">
        <v>7797.82</v>
      </c>
      <c r="AU73" s="162">
        <v>2562.8200000000002</v>
      </c>
      <c r="AV73" s="162">
        <v>131004.94</v>
      </c>
      <c r="AW73" s="162">
        <v>17320</v>
      </c>
      <c r="AX73" s="162">
        <v>58722.61</v>
      </c>
      <c r="AY73" s="162">
        <v>18194.73</v>
      </c>
      <c r="AZ73" s="162">
        <v>0</v>
      </c>
      <c r="BA73" s="162">
        <v>0</v>
      </c>
      <c r="BB73" s="162">
        <v>0</v>
      </c>
      <c r="BC73" s="162">
        <f t="shared" si="16"/>
        <v>2549085.6399999992</v>
      </c>
      <c r="BD73" s="162">
        <f t="shared" si="17"/>
        <v>-45761.769999999087</v>
      </c>
      <c r="BE73" s="162">
        <v>180314.9</v>
      </c>
      <c r="BF73" s="162">
        <f t="shared" si="18"/>
        <v>134553.13000000091</v>
      </c>
      <c r="BG73" s="162">
        <v>106681.8</v>
      </c>
      <c r="BH73" s="162">
        <v>5551.77</v>
      </c>
      <c r="BI73" s="162">
        <f t="shared" si="19"/>
        <v>112233.57</v>
      </c>
      <c r="BJ73" s="162">
        <v>117461.46</v>
      </c>
      <c r="BK73" s="162">
        <v>8700.2800000000007</v>
      </c>
      <c r="BL73" s="162">
        <f t="shared" si="20"/>
        <v>126161.74</v>
      </c>
      <c r="BM73" s="162">
        <f t="shared" si="21"/>
        <v>-13928.169999999998</v>
      </c>
      <c r="BN73" s="162">
        <v>-3474.11</v>
      </c>
      <c r="BO73" s="162">
        <f t="shared" si="22"/>
        <v>-17402.28</v>
      </c>
      <c r="BP73" s="162">
        <v>48241.46</v>
      </c>
      <c r="BQ73" s="162">
        <v>84393.350000001374</v>
      </c>
      <c r="BR73" s="162">
        <v>-15483.959999999985</v>
      </c>
      <c r="BS73" s="162">
        <f t="shared" si="23"/>
        <v>117150.85000000137</v>
      </c>
      <c r="BT73" s="162">
        <v>8601.25</v>
      </c>
      <c r="BU73" s="162">
        <v>0</v>
      </c>
      <c r="BV73" s="162">
        <v>0</v>
      </c>
      <c r="BW73" s="162">
        <f t="shared" si="24"/>
        <v>8601.25</v>
      </c>
      <c r="BX73" s="162">
        <v>0</v>
      </c>
      <c r="BY73" s="162">
        <v>8257.7800000000007</v>
      </c>
      <c r="BZ73" s="162">
        <v>0</v>
      </c>
      <c r="CA73" s="162">
        <v>0</v>
      </c>
      <c r="CB73" s="162">
        <f t="shared" si="25"/>
        <v>8257.7800000000007</v>
      </c>
      <c r="CC73" s="162">
        <f t="shared" si="26"/>
        <v>343.46999999999935</v>
      </c>
      <c r="CD73" s="162">
        <v>8768.14</v>
      </c>
      <c r="CE73" s="162">
        <f t="shared" si="27"/>
        <v>9111.6099999999988</v>
      </c>
    </row>
    <row r="74" spans="1:83" ht="13.8">
      <c r="A74" s="310">
        <v>2075</v>
      </c>
      <c r="B74" s="303" t="s">
        <v>406</v>
      </c>
      <c r="C74" s="25" t="s">
        <v>264</v>
      </c>
      <c r="D74" s="162">
        <v>1310319.44</v>
      </c>
      <c r="E74" s="162">
        <v>0</v>
      </c>
      <c r="F74" s="162">
        <v>137073.28</v>
      </c>
      <c r="G74" s="162">
        <v>0</v>
      </c>
      <c r="H74" s="162">
        <v>119750</v>
      </c>
      <c r="I74" s="162">
        <v>856.93</v>
      </c>
      <c r="J74" s="162">
        <v>33915.75</v>
      </c>
      <c r="K74" s="162">
        <v>18000</v>
      </c>
      <c r="L74" s="162">
        <v>7281.35</v>
      </c>
      <c r="M74" s="162">
        <v>8034.9</v>
      </c>
      <c r="N74" s="162">
        <v>4500</v>
      </c>
      <c r="O74" s="162">
        <v>0</v>
      </c>
      <c r="P74" s="162">
        <v>13500.29</v>
      </c>
      <c r="Q74" s="162">
        <v>1950.41</v>
      </c>
      <c r="R74" s="162">
        <v>0</v>
      </c>
      <c r="S74" s="162">
        <v>0</v>
      </c>
      <c r="T74" s="162">
        <v>0</v>
      </c>
      <c r="U74" s="162">
        <v>-161.87</v>
      </c>
      <c r="V74" s="162">
        <v>41846</v>
      </c>
      <c r="W74" s="162">
        <f t="shared" si="15"/>
        <v>1696866.4799999997</v>
      </c>
      <c r="X74" s="162">
        <v>661108.91</v>
      </c>
      <c r="Y74" s="162">
        <v>0</v>
      </c>
      <c r="Z74" s="162">
        <v>487990.83</v>
      </c>
      <c r="AA74" s="162">
        <v>58280.81</v>
      </c>
      <c r="AB74" s="162">
        <v>87963.87</v>
      </c>
      <c r="AC74" s="162">
        <v>0</v>
      </c>
      <c r="AD74" s="162">
        <v>37445.72</v>
      </c>
      <c r="AE74" s="162">
        <v>6740.16</v>
      </c>
      <c r="AF74" s="162">
        <v>3670.56</v>
      </c>
      <c r="AG74" s="162">
        <v>5850</v>
      </c>
      <c r="AH74" s="162">
        <v>620</v>
      </c>
      <c r="AI74" s="162">
        <v>7980.75</v>
      </c>
      <c r="AJ74" s="162">
        <v>516.41</v>
      </c>
      <c r="AK74" s="162">
        <v>3525</v>
      </c>
      <c r="AL74" s="162">
        <v>6962.56</v>
      </c>
      <c r="AM74" s="162">
        <v>56340.71</v>
      </c>
      <c r="AN74" s="162">
        <v>33852</v>
      </c>
      <c r="AO74" s="162">
        <v>5413.91</v>
      </c>
      <c r="AP74" s="162">
        <v>72453</v>
      </c>
      <c r="AQ74" s="162">
        <v>28900.310000000005</v>
      </c>
      <c r="AR74" s="162">
        <v>0</v>
      </c>
      <c r="AS74" s="162">
        <v>6634.31</v>
      </c>
      <c r="AT74" s="162">
        <v>4815.8999999999996</v>
      </c>
      <c r="AU74" s="162">
        <v>0</v>
      </c>
      <c r="AV74" s="162">
        <v>48273.8</v>
      </c>
      <c r="AW74" s="162">
        <v>18189.009999999998</v>
      </c>
      <c r="AX74" s="162">
        <v>5281</v>
      </c>
      <c r="AY74" s="162">
        <v>10472.61</v>
      </c>
      <c r="AZ74" s="162">
        <v>0</v>
      </c>
      <c r="BA74" s="162">
        <v>0</v>
      </c>
      <c r="BB74" s="162">
        <v>0</v>
      </c>
      <c r="BC74" s="162">
        <f t="shared" si="16"/>
        <v>1659282.14</v>
      </c>
      <c r="BD74" s="162">
        <f t="shared" si="17"/>
        <v>37584.339999999851</v>
      </c>
      <c r="BE74" s="162">
        <v>87924.78</v>
      </c>
      <c r="BF74" s="162">
        <f t="shared" si="18"/>
        <v>125509.11999999985</v>
      </c>
      <c r="BG74" s="162">
        <v>59105.7</v>
      </c>
      <c r="BH74" s="162">
        <v>6100.84</v>
      </c>
      <c r="BI74" s="162">
        <f t="shared" si="19"/>
        <v>65206.539999999994</v>
      </c>
      <c r="BJ74" s="162">
        <v>57720.45</v>
      </c>
      <c r="BK74" s="162">
        <v>21457.34</v>
      </c>
      <c r="BL74" s="162">
        <f t="shared" si="20"/>
        <v>79177.789999999994</v>
      </c>
      <c r="BM74" s="162">
        <f t="shared" si="21"/>
        <v>-13971.25</v>
      </c>
      <c r="BN74" s="162">
        <v>29663.61</v>
      </c>
      <c r="BO74" s="162">
        <f t="shared" si="22"/>
        <v>15692.36</v>
      </c>
      <c r="BP74" s="162">
        <v>40948.720000000001</v>
      </c>
      <c r="BQ74" s="162">
        <v>84560.399999999849</v>
      </c>
      <c r="BR74" s="162">
        <v>15692.36</v>
      </c>
      <c r="BS74" s="162">
        <f t="shared" si="23"/>
        <v>141201.47999999986</v>
      </c>
      <c r="BT74" s="162">
        <v>6711.25</v>
      </c>
      <c r="BU74" s="162">
        <v>0</v>
      </c>
      <c r="BV74" s="162">
        <v>0</v>
      </c>
      <c r="BW74" s="162">
        <f t="shared" si="24"/>
        <v>6711.25</v>
      </c>
      <c r="BX74" s="162">
        <v>0</v>
      </c>
      <c r="BY74" s="162">
        <v>0</v>
      </c>
      <c r="BZ74" s="162">
        <v>0</v>
      </c>
      <c r="CA74" s="162">
        <v>0</v>
      </c>
      <c r="CB74" s="162">
        <f t="shared" si="25"/>
        <v>0</v>
      </c>
      <c r="CC74" s="162">
        <f t="shared" si="26"/>
        <v>6711.25</v>
      </c>
      <c r="CD74" s="162">
        <v>5566.64</v>
      </c>
      <c r="CE74" s="162">
        <f t="shared" si="27"/>
        <v>12277.89</v>
      </c>
    </row>
    <row r="75" spans="1:83" ht="13.8">
      <c r="A75" s="310">
        <v>2121</v>
      </c>
      <c r="B75" s="303" t="s">
        <v>408</v>
      </c>
      <c r="C75" s="25" t="s">
        <v>264</v>
      </c>
      <c r="D75" s="162">
        <v>2042614.52</v>
      </c>
      <c r="E75" s="162">
        <v>0</v>
      </c>
      <c r="F75" s="162">
        <v>221201.06</v>
      </c>
      <c r="G75" s="162">
        <v>0</v>
      </c>
      <c r="H75" s="162">
        <v>90620</v>
      </c>
      <c r="I75" s="162">
        <v>4027.93</v>
      </c>
      <c r="J75" s="162">
        <v>0</v>
      </c>
      <c r="K75" s="162">
        <v>61126.720000000001</v>
      </c>
      <c r="L75" s="162">
        <v>12408.17</v>
      </c>
      <c r="M75" s="162">
        <v>47024.54</v>
      </c>
      <c r="N75" s="162">
        <v>0</v>
      </c>
      <c r="O75" s="162">
        <v>11799.84</v>
      </c>
      <c r="P75" s="162">
        <v>38074.18</v>
      </c>
      <c r="Q75" s="162">
        <v>10595.79</v>
      </c>
      <c r="R75" s="162">
        <v>0</v>
      </c>
      <c r="S75" s="162">
        <v>0</v>
      </c>
      <c r="T75" s="162">
        <v>0</v>
      </c>
      <c r="U75" s="162">
        <v>-230</v>
      </c>
      <c r="V75" s="162">
        <v>84890</v>
      </c>
      <c r="W75" s="162">
        <f t="shared" si="15"/>
        <v>2624152.7500000005</v>
      </c>
      <c r="X75" s="162">
        <v>1216111.1200000001</v>
      </c>
      <c r="Y75" s="162">
        <v>19008.62</v>
      </c>
      <c r="Z75" s="162">
        <v>673434.53</v>
      </c>
      <c r="AA75" s="162">
        <v>78364.98</v>
      </c>
      <c r="AB75" s="162">
        <v>144559.29</v>
      </c>
      <c r="AC75" s="162">
        <v>0</v>
      </c>
      <c r="AD75" s="162">
        <v>8331.25</v>
      </c>
      <c r="AE75" s="162">
        <v>87595.21</v>
      </c>
      <c r="AF75" s="162">
        <v>4830.12</v>
      </c>
      <c r="AG75" s="162">
        <v>10000</v>
      </c>
      <c r="AH75" s="162">
        <v>3593.75</v>
      </c>
      <c r="AI75" s="162">
        <v>34581.64</v>
      </c>
      <c r="AJ75" s="162">
        <v>8575.1299999999992</v>
      </c>
      <c r="AK75" s="162">
        <v>7948.15</v>
      </c>
      <c r="AL75" s="162">
        <v>7891.32</v>
      </c>
      <c r="AM75" s="162">
        <v>59211.03</v>
      </c>
      <c r="AN75" s="162">
        <v>60060</v>
      </c>
      <c r="AO75" s="162">
        <v>27553.45</v>
      </c>
      <c r="AP75" s="162">
        <v>68755.149999999994</v>
      </c>
      <c r="AQ75" s="162">
        <v>53397.61</v>
      </c>
      <c r="AR75" s="162">
        <v>0</v>
      </c>
      <c r="AS75" s="162">
        <v>11234.55</v>
      </c>
      <c r="AT75" s="162">
        <v>8499.7800000000007</v>
      </c>
      <c r="AU75" s="162">
        <v>616.70000000000005</v>
      </c>
      <c r="AV75" s="162">
        <v>124370.15</v>
      </c>
      <c r="AW75" s="162">
        <v>7304.32</v>
      </c>
      <c r="AX75" s="162">
        <v>27552.71</v>
      </c>
      <c r="AY75" s="162">
        <v>20725.11</v>
      </c>
      <c r="AZ75" s="162">
        <v>0</v>
      </c>
      <c r="BA75" s="162">
        <v>0</v>
      </c>
      <c r="BB75" s="162">
        <v>0</v>
      </c>
      <c r="BC75" s="162">
        <f t="shared" si="16"/>
        <v>2774105.669999999</v>
      </c>
      <c r="BD75" s="162">
        <f t="shared" si="17"/>
        <v>-149952.91999999853</v>
      </c>
      <c r="BE75" s="162">
        <v>16146.63</v>
      </c>
      <c r="BF75" s="162">
        <f t="shared" si="18"/>
        <v>-133806.28999999852</v>
      </c>
      <c r="BG75" s="162">
        <v>0</v>
      </c>
      <c r="BH75" s="162">
        <v>0</v>
      </c>
      <c r="BI75" s="162">
        <f t="shared" si="19"/>
        <v>0</v>
      </c>
      <c r="BJ75" s="162">
        <v>0</v>
      </c>
      <c r="BK75" s="162">
        <v>0</v>
      </c>
      <c r="BL75" s="162">
        <f t="shared" si="20"/>
        <v>0</v>
      </c>
      <c r="BM75" s="162">
        <f t="shared" si="21"/>
        <v>0</v>
      </c>
      <c r="BN75" s="162">
        <v>0</v>
      </c>
      <c r="BO75" s="162">
        <f t="shared" si="22"/>
        <v>0</v>
      </c>
      <c r="BP75" s="162">
        <v>0</v>
      </c>
      <c r="BQ75" s="162">
        <v>-133806.28999999899</v>
      </c>
      <c r="BR75" s="162">
        <v>0</v>
      </c>
      <c r="BS75" s="162">
        <f t="shared" si="23"/>
        <v>-133806.28999999899</v>
      </c>
      <c r="BT75" s="162">
        <v>8545</v>
      </c>
      <c r="BU75" s="162">
        <v>0</v>
      </c>
      <c r="BV75" s="162">
        <v>0</v>
      </c>
      <c r="BW75" s="162">
        <f t="shared" si="24"/>
        <v>8545</v>
      </c>
      <c r="BX75" s="162">
        <v>0</v>
      </c>
      <c r="BY75" s="162">
        <v>10149.75</v>
      </c>
      <c r="BZ75" s="162">
        <v>0</v>
      </c>
      <c r="CA75" s="162">
        <v>7973.15</v>
      </c>
      <c r="CB75" s="162">
        <f t="shared" si="25"/>
        <v>18122.900000000001</v>
      </c>
      <c r="CC75" s="162">
        <f t="shared" si="26"/>
        <v>-9577.9000000000015</v>
      </c>
      <c r="CD75" s="162">
        <v>18251.22</v>
      </c>
      <c r="CE75" s="162">
        <f t="shared" si="27"/>
        <v>8673.32</v>
      </c>
    </row>
    <row r="76" spans="1:83" ht="13.8">
      <c r="A76" s="310">
        <v>2028</v>
      </c>
      <c r="B76" s="303" t="s">
        <v>410</v>
      </c>
      <c r="C76" s="25" t="s">
        <v>264</v>
      </c>
      <c r="D76" s="162">
        <v>2060002.02</v>
      </c>
      <c r="E76" s="162">
        <v>0</v>
      </c>
      <c r="F76" s="162">
        <v>185983.55</v>
      </c>
      <c r="G76" s="162">
        <v>0</v>
      </c>
      <c r="H76" s="162">
        <v>136470</v>
      </c>
      <c r="I76" s="162">
        <v>5020</v>
      </c>
      <c r="J76" s="162">
        <v>0</v>
      </c>
      <c r="K76" s="162">
        <v>2077.5</v>
      </c>
      <c r="L76" s="162">
        <v>15357.91</v>
      </c>
      <c r="M76" s="162">
        <v>38966.089999999997</v>
      </c>
      <c r="N76" s="162">
        <v>13821.2</v>
      </c>
      <c r="O76" s="162">
        <v>0</v>
      </c>
      <c r="P76" s="162">
        <v>122911.19</v>
      </c>
      <c r="Q76" s="162">
        <v>5026</v>
      </c>
      <c r="R76" s="162">
        <v>0</v>
      </c>
      <c r="S76" s="162">
        <v>0</v>
      </c>
      <c r="T76" s="162">
        <v>0</v>
      </c>
      <c r="U76" s="162">
        <v>5484.38</v>
      </c>
      <c r="V76" s="162">
        <v>77181</v>
      </c>
      <c r="W76" s="162">
        <f t="shared" si="15"/>
        <v>2668300.84</v>
      </c>
      <c r="X76" s="162">
        <v>1224212.1000000001</v>
      </c>
      <c r="Y76" s="162">
        <v>3012.59</v>
      </c>
      <c r="Z76" s="162">
        <v>566496.31999999995</v>
      </c>
      <c r="AA76" s="162">
        <v>67507.59</v>
      </c>
      <c r="AB76" s="162">
        <v>135269.47</v>
      </c>
      <c r="AC76" s="162">
        <v>0</v>
      </c>
      <c r="AD76" s="162">
        <v>132080.22</v>
      </c>
      <c r="AE76" s="162">
        <v>11810.1</v>
      </c>
      <c r="AF76" s="162">
        <v>8887.64</v>
      </c>
      <c r="AG76" s="162">
        <v>10075</v>
      </c>
      <c r="AH76" s="162">
        <v>92.88</v>
      </c>
      <c r="AI76" s="162">
        <v>21098.07</v>
      </c>
      <c r="AJ76" s="162">
        <v>987.35</v>
      </c>
      <c r="AK76" s="162">
        <v>8319.27</v>
      </c>
      <c r="AL76" s="162">
        <v>6988.1</v>
      </c>
      <c r="AM76" s="162">
        <v>58490.26</v>
      </c>
      <c r="AN76" s="162">
        <v>71526</v>
      </c>
      <c r="AO76" s="162">
        <v>7848.76</v>
      </c>
      <c r="AP76" s="162">
        <v>104246.39</v>
      </c>
      <c r="AQ76" s="162">
        <v>23421.57</v>
      </c>
      <c r="AR76" s="162">
        <v>0</v>
      </c>
      <c r="AS76" s="162">
        <v>17855.400000000001</v>
      </c>
      <c r="AT76" s="162">
        <v>8292.85</v>
      </c>
      <c r="AU76" s="162">
        <v>8145.77</v>
      </c>
      <c r="AV76" s="162">
        <v>125112.71</v>
      </c>
      <c r="AW76" s="162">
        <v>22003.24</v>
      </c>
      <c r="AX76" s="162">
        <v>11550.39</v>
      </c>
      <c r="AY76" s="162">
        <v>15875.22</v>
      </c>
      <c r="AZ76" s="162">
        <v>0</v>
      </c>
      <c r="BA76" s="162">
        <v>0</v>
      </c>
      <c r="BB76" s="162">
        <v>0</v>
      </c>
      <c r="BC76" s="162">
        <f t="shared" si="16"/>
        <v>2671205.2600000007</v>
      </c>
      <c r="BD76" s="162">
        <f t="shared" si="17"/>
        <v>-2904.4200000008568</v>
      </c>
      <c r="BE76" s="162">
        <v>72027.149999999994</v>
      </c>
      <c r="BF76" s="162">
        <f t="shared" si="18"/>
        <v>69122.729999999137</v>
      </c>
      <c r="BG76" s="162">
        <v>0</v>
      </c>
      <c r="BH76" s="162">
        <v>0</v>
      </c>
      <c r="BI76" s="162">
        <f t="shared" si="19"/>
        <v>0</v>
      </c>
      <c r="BJ76" s="162">
        <v>0</v>
      </c>
      <c r="BK76" s="162">
        <v>0</v>
      </c>
      <c r="BL76" s="162">
        <f t="shared" si="20"/>
        <v>0</v>
      </c>
      <c r="BM76" s="162">
        <f t="shared" si="21"/>
        <v>0</v>
      </c>
      <c r="BN76" s="162">
        <v>0</v>
      </c>
      <c r="BO76" s="162">
        <f t="shared" si="22"/>
        <v>0</v>
      </c>
      <c r="BP76" s="162">
        <v>0</v>
      </c>
      <c r="BQ76" s="162">
        <v>69122.729999999137</v>
      </c>
      <c r="BR76" s="162">
        <v>0</v>
      </c>
      <c r="BS76" s="162">
        <f t="shared" si="23"/>
        <v>69122.729999999137</v>
      </c>
      <c r="BT76" s="162">
        <v>8522.5</v>
      </c>
      <c r="BU76" s="162">
        <v>10326</v>
      </c>
      <c r="BV76" s="162">
        <v>0</v>
      </c>
      <c r="BW76" s="162">
        <f t="shared" si="24"/>
        <v>18848.5</v>
      </c>
      <c r="BX76" s="162">
        <v>0</v>
      </c>
      <c r="BY76" s="162">
        <v>10393.5</v>
      </c>
      <c r="BZ76" s="162">
        <v>0</v>
      </c>
      <c r="CA76" s="162">
        <v>3819</v>
      </c>
      <c r="CB76" s="162">
        <f t="shared" si="25"/>
        <v>14212.5</v>
      </c>
      <c r="CC76" s="162">
        <f t="shared" si="26"/>
        <v>4636</v>
      </c>
      <c r="CD76" s="162">
        <v>0.3</v>
      </c>
      <c r="CE76" s="162">
        <f t="shared" si="27"/>
        <v>4636.3</v>
      </c>
    </row>
    <row r="77" spans="1:83" ht="13.8">
      <c r="A77" s="310">
        <v>2029</v>
      </c>
      <c r="B77" s="303" t="s">
        <v>412</v>
      </c>
      <c r="C77" s="25" t="s">
        <v>264</v>
      </c>
      <c r="D77" s="162">
        <v>1105671.77</v>
      </c>
      <c r="E77" s="162">
        <v>0</v>
      </c>
      <c r="F77" s="162">
        <v>45058.16</v>
      </c>
      <c r="G77" s="162">
        <v>0</v>
      </c>
      <c r="H77" s="162">
        <v>55850</v>
      </c>
      <c r="I77" s="162">
        <v>1623</v>
      </c>
      <c r="J77" s="162">
        <v>0</v>
      </c>
      <c r="K77" s="162">
        <v>3469</v>
      </c>
      <c r="L77" s="162">
        <v>63614.63</v>
      </c>
      <c r="M77" s="162">
        <v>29094.69</v>
      </c>
      <c r="N77" s="162">
        <v>0</v>
      </c>
      <c r="O77" s="162">
        <v>619.29999999999995</v>
      </c>
      <c r="P77" s="162">
        <v>34857.94</v>
      </c>
      <c r="Q77" s="162">
        <v>19906.240000000002</v>
      </c>
      <c r="R77" s="162">
        <v>0</v>
      </c>
      <c r="S77" s="162">
        <v>0</v>
      </c>
      <c r="T77" s="162">
        <v>0</v>
      </c>
      <c r="U77" s="162">
        <v>2410</v>
      </c>
      <c r="V77" s="162">
        <v>52952</v>
      </c>
      <c r="W77" s="162">
        <f t="shared" si="15"/>
        <v>1415126.7299999997</v>
      </c>
      <c r="X77" s="162">
        <v>611004.56000000006</v>
      </c>
      <c r="Y77" s="162">
        <v>19471.88</v>
      </c>
      <c r="Z77" s="162">
        <v>268837.40000000002</v>
      </c>
      <c r="AA77" s="162">
        <v>14506.5</v>
      </c>
      <c r="AB77" s="162">
        <v>66471.259999999995</v>
      </c>
      <c r="AC77" s="162">
        <v>0</v>
      </c>
      <c r="AD77" s="162">
        <v>65763.5</v>
      </c>
      <c r="AE77" s="162">
        <v>5218.8999999999996</v>
      </c>
      <c r="AF77" s="162">
        <v>4298</v>
      </c>
      <c r="AG77" s="162">
        <v>5250</v>
      </c>
      <c r="AH77" s="162">
        <v>463.75</v>
      </c>
      <c r="AI77" s="162">
        <v>9507.25</v>
      </c>
      <c r="AJ77" s="162">
        <v>4543.79</v>
      </c>
      <c r="AK77" s="162">
        <v>23020.71</v>
      </c>
      <c r="AL77" s="162">
        <v>7994.5</v>
      </c>
      <c r="AM77" s="162">
        <v>28281.439999999999</v>
      </c>
      <c r="AN77" s="162">
        <v>34671</v>
      </c>
      <c r="AO77" s="162">
        <v>7139.78</v>
      </c>
      <c r="AP77" s="162">
        <v>70228.509999999995</v>
      </c>
      <c r="AQ77" s="162">
        <v>35505.009999999995</v>
      </c>
      <c r="AR77" s="162">
        <v>0</v>
      </c>
      <c r="AS77" s="162">
        <v>7785.98</v>
      </c>
      <c r="AT77" s="162">
        <v>4391.63</v>
      </c>
      <c r="AU77" s="162">
        <v>11312.71</v>
      </c>
      <c r="AV77" s="162">
        <v>70013.81</v>
      </c>
      <c r="AW77" s="162">
        <v>15541.76</v>
      </c>
      <c r="AX77" s="162">
        <v>10432.19</v>
      </c>
      <c r="AY77" s="162">
        <v>14476.7</v>
      </c>
      <c r="AZ77" s="162">
        <v>0</v>
      </c>
      <c r="BA77" s="162">
        <v>0</v>
      </c>
      <c r="BB77" s="162">
        <v>6979.3</v>
      </c>
      <c r="BC77" s="162">
        <f t="shared" si="16"/>
        <v>1423111.8199999998</v>
      </c>
      <c r="BD77" s="162">
        <f t="shared" si="17"/>
        <v>-7985.0900000000838</v>
      </c>
      <c r="BE77" s="162">
        <v>141056.47</v>
      </c>
      <c r="BF77" s="162">
        <f t="shared" si="18"/>
        <v>133071.37999999992</v>
      </c>
      <c r="BG77" s="162">
        <v>151447.04000000001</v>
      </c>
      <c r="BH77" s="162">
        <v>29485.62</v>
      </c>
      <c r="BI77" s="162">
        <f t="shared" si="19"/>
        <v>180932.66</v>
      </c>
      <c r="BJ77" s="162">
        <v>118109.5</v>
      </c>
      <c r="BK77" s="162">
        <v>26218.240000000002</v>
      </c>
      <c r="BL77" s="162">
        <f t="shared" si="20"/>
        <v>144327.74</v>
      </c>
      <c r="BM77" s="162">
        <f t="shared" si="21"/>
        <v>36604.920000000013</v>
      </c>
      <c r="BN77" s="162">
        <v>52872.649999999994</v>
      </c>
      <c r="BO77" s="162">
        <f t="shared" si="22"/>
        <v>89477.57</v>
      </c>
      <c r="BP77" s="162">
        <v>1662.3700000000001</v>
      </c>
      <c r="BQ77" s="162">
        <v>128074.09999999992</v>
      </c>
      <c r="BR77" s="162">
        <v>92812.48000000001</v>
      </c>
      <c r="BS77" s="162">
        <f t="shared" si="23"/>
        <v>222548.94999999992</v>
      </c>
      <c r="BT77" s="162">
        <v>6345.63</v>
      </c>
      <c r="BU77" s="162">
        <v>0</v>
      </c>
      <c r="BV77" s="162">
        <v>6979.3</v>
      </c>
      <c r="BW77" s="162">
        <f t="shared" si="24"/>
        <v>13324.93</v>
      </c>
      <c r="BX77" s="162">
        <v>0</v>
      </c>
      <c r="BY77" s="162">
        <v>36737</v>
      </c>
      <c r="BZ77" s="162">
        <v>0</v>
      </c>
      <c r="CA77" s="162">
        <v>0</v>
      </c>
      <c r="CB77" s="162">
        <f t="shared" si="25"/>
        <v>36737</v>
      </c>
      <c r="CC77" s="162">
        <f t="shared" si="26"/>
        <v>-23412.07</v>
      </c>
      <c r="CD77" s="162">
        <v>23412.07</v>
      </c>
      <c r="CE77" s="162">
        <f t="shared" si="27"/>
        <v>0</v>
      </c>
    </row>
    <row r="78" spans="1:83" ht="13.8">
      <c r="A78" s="310">
        <v>2059</v>
      </c>
      <c r="B78" s="303" t="s">
        <v>414</v>
      </c>
      <c r="C78" s="25" t="s">
        <v>264</v>
      </c>
      <c r="D78" s="162">
        <v>1030717.67</v>
      </c>
      <c r="E78" s="162">
        <v>0</v>
      </c>
      <c r="F78" s="162">
        <v>21267.63</v>
      </c>
      <c r="G78" s="162">
        <v>0</v>
      </c>
      <c r="H78" s="162">
        <v>27730</v>
      </c>
      <c r="I78" s="162">
        <v>6020.22</v>
      </c>
      <c r="J78" s="162">
        <v>0</v>
      </c>
      <c r="K78" s="162">
        <v>10860</v>
      </c>
      <c r="L78" s="162">
        <v>3127.74</v>
      </c>
      <c r="M78" s="162">
        <v>20873.419999999998</v>
      </c>
      <c r="N78" s="162">
        <v>0</v>
      </c>
      <c r="O78" s="162">
        <v>0</v>
      </c>
      <c r="P78" s="162">
        <v>16551.259999999998</v>
      </c>
      <c r="Q78" s="162">
        <v>23245.27</v>
      </c>
      <c r="R78" s="162">
        <v>0</v>
      </c>
      <c r="S78" s="162">
        <v>0</v>
      </c>
      <c r="T78" s="162">
        <v>0</v>
      </c>
      <c r="U78" s="162">
        <v>-174.37</v>
      </c>
      <c r="V78" s="162">
        <v>42691</v>
      </c>
      <c r="W78" s="162">
        <f t="shared" si="15"/>
        <v>1202909.8399999999</v>
      </c>
      <c r="X78" s="162">
        <v>636908.99</v>
      </c>
      <c r="Y78" s="162">
        <v>1215.23</v>
      </c>
      <c r="Z78" s="162">
        <v>214795.35</v>
      </c>
      <c r="AA78" s="162">
        <v>48775.21</v>
      </c>
      <c r="AB78" s="162">
        <v>61684.37</v>
      </c>
      <c r="AC78" s="162">
        <v>0</v>
      </c>
      <c r="AD78" s="162">
        <v>40278.85</v>
      </c>
      <c r="AE78" s="162">
        <v>5265.51</v>
      </c>
      <c r="AF78" s="162">
        <v>6785.73</v>
      </c>
      <c r="AG78" s="162">
        <v>2437</v>
      </c>
      <c r="AH78" s="162">
        <v>0</v>
      </c>
      <c r="AI78" s="162">
        <v>17688.650000000001</v>
      </c>
      <c r="AJ78" s="162">
        <v>2760</v>
      </c>
      <c r="AK78" s="162">
        <v>2135.02</v>
      </c>
      <c r="AL78" s="162">
        <v>2844.77</v>
      </c>
      <c r="AM78" s="162">
        <v>25090.92</v>
      </c>
      <c r="AN78" s="162">
        <v>17465</v>
      </c>
      <c r="AO78" s="162">
        <v>1903.2</v>
      </c>
      <c r="AP78" s="162">
        <v>44893.11</v>
      </c>
      <c r="AQ78" s="162">
        <v>22308.879999999997</v>
      </c>
      <c r="AR78" s="162">
        <v>0</v>
      </c>
      <c r="AS78" s="162">
        <v>13449.64</v>
      </c>
      <c r="AT78" s="162">
        <v>4056.04</v>
      </c>
      <c r="AU78" s="162">
        <v>0</v>
      </c>
      <c r="AV78" s="162">
        <v>61719.73</v>
      </c>
      <c r="AW78" s="162">
        <v>15929.23</v>
      </c>
      <c r="AX78" s="162">
        <v>0</v>
      </c>
      <c r="AY78" s="162">
        <v>16932.95</v>
      </c>
      <c r="AZ78" s="162">
        <v>0</v>
      </c>
      <c r="BA78" s="162">
        <v>0</v>
      </c>
      <c r="BB78" s="162">
        <v>0</v>
      </c>
      <c r="BC78" s="162">
        <f t="shared" si="16"/>
        <v>1267323.3799999997</v>
      </c>
      <c r="BD78" s="162">
        <f t="shared" si="17"/>
        <v>-64413.539999999804</v>
      </c>
      <c r="BE78" s="162">
        <v>-86330.43</v>
      </c>
      <c r="BF78" s="162">
        <f t="shared" si="18"/>
        <v>-150743.9699999998</v>
      </c>
      <c r="BG78" s="162">
        <v>0</v>
      </c>
      <c r="BH78" s="162">
        <v>0</v>
      </c>
      <c r="BI78" s="162">
        <f t="shared" si="19"/>
        <v>0</v>
      </c>
      <c r="BJ78" s="162">
        <v>0</v>
      </c>
      <c r="BK78" s="162">
        <v>0</v>
      </c>
      <c r="BL78" s="162">
        <f t="shared" si="20"/>
        <v>0</v>
      </c>
      <c r="BM78" s="162">
        <f t="shared" si="21"/>
        <v>0</v>
      </c>
      <c r="BN78" s="162">
        <v>0</v>
      </c>
      <c r="BO78" s="162">
        <f t="shared" si="22"/>
        <v>0</v>
      </c>
      <c r="BP78" s="162">
        <v>3300</v>
      </c>
      <c r="BQ78" s="162">
        <v>-154043.9699999998</v>
      </c>
      <c r="BR78" s="162">
        <v>0</v>
      </c>
      <c r="BS78" s="162">
        <f t="shared" si="23"/>
        <v>-150743.9699999998</v>
      </c>
      <c r="BT78" s="162">
        <v>6385</v>
      </c>
      <c r="BU78" s="162">
        <v>0</v>
      </c>
      <c r="BV78" s="162">
        <v>0</v>
      </c>
      <c r="BW78" s="162">
        <f t="shared" si="24"/>
        <v>6385</v>
      </c>
      <c r="BX78" s="162">
        <v>0</v>
      </c>
      <c r="BY78" s="162">
        <v>4193.3999999999996</v>
      </c>
      <c r="BZ78" s="162">
        <v>0</v>
      </c>
      <c r="CA78" s="162">
        <v>585.98</v>
      </c>
      <c r="CB78" s="162">
        <f t="shared" si="25"/>
        <v>4779.3799999999992</v>
      </c>
      <c r="CC78" s="162">
        <f t="shared" si="26"/>
        <v>1605.6200000000008</v>
      </c>
      <c r="CD78" s="162">
        <v>12389.58</v>
      </c>
      <c r="CE78" s="162">
        <f t="shared" si="27"/>
        <v>13995.2</v>
      </c>
    </row>
    <row r="79" spans="1:83" ht="13.8">
      <c r="A79" s="310">
        <v>3386</v>
      </c>
      <c r="B79" s="303" t="s">
        <v>416</v>
      </c>
      <c r="C79" s="25" t="s">
        <v>264</v>
      </c>
      <c r="D79" s="162">
        <v>2102693.7999999998</v>
      </c>
      <c r="E79" s="162">
        <v>0</v>
      </c>
      <c r="F79" s="162">
        <v>125785.81</v>
      </c>
      <c r="G79" s="162">
        <v>0</v>
      </c>
      <c r="H79" s="162">
        <v>91460</v>
      </c>
      <c r="I79" s="162">
        <v>736.29</v>
      </c>
      <c r="J79" s="162">
        <v>0</v>
      </c>
      <c r="K79" s="162">
        <v>24159</v>
      </c>
      <c r="L79" s="162">
        <v>14834.98</v>
      </c>
      <c r="M79" s="162">
        <v>49040.55</v>
      </c>
      <c r="N79" s="162">
        <v>1440</v>
      </c>
      <c r="O79" s="162">
        <v>0</v>
      </c>
      <c r="P79" s="162">
        <v>51966.66</v>
      </c>
      <c r="Q79" s="162">
        <v>20075.18</v>
      </c>
      <c r="R79" s="162">
        <v>0</v>
      </c>
      <c r="S79" s="162">
        <v>0</v>
      </c>
      <c r="T79" s="162">
        <v>0</v>
      </c>
      <c r="U79" s="162">
        <v>100.63</v>
      </c>
      <c r="V79" s="162">
        <v>91186</v>
      </c>
      <c r="W79" s="162">
        <f t="shared" si="15"/>
        <v>2573478.9</v>
      </c>
      <c r="X79" s="162">
        <v>1128549.02</v>
      </c>
      <c r="Y79" s="162">
        <v>2296.7800000000002</v>
      </c>
      <c r="Z79" s="162">
        <v>477805.32</v>
      </c>
      <c r="AA79" s="162">
        <v>33364.92</v>
      </c>
      <c r="AB79" s="162">
        <v>146447.57</v>
      </c>
      <c r="AC79" s="162">
        <v>0</v>
      </c>
      <c r="AD79" s="162">
        <v>38705.74</v>
      </c>
      <c r="AE79" s="162">
        <v>10245</v>
      </c>
      <c r="AF79" s="162">
        <v>11835.2</v>
      </c>
      <c r="AG79" s="162">
        <v>2952</v>
      </c>
      <c r="AH79" s="162">
        <v>0</v>
      </c>
      <c r="AI79" s="162">
        <v>19879.740000000002</v>
      </c>
      <c r="AJ79" s="162">
        <v>4429.1899999999996</v>
      </c>
      <c r="AK79" s="162">
        <v>40447.18</v>
      </c>
      <c r="AL79" s="162">
        <v>1489.52</v>
      </c>
      <c r="AM79" s="162">
        <v>37394.22</v>
      </c>
      <c r="AN79" s="162">
        <v>77532</v>
      </c>
      <c r="AO79" s="162">
        <v>13688.93</v>
      </c>
      <c r="AP79" s="162">
        <v>99366.41</v>
      </c>
      <c r="AQ79" s="162">
        <v>38562.17</v>
      </c>
      <c r="AR79" s="162">
        <v>0</v>
      </c>
      <c r="AS79" s="162">
        <v>13537.18</v>
      </c>
      <c r="AT79" s="162">
        <v>8336.33</v>
      </c>
      <c r="AU79" s="162">
        <v>11538.87</v>
      </c>
      <c r="AV79" s="162">
        <v>120632.96000000001</v>
      </c>
      <c r="AW79" s="162">
        <v>23316.19</v>
      </c>
      <c r="AX79" s="162">
        <v>58450.22</v>
      </c>
      <c r="AY79" s="162">
        <v>12280</v>
      </c>
      <c r="AZ79" s="162">
        <v>0</v>
      </c>
      <c r="BA79" s="162">
        <v>0</v>
      </c>
      <c r="BB79" s="162">
        <v>9700.18</v>
      </c>
      <c r="BC79" s="162">
        <f t="shared" si="16"/>
        <v>2442782.8400000003</v>
      </c>
      <c r="BD79" s="162">
        <f t="shared" si="17"/>
        <v>130696.05999999959</v>
      </c>
      <c r="BE79" s="162">
        <v>227799.38</v>
      </c>
      <c r="BF79" s="162">
        <f t="shared" si="18"/>
        <v>358495.43999999959</v>
      </c>
      <c r="BG79" s="162">
        <v>0</v>
      </c>
      <c r="BH79" s="162">
        <v>0</v>
      </c>
      <c r="BI79" s="162">
        <f t="shared" si="19"/>
        <v>0</v>
      </c>
      <c r="BJ79" s="162">
        <v>0</v>
      </c>
      <c r="BK79" s="162">
        <v>0</v>
      </c>
      <c r="BL79" s="162">
        <f t="shared" si="20"/>
        <v>0</v>
      </c>
      <c r="BM79" s="162">
        <f t="shared" si="21"/>
        <v>0</v>
      </c>
      <c r="BN79" s="162">
        <v>0</v>
      </c>
      <c r="BO79" s="162">
        <f t="shared" si="22"/>
        <v>0</v>
      </c>
      <c r="BP79" s="162">
        <v>11511.919999999998</v>
      </c>
      <c r="BQ79" s="162">
        <v>346983.51999999915</v>
      </c>
      <c r="BR79" s="162">
        <v>0</v>
      </c>
      <c r="BS79" s="162">
        <f t="shared" si="23"/>
        <v>358495.43999999913</v>
      </c>
      <c r="BT79" s="162">
        <v>8736.25</v>
      </c>
      <c r="BU79" s="162">
        <v>0</v>
      </c>
      <c r="BV79" s="162">
        <v>0</v>
      </c>
      <c r="BW79" s="162">
        <f t="shared" si="24"/>
        <v>8736.25</v>
      </c>
      <c r="BX79" s="162">
        <v>0</v>
      </c>
      <c r="BY79" s="162">
        <v>24645.84</v>
      </c>
      <c r="BZ79" s="162">
        <v>0</v>
      </c>
      <c r="CA79" s="162">
        <v>4013.35</v>
      </c>
      <c r="CB79" s="162">
        <f t="shared" si="25"/>
        <v>28659.19</v>
      </c>
      <c r="CC79" s="162">
        <f t="shared" si="26"/>
        <v>-19922.939999999999</v>
      </c>
      <c r="CD79" s="162">
        <v>24971.46</v>
      </c>
      <c r="CE79" s="162">
        <f t="shared" si="27"/>
        <v>5048.5200000000004</v>
      </c>
    </row>
    <row r="80" spans="1:83" ht="13.8">
      <c r="A80" s="310">
        <v>2449</v>
      </c>
      <c r="B80" s="303" t="s">
        <v>418</v>
      </c>
      <c r="C80" s="25" t="s">
        <v>264</v>
      </c>
      <c r="D80" s="162">
        <v>2003143.85</v>
      </c>
      <c r="E80" s="162">
        <v>0</v>
      </c>
      <c r="F80" s="162">
        <v>79866.45</v>
      </c>
      <c r="G80" s="162">
        <v>0</v>
      </c>
      <c r="H80" s="162">
        <v>124180</v>
      </c>
      <c r="I80" s="162">
        <v>3765</v>
      </c>
      <c r="J80" s="162">
        <v>10000</v>
      </c>
      <c r="K80" s="162">
        <v>0</v>
      </c>
      <c r="L80" s="162">
        <v>12376.7</v>
      </c>
      <c r="M80" s="162">
        <v>0</v>
      </c>
      <c r="N80" s="162">
        <v>0</v>
      </c>
      <c r="O80" s="162">
        <v>17798.5</v>
      </c>
      <c r="P80" s="162">
        <v>38242.03</v>
      </c>
      <c r="Q80" s="162">
        <v>1821.63</v>
      </c>
      <c r="R80" s="162">
        <v>0</v>
      </c>
      <c r="S80" s="162">
        <v>0</v>
      </c>
      <c r="T80" s="162">
        <v>0</v>
      </c>
      <c r="U80" s="162">
        <v>1701.25</v>
      </c>
      <c r="V80" s="162">
        <v>66577</v>
      </c>
      <c r="W80" s="162">
        <f t="shared" si="15"/>
        <v>2359472.4099999997</v>
      </c>
      <c r="X80" s="162">
        <v>1171225.06</v>
      </c>
      <c r="Y80" s="162">
        <v>44098.13</v>
      </c>
      <c r="Z80" s="162">
        <v>461986.74</v>
      </c>
      <c r="AA80" s="162">
        <v>13150.18</v>
      </c>
      <c r="AB80" s="162">
        <v>137591.01999999999</v>
      </c>
      <c r="AC80" s="162">
        <v>0</v>
      </c>
      <c r="AD80" s="162">
        <v>49851.67</v>
      </c>
      <c r="AE80" s="162">
        <v>7444.23</v>
      </c>
      <c r="AF80" s="162">
        <v>5571.5</v>
      </c>
      <c r="AG80" s="162">
        <v>9900</v>
      </c>
      <c r="AH80" s="162">
        <v>0</v>
      </c>
      <c r="AI80" s="162">
        <v>51627.28</v>
      </c>
      <c r="AJ80" s="162">
        <v>2334</v>
      </c>
      <c r="AK80" s="162">
        <v>43162.559999999998</v>
      </c>
      <c r="AL80" s="162">
        <v>5450.01</v>
      </c>
      <c r="AM80" s="162">
        <v>47763.64</v>
      </c>
      <c r="AN80" s="162">
        <v>65520</v>
      </c>
      <c r="AO80" s="162">
        <v>11676.74</v>
      </c>
      <c r="AP80" s="162">
        <v>108220.78</v>
      </c>
      <c r="AQ80" s="162">
        <v>46361.15</v>
      </c>
      <c r="AR80" s="162">
        <v>0</v>
      </c>
      <c r="AS80" s="162">
        <v>20993.200000000001</v>
      </c>
      <c r="AT80" s="162">
        <v>7835.85</v>
      </c>
      <c r="AU80" s="162">
        <v>893.58</v>
      </c>
      <c r="AV80" s="162">
        <v>84111.69</v>
      </c>
      <c r="AW80" s="162">
        <v>0</v>
      </c>
      <c r="AX80" s="162">
        <v>15782</v>
      </c>
      <c r="AY80" s="162">
        <v>22750.720000000001</v>
      </c>
      <c r="AZ80" s="162">
        <v>0</v>
      </c>
      <c r="BA80" s="162">
        <v>0</v>
      </c>
      <c r="BB80" s="162">
        <v>79125.649999999994</v>
      </c>
      <c r="BC80" s="162">
        <f t="shared" si="16"/>
        <v>2514427.38</v>
      </c>
      <c r="BD80" s="162">
        <f t="shared" si="17"/>
        <v>-154954.9700000002</v>
      </c>
      <c r="BE80" s="162">
        <v>705616.1</v>
      </c>
      <c r="BF80" s="162">
        <f t="shared" si="18"/>
        <v>550661.12999999977</v>
      </c>
      <c r="BG80" s="162">
        <v>0</v>
      </c>
      <c r="BH80" s="162">
        <v>378139.78</v>
      </c>
      <c r="BI80" s="162">
        <f t="shared" si="19"/>
        <v>378139.78</v>
      </c>
      <c r="BJ80" s="162">
        <v>284066.67</v>
      </c>
      <c r="BK80" s="162">
        <v>34159.51</v>
      </c>
      <c r="BL80" s="162">
        <f t="shared" si="20"/>
        <v>318226.18</v>
      </c>
      <c r="BM80" s="162">
        <f t="shared" si="21"/>
        <v>59913.600000000035</v>
      </c>
      <c r="BN80" s="162">
        <v>75250.710000000006</v>
      </c>
      <c r="BO80" s="162">
        <f t="shared" si="22"/>
        <v>135164.31000000006</v>
      </c>
      <c r="BP80" s="162">
        <v>41704</v>
      </c>
      <c r="BQ80" s="162">
        <v>508957.12999999931</v>
      </c>
      <c r="BR80" s="162">
        <v>135164.31000000006</v>
      </c>
      <c r="BS80" s="162">
        <f t="shared" si="23"/>
        <v>685825.43999999936</v>
      </c>
      <c r="BT80" s="162">
        <v>8691.25</v>
      </c>
      <c r="BU80" s="162">
        <v>0</v>
      </c>
      <c r="BV80" s="162">
        <v>79125.649999999994</v>
      </c>
      <c r="BW80" s="162">
        <f t="shared" si="24"/>
        <v>87816.9</v>
      </c>
      <c r="BX80" s="162">
        <v>0</v>
      </c>
      <c r="BY80" s="162">
        <v>104895.65</v>
      </c>
      <c r="BZ80" s="162">
        <v>0</v>
      </c>
      <c r="CA80" s="162">
        <v>0</v>
      </c>
      <c r="CB80" s="162">
        <f t="shared" si="25"/>
        <v>104895.65</v>
      </c>
      <c r="CC80" s="162">
        <f t="shared" si="26"/>
        <v>-17078.75</v>
      </c>
      <c r="CD80" s="162">
        <v>35102.75</v>
      </c>
      <c r="CE80" s="162">
        <f t="shared" si="27"/>
        <v>18024</v>
      </c>
    </row>
    <row r="81" spans="1:83" ht="13.8">
      <c r="A81" s="310">
        <v>2107</v>
      </c>
      <c r="B81" s="303" t="s">
        <v>420</v>
      </c>
      <c r="C81" s="25" t="s">
        <v>264</v>
      </c>
      <c r="D81" s="162">
        <v>1962723.9</v>
      </c>
      <c r="E81" s="162">
        <v>0</v>
      </c>
      <c r="F81" s="162">
        <v>96789.53</v>
      </c>
      <c r="G81" s="162">
        <v>0</v>
      </c>
      <c r="H81" s="162">
        <v>107160</v>
      </c>
      <c r="I81" s="162">
        <v>3089</v>
      </c>
      <c r="J81" s="162">
        <v>0</v>
      </c>
      <c r="K81" s="162">
        <v>17276</v>
      </c>
      <c r="L81" s="162">
        <v>279111.34999999998</v>
      </c>
      <c r="M81" s="162">
        <v>-1756.84</v>
      </c>
      <c r="N81" s="162">
        <v>0</v>
      </c>
      <c r="O81" s="162">
        <v>0</v>
      </c>
      <c r="P81" s="162">
        <v>19888.46</v>
      </c>
      <c r="Q81" s="162">
        <v>20830.86</v>
      </c>
      <c r="R81" s="162">
        <v>0</v>
      </c>
      <c r="S81" s="162">
        <v>0</v>
      </c>
      <c r="T81" s="162">
        <v>0</v>
      </c>
      <c r="U81" s="162">
        <v>2584.5</v>
      </c>
      <c r="V81" s="162">
        <v>86921</v>
      </c>
      <c r="W81" s="162">
        <f t="shared" si="15"/>
        <v>2594617.7599999998</v>
      </c>
      <c r="X81" s="162">
        <v>1301232.6499999999</v>
      </c>
      <c r="Y81" s="162">
        <v>0</v>
      </c>
      <c r="Z81" s="162">
        <v>506844.79</v>
      </c>
      <c r="AA81" s="162">
        <v>14740.05</v>
      </c>
      <c r="AB81" s="162">
        <v>104913.59</v>
      </c>
      <c r="AC81" s="162">
        <v>0</v>
      </c>
      <c r="AD81" s="162">
        <v>107728.77</v>
      </c>
      <c r="AE81" s="162">
        <v>10815.89</v>
      </c>
      <c r="AF81" s="162">
        <v>4535.08</v>
      </c>
      <c r="AG81" s="162">
        <v>9750</v>
      </c>
      <c r="AH81" s="162">
        <v>2275</v>
      </c>
      <c r="AI81" s="162">
        <v>15678.59</v>
      </c>
      <c r="AJ81" s="162">
        <v>2289.1999999999998</v>
      </c>
      <c r="AK81" s="162">
        <v>49587.95</v>
      </c>
      <c r="AL81" s="162">
        <v>2386</v>
      </c>
      <c r="AM81" s="162">
        <v>56273.5</v>
      </c>
      <c r="AN81" s="162">
        <v>49413</v>
      </c>
      <c r="AO81" s="162">
        <v>9160.17</v>
      </c>
      <c r="AP81" s="162">
        <v>59406.62</v>
      </c>
      <c r="AQ81" s="162">
        <v>43849.33</v>
      </c>
      <c r="AR81" s="162">
        <v>0</v>
      </c>
      <c r="AS81" s="162">
        <v>11674.87</v>
      </c>
      <c r="AT81" s="162">
        <v>7756.57</v>
      </c>
      <c r="AU81" s="162">
        <v>3382.02</v>
      </c>
      <c r="AV81" s="162">
        <v>99864.18</v>
      </c>
      <c r="AW81" s="162">
        <v>11844</v>
      </c>
      <c r="AX81" s="162">
        <v>33123.22</v>
      </c>
      <c r="AY81" s="162">
        <v>63269.15</v>
      </c>
      <c r="AZ81" s="162">
        <v>0</v>
      </c>
      <c r="BA81" s="162">
        <v>0</v>
      </c>
      <c r="BB81" s="162">
        <v>0</v>
      </c>
      <c r="BC81" s="162">
        <f t="shared" si="16"/>
        <v>2581794.1900000004</v>
      </c>
      <c r="BD81" s="162">
        <f t="shared" si="17"/>
        <v>12823.569999999367</v>
      </c>
      <c r="BE81" s="162">
        <v>146322.17000000001</v>
      </c>
      <c r="BF81" s="162">
        <f t="shared" si="18"/>
        <v>159145.73999999938</v>
      </c>
      <c r="BG81" s="162">
        <v>0</v>
      </c>
      <c r="BH81" s="162">
        <v>0</v>
      </c>
      <c r="BI81" s="162">
        <f t="shared" si="19"/>
        <v>0</v>
      </c>
      <c r="BJ81" s="162">
        <v>0</v>
      </c>
      <c r="BK81" s="162">
        <v>0</v>
      </c>
      <c r="BL81" s="162">
        <f t="shared" si="20"/>
        <v>0</v>
      </c>
      <c r="BM81" s="162">
        <f t="shared" si="21"/>
        <v>0</v>
      </c>
      <c r="BN81" s="162">
        <v>0</v>
      </c>
      <c r="BO81" s="162">
        <f t="shared" si="22"/>
        <v>0</v>
      </c>
      <c r="BP81" s="162">
        <v>37790</v>
      </c>
      <c r="BQ81" s="162">
        <v>121355.73999999985</v>
      </c>
      <c r="BR81" s="162">
        <v>0</v>
      </c>
      <c r="BS81" s="162">
        <f t="shared" si="23"/>
        <v>159145.73999999985</v>
      </c>
      <c r="BT81" s="162">
        <v>8471.8799999999992</v>
      </c>
      <c r="BU81" s="162">
        <v>54985.03</v>
      </c>
      <c r="BV81" s="162">
        <v>0</v>
      </c>
      <c r="BW81" s="162">
        <f t="shared" si="24"/>
        <v>63456.909999999996</v>
      </c>
      <c r="BX81" s="162">
        <v>0</v>
      </c>
      <c r="BY81" s="162">
        <v>62062.080000000002</v>
      </c>
      <c r="BZ81" s="162">
        <v>0</v>
      </c>
      <c r="CA81" s="162">
        <v>0</v>
      </c>
      <c r="CB81" s="162">
        <f t="shared" si="25"/>
        <v>62062.080000000002</v>
      </c>
      <c r="CC81" s="162">
        <f t="shared" si="26"/>
        <v>1394.8299999999945</v>
      </c>
      <c r="CD81" s="162">
        <v>26193.279999999999</v>
      </c>
      <c r="CE81" s="162">
        <f t="shared" si="27"/>
        <v>27588.109999999993</v>
      </c>
    </row>
    <row r="82" spans="1:83" ht="13.8">
      <c r="A82" s="310">
        <v>2109</v>
      </c>
      <c r="B82" s="303" t="s">
        <v>422</v>
      </c>
      <c r="C82" s="25" t="s">
        <v>264</v>
      </c>
      <c r="D82" s="162">
        <v>1140794.03</v>
      </c>
      <c r="E82" s="162">
        <v>0</v>
      </c>
      <c r="F82" s="162">
        <v>24036.71</v>
      </c>
      <c r="G82" s="162">
        <v>0</v>
      </c>
      <c r="H82" s="162">
        <v>29600</v>
      </c>
      <c r="I82" s="162">
        <v>4203.57</v>
      </c>
      <c r="J82" s="162">
        <v>0</v>
      </c>
      <c r="K82" s="162">
        <v>46475.09</v>
      </c>
      <c r="L82" s="162">
        <v>6542.05</v>
      </c>
      <c r="M82" s="162">
        <v>39046.639999999999</v>
      </c>
      <c r="N82" s="162">
        <v>0</v>
      </c>
      <c r="O82" s="162">
        <v>0</v>
      </c>
      <c r="P82" s="162">
        <v>35010.800000000003</v>
      </c>
      <c r="Q82" s="162">
        <v>7716.89</v>
      </c>
      <c r="R82" s="162">
        <v>0</v>
      </c>
      <c r="S82" s="162">
        <v>0</v>
      </c>
      <c r="T82" s="162">
        <v>0</v>
      </c>
      <c r="U82" s="162">
        <v>1287.5</v>
      </c>
      <c r="V82" s="162">
        <v>60218</v>
      </c>
      <c r="W82" s="162">
        <f t="shared" si="15"/>
        <v>1394931.28</v>
      </c>
      <c r="X82" s="162">
        <v>663413.51</v>
      </c>
      <c r="Y82" s="162">
        <v>4219.91</v>
      </c>
      <c r="Z82" s="162">
        <v>237224.77</v>
      </c>
      <c r="AA82" s="162">
        <v>61480.76</v>
      </c>
      <c r="AB82" s="162">
        <v>68978.720000000001</v>
      </c>
      <c r="AC82" s="162">
        <v>51188.61</v>
      </c>
      <c r="AD82" s="162">
        <v>13882.82</v>
      </c>
      <c r="AE82" s="162">
        <v>4514</v>
      </c>
      <c r="AF82" s="162">
        <v>3197.12</v>
      </c>
      <c r="AG82" s="162">
        <v>5650</v>
      </c>
      <c r="AH82" s="162">
        <v>375</v>
      </c>
      <c r="AI82" s="162">
        <v>5953.22</v>
      </c>
      <c r="AJ82" s="162">
        <v>2764.47</v>
      </c>
      <c r="AK82" s="162">
        <v>3232.1</v>
      </c>
      <c r="AL82" s="162">
        <v>2060.62</v>
      </c>
      <c r="AM82" s="162">
        <v>29944.799999999999</v>
      </c>
      <c r="AN82" s="162">
        <v>33579</v>
      </c>
      <c r="AO82" s="162">
        <v>4326.79</v>
      </c>
      <c r="AP82" s="162">
        <v>65951.83</v>
      </c>
      <c r="AQ82" s="162">
        <v>25128.65</v>
      </c>
      <c r="AR82" s="162">
        <v>0</v>
      </c>
      <c r="AS82" s="162">
        <v>5879.81</v>
      </c>
      <c r="AT82" s="162">
        <v>4669.34</v>
      </c>
      <c r="AU82" s="162">
        <v>4994.45</v>
      </c>
      <c r="AV82" s="162">
        <v>37287</v>
      </c>
      <c r="AW82" s="162">
        <v>0</v>
      </c>
      <c r="AX82" s="162">
        <v>22860</v>
      </c>
      <c r="AY82" s="162">
        <v>16534.3</v>
      </c>
      <c r="AZ82" s="162">
        <v>0</v>
      </c>
      <c r="BA82" s="162">
        <v>0</v>
      </c>
      <c r="BB82" s="162">
        <v>0</v>
      </c>
      <c r="BC82" s="162">
        <f t="shared" si="16"/>
        <v>1379291.6000000006</v>
      </c>
      <c r="BD82" s="162">
        <f t="shared" si="17"/>
        <v>15639.679999999469</v>
      </c>
      <c r="BE82" s="162">
        <v>44154.75</v>
      </c>
      <c r="BF82" s="162">
        <f t="shared" si="18"/>
        <v>59794.429999999469</v>
      </c>
      <c r="BG82" s="162">
        <v>0</v>
      </c>
      <c r="BH82" s="162">
        <v>0</v>
      </c>
      <c r="BI82" s="162">
        <f t="shared" si="19"/>
        <v>0</v>
      </c>
      <c r="BJ82" s="162">
        <v>0</v>
      </c>
      <c r="BK82" s="162">
        <v>0</v>
      </c>
      <c r="BL82" s="162">
        <f t="shared" si="20"/>
        <v>0</v>
      </c>
      <c r="BM82" s="162">
        <f t="shared" si="21"/>
        <v>0</v>
      </c>
      <c r="BN82" s="162">
        <v>0</v>
      </c>
      <c r="BO82" s="162">
        <f t="shared" si="22"/>
        <v>0</v>
      </c>
      <c r="BP82" s="162">
        <v>0</v>
      </c>
      <c r="BQ82" s="162">
        <v>59794.429999999469</v>
      </c>
      <c r="BR82" s="162">
        <v>0</v>
      </c>
      <c r="BS82" s="162">
        <f t="shared" si="23"/>
        <v>59794.429999999469</v>
      </c>
      <c r="BT82" s="162">
        <v>6587.5</v>
      </c>
      <c r="BU82" s="162">
        <v>0</v>
      </c>
      <c r="BV82" s="162">
        <v>0</v>
      </c>
      <c r="BW82" s="162">
        <f t="shared" si="24"/>
        <v>6587.5</v>
      </c>
      <c r="BX82" s="162">
        <v>0</v>
      </c>
      <c r="BY82" s="162">
        <v>8775.49</v>
      </c>
      <c r="BZ82" s="162">
        <v>0</v>
      </c>
      <c r="CA82" s="162">
        <v>0</v>
      </c>
      <c r="CB82" s="162">
        <f t="shared" si="25"/>
        <v>8775.49</v>
      </c>
      <c r="CC82" s="162">
        <f t="shared" si="26"/>
        <v>-2187.9899999999998</v>
      </c>
      <c r="CD82" s="162">
        <v>3763.46</v>
      </c>
      <c r="CE82" s="162">
        <f t="shared" si="27"/>
        <v>1575.4700000000003</v>
      </c>
    </row>
    <row r="83" spans="1:83" ht="13.8">
      <c r="A83" s="310">
        <v>3390</v>
      </c>
      <c r="B83" s="303" t="s">
        <v>424</v>
      </c>
      <c r="C83" s="25" t="s">
        <v>264</v>
      </c>
      <c r="D83" s="162">
        <v>1182131.4099999999</v>
      </c>
      <c r="E83" s="162">
        <v>0</v>
      </c>
      <c r="F83" s="162">
        <v>126101.64</v>
      </c>
      <c r="G83" s="162">
        <v>0</v>
      </c>
      <c r="H83" s="162">
        <v>107570</v>
      </c>
      <c r="I83" s="162">
        <v>2400</v>
      </c>
      <c r="J83" s="162">
        <v>0</v>
      </c>
      <c r="K83" s="162">
        <v>3850</v>
      </c>
      <c r="L83" s="162">
        <v>16049.15</v>
      </c>
      <c r="M83" s="162">
        <v>13033.38</v>
      </c>
      <c r="N83" s="162">
        <v>29833.200000000001</v>
      </c>
      <c r="O83" s="162">
        <v>1274.52</v>
      </c>
      <c r="P83" s="162">
        <v>17699.560000000001</v>
      </c>
      <c r="Q83" s="162">
        <v>0</v>
      </c>
      <c r="R83" s="162">
        <v>0</v>
      </c>
      <c r="S83" s="162">
        <v>0</v>
      </c>
      <c r="T83" s="162">
        <v>0</v>
      </c>
      <c r="U83" s="162">
        <v>3935.63</v>
      </c>
      <c r="V83" s="162">
        <v>37902</v>
      </c>
      <c r="W83" s="162">
        <f t="shared" si="15"/>
        <v>1541780.4899999995</v>
      </c>
      <c r="X83" s="162">
        <v>689786.52</v>
      </c>
      <c r="Y83" s="162">
        <v>0</v>
      </c>
      <c r="Z83" s="162">
        <v>248172.69</v>
      </c>
      <c r="AA83" s="162">
        <v>39444.9</v>
      </c>
      <c r="AB83" s="162">
        <v>60234.69</v>
      </c>
      <c r="AC83" s="162">
        <v>0</v>
      </c>
      <c r="AD83" s="162">
        <v>0</v>
      </c>
      <c r="AE83" s="162">
        <v>4634.1499999999996</v>
      </c>
      <c r="AF83" s="162">
        <v>4026.42</v>
      </c>
      <c r="AG83" s="162">
        <v>4325</v>
      </c>
      <c r="AH83" s="162">
        <v>1194.3699999999999</v>
      </c>
      <c r="AI83" s="162">
        <v>13411.69</v>
      </c>
      <c r="AJ83" s="162">
        <v>3781.25</v>
      </c>
      <c r="AK83" s="162">
        <v>12572.15</v>
      </c>
      <c r="AL83" s="162">
        <v>1912.5</v>
      </c>
      <c r="AM83" s="162">
        <v>35899.9</v>
      </c>
      <c r="AN83" s="162">
        <v>48867</v>
      </c>
      <c r="AO83" s="162">
        <v>7331.15</v>
      </c>
      <c r="AP83" s="162">
        <v>72527.12</v>
      </c>
      <c r="AQ83" s="162">
        <v>34720.199999999997</v>
      </c>
      <c r="AR83" s="162">
        <v>0</v>
      </c>
      <c r="AS83" s="162">
        <v>5404.1</v>
      </c>
      <c r="AT83" s="162">
        <v>4065</v>
      </c>
      <c r="AU83" s="162">
        <v>1971.4</v>
      </c>
      <c r="AV83" s="162">
        <v>71378.8</v>
      </c>
      <c r="AW83" s="162">
        <v>82835.839999999997</v>
      </c>
      <c r="AX83" s="162">
        <v>42113.09</v>
      </c>
      <c r="AY83" s="162">
        <v>20136.72</v>
      </c>
      <c r="AZ83" s="162">
        <v>0</v>
      </c>
      <c r="BA83" s="162">
        <v>0</v>
      </c>
      <c r="BB83" s="162">
        <v>0</v>
      </c>
      <c r="BC83" s="162">
        <f t="shared" si="16"/>
        <v>1510746.6500000001</v>
      </c>
      <c r="BD83" s="162">
        <f t="shared" si="17"/>
        <v>31033.839999999385</v>
      </c>
      <c r="BE83" s="162">
        <v>-31232.31</v>
      </c>
      <c r="BF83" s="162">
        <f t="shared" si="18"/>
        <v>-198.47000000061598</v>
      </c>
      <c r="BG83" s="162">
        <v>0</v>
      </c>
      <c r="BH83" s="162">
        <v>0</v>
      </c>
      <c r="BI83" s="162">
        <f t="shared" si="19"/>
        <v>0</v>
      </c>
      <c r="BJ83" s="162">
        <v>0</v>
      </c>
      <c r="BK83" s="162">
        <v>0</v>
      </c>
      <c r="BL83" s="162">
        <f t="shared" si="20"/>
        <v>0</v>
      </c>
      <c r="BM83" s="162">
        <f t="shared" si="21"/>
        <v>0</v>
      </c>
      <c r="BN83" s="162">
        <v>0</v>
      </c>
      <c r="BO83" s="162">
        <f t="shared" si="22"/>
        <v>0</v>
      </c>
      <c r="BP83" s="162">
        <v>58058.66</v>
      </c>
      <c r="BQ83" s="162">
        <v>-58257.130000000383</v>
      </c>
      <c r="BR83" s="162">
        <v>0</v>
      </c>
      <c r="BS83" s="162">
        <f t="shared" si="23"/>
        <v>-198.47000000037951</v>
      </c>
      <c r="BT83" s="162">
        <v>5851.75</v>
      </c>
      <c r="BU83" s="162">
        <v>0</v>
      </c>
      <c r="BV83" s="162">
        <v>0</v>
      </c>
      <c r="BW83" s="162">
        <f t="shared" si="24"/>
        <v>5851.75</v>
      </c>
      <c r="BX83" s="162">
        <v>0</v>
      </c>
      <c r="BY83" s="162">
        <v>0</v>
      </c>
      <c r="BZ83" s="162">
        <v>0</v>
      </c>
      <c r="CA83" s="162">
        <v>2395.2800000000002</v>
      </c>
      <c r="CB83" s="162">
        <f t="shared" si="25"/>
        <v>2395.2800000000002</v>
      </c>
      <c r="CC83" s="162">
        <f t="shared" si="26"/>
        <v>3456.47</v>
      </c>
      <c r="CD83" s="162">
        <v>6911.61</v>
      </c>
      <c r="CE83" s="162">
        <f t="shared" si="27"/>
        <v>10368.08</v>
      </c>
    </row>
    <row r="84" spans="1:83" ht="13.8">
      <c r="A84" s="312">
        <v>2031</v>
      </c>
      <c r="B84" s="305" t="s">
        <v>426</v>
      </c>
      <c r="C84" s="25" t="s">
        <v>264</v>
      </c>
      <c r="D84" s="162">
        <v>1051492.42</v>
      </c>
      <c r="E84" s="162">
        <v>0</v>
      </c>
      <c r="F84" s="162">
        <v>39113.68</v>
      </c>
      <c r="G84" s="162">
        <v>0</v>
      </c>
      <c r="H84" s="162">
        <v>58710</v>
      </c>
      <c r="I84" s="162">
        <v>6648.93</v>
      </c>
      <c r="J84" s="162">
        <v>0</v>
      </c>
      <c r="K84" s="162">
        <v>10117.799999999999</v>
      </c>
      <c r="L84" s="162">
        <v>47437.919999999998</v>
      </c>
      <c r="M84" s="162">
        <v>2.65</v>
      </c>
      <c r="N84" s="162">
        <v>7635</v>
      </c>
      <c r="O84" s="162">
        <v>833</v>
      </c>
      <c r="P84" s="162">
        <v>15882.38</v>
      </c>
      <c r="Q84" s="162">
        <v>11932</v>
      </c>
      <c r="R84" s="162">
        <v>0</v>
      </c>
      <c r="S84" s="162">
        <v>0</v>
      </c>
      <c r="T84" s="162">
        <v>0</v>
      </c>
      <c r="U84" s="162">
        <v>238.75</v>
      </c>
      <c r="V84" s="162">
        <v>47674</v>
      </c>
      <c r="W84" s="162">
        <f t="shared" si="15"/>
        <v>1297718.5299999996</v>
      </c>
      <c r="X84" s="162">
        <v>580977.84</v>
      </c>
      <c r="Y84" s="162">
        <v>101400.01</v>
      </c>
      <c r="Z84" s="162">
        <v>196302.03</v>
      </c>
      <c r="AA84" s="162">
        <v>10781.56</v>
      </c>
      <c r="AB84" s="162">
        <v>64095.82</v>
      </c>
      <c r="AC84" s="162">
        <v>0</v>
      </c>
      <c r="AD84" s="162">
        <v>25182.65</v>
      </c>
      <c r="AE84" s="162">
        <v>6413</v>
      </c>
      <c r="AF84" s="162">
        <v>3540.95</v>
      </c>
      <c r="AG84" s="162">
        <v>5050</v>
      </c>
      <c r="AH84" s="162">
        <v>370</v>
      </c>
      <c r="AI84" s="162">
        <v>9255.5499999999993</v>
      </c>
      <c r="AJ84" s="162">
        <v>720</v>
      </c>
      <c r="AK84" s="162">
        <v>45050.62</v>
      </c>
      <c r="AL84" s="162">
        <v>892.02</v>
      </c>
      <c r="AM84" s="162">
        <v>26405.360000000001</v>
      </c>
      <c r="AN84" s="162">
        <v>23827.25</v>
      </c>
      <c r="AO84" s="162">
        <v>16760.400000000001</v>
      </c>
      <c r="AP84" s="162">
        <v>64006.71</v>
      </c>
      <c r="AQ84" s="162">
        <v>25971.129999999997</v>
      </c>
      <c r="AR84" s="162">
        <v>0</v>
      </c>
      <c r="AS84" s="162">
        <v>8574.48</v>
      </c>
      <c r="AT84" s="162">
        <v>4178.95</v>
      </c>
      <c r="AU84" s="162">
        <v>0</v>
      </c>
      <c r="AV84" s="162">
        <v>50987.14</v>
      </c>
      <c r="AW84" s="162">
        <v>0</v>
      </c>
      <c r="AX84" s="162">
        <v>11025</v>
      </c>
      <c r="AY84" s="162">
        <v>28158.240000000002</v>
      </c>
      <c r="AZ84" s="162">
        <v>0</v>
      </c>
      <c r="BA84" s="162">
        <v>1778.29</v>
      </c>
      <c r="BB84" s="162">
        <v>5118.08</v>
      </c>
      <c r="BC84" s="162">
        <f t="shared" si="16"/>
        <v>1316823.0799999998</v>
      </c>
      <c r="BD84" s="162">
        <f t="shared" si="17"/>
        <v>-19104.550000000279</v>
      </c>
      <c r="BE84" s="162">
        <v>-17459.310000000001</v>
      </c>
      <c r="BF84" s="162">
        <f t="shared" si="18"/>
        <v>-36563.860000000277</v>
      </c>
      <c r="BG84" s="162">
        <v>0</v>
      </c>
      <c r="BH84" s="162">
        <v>0</v>
      </c>
      <c r="BI84" s="162">
        <f t="shared" si="19"/>
        <v>0</v>
      </c>
      <c r="BJ84" s="162">
        <v>0</v>
      </c>
      <c r="BK84" s="162">
        <v>0</v>
      </c>
      <c r="BL84" s="162">
        <f t="shared" si="20"/>
        <v>0</v>
      </c>
      <c r="BM84" s="162">
        <f t="shared" si="21"/>
        <v>0</v>
      </c>
      <c r="BN84" s="162">
        <v>0</v>
      </c>
      <c r="BO84" s="162">
        <f t="shared" si="22"/>
        <v>0</v>
      </c>
      <c r="BP84" s="162">
        <v>14708</v>
      </c>
      <c r="BQ84" s="162">
        <v>-51271.860000000277</v>
      </c>
      <c r="BR84" s="162">
        <v>0</v>
      </c>
      <c r="BS84" s="162">
        <f t="shared" si="23"/>
        <v>-36563.860000000277</v>
      </c>
      <c r="BT84" s="162">
        <v>6396.25</v>
      </c>
      <c r="BU84" s="162">
        <v>0</v>
      </c>
      <c r="BV84" s="162">
        <v>0</v>
      </c>
      <c r="BW84" s="162">
        <f t="shared" si="24"/>
        <v>6396.25</v>
      </c>
      <c r="BX84" s="162">
        <v>0</v>
      </c>
      <c r="BY84" s="162">
        <v>15565.8</v>
      </c>
      <c r="BZ84" s="162">
        <v>0</v>
      </c>
      <c r="CA84" s="162">
        <v>0</v>
      </c>
      <c r="CB84" s="162">
        <f t="shared" si="25"/>
        <v>15565.8</v>
      </c>
      <c r="CC84" s="162">
        <f t="shared" si="26"/>
        <v>-9169.5499999999993</v>
      </c>
      <c r="CD84" s="162">
        <v>22604.73</v>
      </c>
      <c r="CE84" s="162">
        <f t="shared" si="27"/>
        <v>13435.18</v>
      </c>
    </row>
    <row r="85" spans="1:83" ht="13.8">
      <c r="A85" s="310">
        <v>3350</v>
      </c>
      <c r="B85" s="303" t="s">
        <v>428</v>
      </c>
      <c r="C85" s="25" t="s">
        <v>264</v>
      </c>
      <c r="D85" s="162">
        <v>679753</v>
      </c>
      <c r="E85" s="162">
        <v>0</v>
      </c>
      <c r="F85" s="162">
        <v>51369.61</v>
      </c>
      <c r="G85" s="162">
        <v>0</v>
      </c>
      <c r="H85" s="162">
        <v>21400</v>
      </c>
      <c r="I85" s="162">
        <v>220</v>
      </c>
      <c r="J85" s="162">
        <v>0</v>
      </c>
      <c r="K85" s="162">
        <v>0</v>
      </c>
      <c r="L85" s="162">
        <v>36410.68</v>
      </c>
      <c r="M85" s="162">
        <v>11309.3</v>
      </c>
      <c r="N85" s="162">
        <v>2250</v>
      </c>
      <c r="O85" s="162">
        <v>3358.6</v>
      </c>
      <c r="P85" s="162">
        <v>11985.52</v>
      </c>
      <c r="Q85" s="162">
        <v>14487.15</v>
      </c>
      <c r="R85" s="162">
        <v>0</v>
      </c>
      <c r="S85" s="162">
        <v>0</v>
      </c>
      <c r="T85" s="162">
        <v>0</v>
      </c>
      <c r="U85" s="162">
        <v>901.25</v>
      </c>
      <c r="V85" s="162">
        <v>37434</v>
      </c>
      <c r="W85" s="162">
        <f t="shared" si="15"/>
        <v>870879.1100000001</v>
      </c>
      <c r="X85" s="162">
        <v>395898.63</v>
      </c>
      <c r="Y85" s="162">
        <v>0</v>
      </c>
      <c r="Z85" s="162">
        <v>186886.95</v>
      </c>
      <c r="AA85" s="162">
        <v>0</v>
      </c>
      <c r="AB85" s="162">
        <v>61194.44</v>
      </c>
      <c r="AC85" s="162">
        <v>0</v>
      </c>
      <c r="AD85" s="162">
        <v>15087.2</v>
      </c>
      <c r="AE85" s="162">
        <v>1938.2</v>
      </c>
      <c r="AF85" s="162">
        <v>2719.52</v>
      </c>
      <c r="AG85" s="162">
        <v>3025</v>
      </c>
      <c r="AH85" s="162">
        <v>568.75</v>
      </c>
      <c r="AI85" s="162">
        <v>4929.42</v>
      </c>
      <c r="AJ85" s="162">
        <v>137.76</v>
      </c>
      <c r="AK85" s="162">
        <v>19737.560000000001</v>
      </c>
      <c r="AL85" s="162">
        <v>1499.03</v>
      </c>
      <c r="AM85" s="162">
        <v>13378.88</v>
      </c>
      <c r="AN85" s="162">
        <v>1412.05</v>
      </c>
      <c r="AO85" s="162">
        <v>5511.44</v>
      </c>
      <c r="AP85" s="162">
        <v>43412.18</v>
      </c>
      <c r="AQ85" s="162">
        <v>20834.11</v>
      </c>
      <c r="AR85" s="162">
        <v>0</v>
      </c>
      <c r="AS85" s="162">
        <v>16383.24</v>
      </c>
      <c r="AT85" s="162">
        <v>2178</v>
      </c>
      <c r="AU85" s="162">
        <v>234</v>
      </c>
      <c r="AV85" s="162">
        <v>49607.55</v>
      </c>
      <c r="AW85" s="162">
        <v>23527.200000000001</v>
      </c>
      <c r="AX85" s="162">
        <v>7930.34</v>
      </c>
      <c r="AY85" s="162">
        <v>15106</v>
      </c>
      <c r="AZ85" s="162">
        <v>0</v>
      </c>
      <c r="BA85" s="162">
        <v>0</v>
      </c>
      <c r="BB85" s="162">
        <v>0</v>
      </c>
      <c r="BC85" s="162">
        <f t="shared" si="16"/>
        <v>893137.45000000007</v>
      </c>
      <c r="BD85" s="162">
        <f t="shared" si="17"/>
        <v>-22258.339999999967</v>
      </c>
      <c r="BE85" s="162">
        <v>89655.17</v>
      </c>
      <c r="BF85" s="162">
        <f t="shared" si="18"/>
        <v>67396.830000000031</v>
      </c>
      <c r="BG85" s="162">
        <v>0</v>
      </c>
      <c r="BH85" s="162">
        <v>0</v>
      </c>
      <c r="BI85" s="162">
        <f t="shared" si="19"/>
        <v>0</v>
      </c>
      <c r="BJ85" s="162">
        <v>0</v>
      </c>
      <c r="BK85" s="162">
        <v>0</v>
      </c>
      <c r="BL85" s="162">
        <f t="shared" si="20"/>
        <v>0</v>
      </c>
      <c r="BM85" s="162">
        <f t="shared" si="21"/>
        <v>0</v>
      </c>
      <c r="BN85" s="162">
        <v>0</v>
      </c>
      <c r="BO85" s="162">
        <f t="shared" si="22"/>
        <v>0</v>
      </c>
      <c r="BP85" s="162">
        <v>9054</v>
      </c>
      <c r="BQ85" s="162">
        <v>58342.830000000147</v>
      </c>
      <c r="BR85" s="162">
        <v>0</v>
      </c>
      <c r="BS85" s="162">
        <f t="shared" si="23"/>
        <v>67396.830000000147</v>
      </c>
      <c r="BT85" s="162">
        <v>0</v>
      </c>
      <c r="BU85" s="162">
        <v>0</v>
      </c>
      <c r="BV85" s="162">
        <v>0</v>
      </c>
      <c r="BW85" s="162">
        <f t="shared" si="24"/>
        <v>0</v>
      </c>
      <c r="BX85" s="162">
        <v>0</v>
      </c>
      <c r="BY85" s="162">
        <v>0</v>
      </c>
      <c r="BZ85" s="162">
        <v>0</v>
      </c>
      <c r="CA85" s="162">
        <v>0</v>
      </c>
      <c r="CB85" s="162">
        <f t="shared" si="25"/>
        <v>0</v>
      </c>
      <c r="CC85" s="162">
        <f t="shared" si="26"/>
        <v>0</v>
      </c>
      <c r="CD85" s="162">
        <v>0</v>
      </c>
      <c r="CE85" s="162">
        <f t="shared" si="27"/>
        <v>0</v>
      </c>
    </row>
    <row r="86" spans="1:83" ht="13.8">
      <c r="A86" s="310">
        <v>2033</v>
      </c>
      <c r="B86" s="303" t="s">
        <v>430</v>
      </c>
      <c r="C86" s="25" t="s">
        <v>264</v>
      </c>
      <c r="D86" s="162">
        <v>1707608.8</v>
      </c>
      <c r="E86" s="162">
        <v>0</v>
      </c>
      <c r="F86" s="162">
        <v>100629.39</v>
      </c>
      <c r="G86" s="162">
        <v>5400</v>
      </c>
      <c r="H86" s="162">
        <v>61260</v>
      </c>
      <c r="I86" s="162">
        <v>1200</v>
      </c>
      <c r="J86" s="162">
        <v>0</v>
      </c>
      <c r="K86" s="162">
        <v>12082.49</v>
      </c>
      <c r="L86" s="162">
        <v>18319.939999999999</v>
      </c>
      <c r="M86" s="162">
        <v>47562.25</v>
      </c>
      <c r="N86" s="162">
        <v>3558</v>
      </c>
      <c r="O86" s="162">
        <v>7182.76</v>
      </c>
      <c r="P86" s="162">
        <v>30730.54</v>
      </c>
      <c r="Q86" s="162">
        <v>11154.35</v>
      </c>
      <c r="R86" s="162">
        <v>0</v>
      </c>
      <c r="S86" s="162">
        <v>0</v>
      </c>
      <c r="T86" s="162">
        <v>0</v>
      </c>
      <c r="U86" s="162">
        <v>2566.88</v>
      </c>
      <c r="V86" s="162">
        <v>66959</v>
      </c>
      <c r="W86" s="162">
        <f t="shared" si="15"/>
        <v>2076214.4</v>
      </c>
      <c r="X86" s="162">
        <v>993451.56</v>
      </c>
      <c r="Y86" s="162">
        <v>33276.93</v>
      </c>
      <c r="Z86" s="162">
        <v>397863.25</v>
      </c>
      <c r="AA86" s="162">
        <v>66661.48</v>
      </c>
      <c r="AB86" s="162">
        <v>59161.95</v>
      </c>
      <c r="AC86" s="162">
        <v>0</v>
      </c>
      <c r="AD86" s="162">
        <v>23774.01</v>
      </c>
      <c r="AE86" s="162">
        <v>13519.02</v>
      </c>
      <c r="AF86" s="162">
        <v>4602</v>
      </c>
      <c r="AG86" s="162">
        <v>8425</v>
      </c>
      <c r="AH86" s="162">
        <v>355.75</v>
      </c>
      <c r="AI86" s="162">
        <v>18676.84</v>
      </c>
      <c r="AJ86" s="162">
        <v>4500</v>
      </c>
      <c r="AK86" s="162">
        <v>5903.35</v>
      </c>
      <c r="AL86" s="162">
        <v>5927.53</v>
      </c>
      <c r="AM86" s="162">
        <v>42983.48</v>
      </c>
      <c r="AN86" s="162">
        <v>63882</v>
      </c>
      <c r="AO86" s="162">
        <v>8369.82</v>
      </c>
      <c r="AP86" s="162">
        <v>111489.36</v>
      </c>
      <c r="AQ86" s="162">
        <v>23139.14</v>
      </c>
      <c r="AR86" s="162">
        <v>0</v>
      </c>
      <c r="AS86" s="162">
        <v>14147.84</v>
      </c>
      <c r="AT86" s="162">
        <v>6477.46</v>
      </c>
      <c r="AU86" s="162">
        <v>223.32</v>
      </c>
      <c r="AV86" s="162">
        <v>98897.18</v>
      </c>
      <c r="AW86" s="162">
        <v>54788.44</v>
      </c>
      <c r="AX86" s="162">
        <v>30245.31</v>
      </c>
      <c r="AY86" s="162">
        <v>28936.85</v>
      </c>
      <c r="AZ86" s="162">
        <v>0</v>
      </c>
      <c r="BA86" s="162">
        <v>0</v>
      </c>
      <c r="BB86" s="162">
        <v>0</v>
      </c>
      <c r="BC86" s="162">
        <f t="shared" si="16"/>
        <v>2119678.8700000006</v>
      </c>
      <c r="BD86" s="162">
        <f t="shared" si="17"/>
        <v>-43464.470000000671</v>
      </c>
      <c r="BE86" s="162">
        <v>182423.56999999998</v>
      </c>
      <c r="BF86" s="162">
        <f t="shared" si="18"/>
        <v>138959.09999999931</v>
      </c>
      <c r="BG86" s="162">
        <v>0</v>
      </c>
      <c r="BH86" s="162">
        <v>122278.08</v>
      </c>
      <c r="BI86" s="162">
        <f t="shared" si="19"/>
        <v>122278.08</v>
      </c>
      <c r="BJ86" s="162">
        <v>94748.34</v>
      </c>
      <c r="BK86" s="162">
        <v>7539.3</v>
      </c>
      <c r="BL86" s="162">
        <f t="shared" si="20"/>
        <v>102287.64</v>
      </c>
      <c r="BM86" s="162">
        <f t="shared" si="21"/>
        <v>19990.440000000002</v>
      </c>
      <c r="BN86" s="162">
        <v>6176.34</v>
      </c>
      <c r="BO86" s="162">
        <f t="shared" si="22"/>
        <v>26166.780000000002</v>
      </c>
      <c r="BP86" s="162">
        <v>0</v>
      </c>
      <c r="BQ86" s="162">
        <v>138959.09999999934</v>
      </c>
      <c r="BR86" s="162">
        <v>26166.780000000002</v>
      </c>
      <c r="BS86" s="162">
        <f t="shared" si="23"/>
        <v>165125.87999999934</v>
      </c>
      <c r="BT86" s="162">
        <v>8140</v>
      </c>
      <c r="BU86" s="162">
        <v>0</v>
      </c>
      <c r="BV86" s="162">
        <v>0</v>
      </c>
      <c r="BW86" s="162">
        <f t="shared" si="24"/>
        <v>8140</v>
      </c>
      <c r="BX86" s="162">
        <v>0</v>
      </c>
      <c r="BY86" s="162">
        <v>6269.85</v>
      </c>
      <c r="BZ86" s="162">
        <v>0</v>
      </c>
      <c r="CA86" s="162">
        <v>4133.9799999999996</v>
      </c>
      <c r="CB86" s="162">
        <f t="shared" si="25"/>
        <v>10403.83</v>
      </c>
      <c r="CC86" s="162">
        <f t="shared" si="26"/>
        <v>-2263.83</v>
      </c>
      <c r="CD86" s="162">
        <v>22047.99</v>
      </c>
      <c r="CE86" s="162">
        <f t="shared" si="27"/>
        <v>19784.160000000003</v>
      </c>
    </row>
    <row r="87" spans="1:83" ht="13.8">
      <c r="A87" s="310">
        <v>3331</v>
      </c>
      <c r="B87" s="303" t="s">
        <v>432</v>
      </c>
      <c r="C87" s="25" t="s">
        <v>264</v>
      </c>
      <c r="D87" s="162">
        <v>711948.01</v>
      </c>
      <c r="E87" s="162">
        <v>0</v>
      </c>
      <c r="F87" s="162">
        <v>10528.2</v>
      </c>
      <c r="G87" s="162">
        <v>0</v>
      </c>
      <c r="H87" s="162">
        <v>31080</v>
      </c>
      <c r="I87" s="162">
        <v>1696</v>
      </c>
      <c r="J87" s="162">
        <v>0</v>
      </c>
      <c r="K87" s="162">
        <v>4140</v>
      </c>
      <c r="L87" s="162">
        <v>21226.14</v>
      </c>
      <c r="M87" s="162">
        <v>8873.4699999999993</v>
      </c>
      <c r="N87" s="162">
        <v>770</v>
      </c>
      <c r="O87" s="162">
        <v>0</v>
      </c>
      <c r="P87" s="162">
        <v>38521</v>
      </c>
      <c r="Q87" s="162">
        <v>0</v>
      </c>
      <c r="R87" s="162">
        <v>0</v>
      </c>
      <c r="S87" s="162">
        <v>0</v>
      </c>
      <c r="T87" s="162">
        <v>0</v>
      </c>
      <c r="U87" s="162">
        <v>619.5</v>
      </c>
      <c r="V87" s="162">
        <v>37441</v>
      </c>
      <c r="W87" s="162">
        <f t="shared" si="15"/>
        <v>866843.32</v>
      </c>
      <c r="X87" s="162">
        <v>486710.36</v>
      </c>
      <c r="Y87" s="162">
        <v>0</v>
      </c>
      <c r="Z87" s="162">
        <v>136245.48000000001</v>
      </c>
      <c r="AA87" s="162">
        <v>13867.15</v>
      </c>
      <c r="AB87" s="162">
        <v>40483.120000000003</v>
      </c>
      <c r="AC87" s="162">
        <v>0</v>
      </c>
      <c r="AD87" s="162">
        <v>46851.74</v>
      </c>
      <c r="AE87" s="162">
        <v>1413.4</v>
      </c>
      <c r="AF87" s="162">
        <v>3392.7</v>
      </c>
      <c r="AG87" s="162">
        <v>3050</v>
      </c>
      <c r="AH87" s="162">
        <v>796.25</v>
      </c>
      <c r="AI87" s="162">
        <v>4596.5</v>
      </c>
      <c r="AJ87" s="162">
        <v>2850</v>
      </c>
      <c r="AK87" s="162">
        <v>2125.83</v>
      </c>
      <c r="AL87" s="162">
        <v>565.5</v>
      </c>
      <c r="AM87" s="162">
        <v>14596.09</v>
      </c>
      <c r="AN87" s="162">
        <v>3343.3</v>
      </c>
      <c r="AO87" s="162">
        <v>5192.8900000000003</v>
      </c>
      <c r="AP87" s="162">
        <v>34856.75</v>
      </c>
      <c r="AQ87" s="162">
        <v>15745.07</v>
      </c>
      <c r="AR87" s="162">
        <v>0</v>
      </c>
      <c r="AS87" s="162">
        <v>3821.96</v>
      </c>
      <c r="AT87" s="162">
        <v>2677</v>
      </c>
      <c r="AU87" s="162">
        <v>6462.71</v>
      </c>
      <c r="AV87" s="162">
        <v>33395.660000000003</v>
      </c>
      <c r="AW87" s="162">
        <v>0</v>
      </c>
      <c r="AX87" s="162">
        <v>34321.81</v>
      </c>
      <c r="AY87" s="162">
        <v>20628.64</v>
      </c>
      <c r="AZ87" s="162">
        <v>0</v>
      </c>
      <c r="BA87" s="162">
        <v>0</v>
      </c>
      <c r="BB87" s="162">
        <v>1105.6199999999999</v>
      </c>
      <c r="BC87" s="162">
        <f t="shared" si="16"/>
        <v>919095.5299999998</v>
      </c>
      <c r="BD87" s="162">
        <f t="shared" si="17"/>
        <v>-52252.209999999846</v>
      </c>
      <c r="BE87" s="162">
        <v>110011.56</v>
      </c>
      <c r="BF87" s="162">
        <f t="shared" si="18"/>
        <v>57759.350000000151</v>
      </c>
      <c r="BG87" s="162">
        <v>0</v>
      </c>
      <c r="BH87" s="162">
        <v>0</v>
      </c>
      <c r="BI87" s="162">
        <f t="shared" si="19"/>
        <v>0</v>
      </c>
      <c r="BJ87" s="162">
        <v>0</v>
      </c>
      <c r="BK87" s="162">
        <v>0</v>
      </c>
      <c r="BL87" s="162">
        <f t="shared" si="20"/>
        <v>0</v>
      </c>
      <c r="BM87" s="162">
        <f t="shared" si="21"/>
        <v>0</v>
      </c>
      <c r="BN87" s="162">
        <v>0</v>
      </c>
      <c r="BO87" s="162">
        <f t="shared" si="22"/>
        <v>0</v>
      </c>
      <c r="BP87" s="162">
        <v>21557.93</v>
      </c>
      <c r="BQ87" s="162">
        <v>36201.419999999918</v>
      </c>
      <c r="BR87" s="162">
        <v>0</v>
      </c>
      <c r="BS87" s="162">
        <f t="shared" si="23"/>
        <v>57759.349999999919</v>
      </c>
      <c r="BT87" s="162">
        <v>0</v>
      </c>
      <c r="BU87" s="162">
        <v>0</v>
      </c>
      <c r="BV87" s="162">
        <v>0</v>
      </c>
      <c r="BW87" s="162">
        <f t="shared" si="24"/>
        <v>0</v>
      </c>
      <c r="BX87" s="162">
        <v>0</v>
      </c>
      <c r="BY87" s="162">
        <v>0</v>
      </c>
      <c r="BZ87" s="162">
        <v>0</v>
      </c>
      <c r="CA87" s="162">
        <v>0</v>
      </c>
      <c r="CB87" s="162">
        <f t="shared" si="25"/>
        <v>0</v>
      </c>
      <c r="CC87" s="162">
        <f t="shared" si="26"/>
        <v>0</v>
      </c>
      <c r="CD87" s="162">
        <v>0</v>
      </c>
      <c r="CE87" s="162">
        <f t="shared" si="27"/>
        <v>0</v>
      </c>
    </row>
    <row r="88" spans="1:83" ht="13.8">
      <c r="A88" s="310">
        <v>2239</v>
      </c>
      <c r="B88" s="303" t="s">
        <v>434</v>
      </c>
      <c r="C88" s="25" t="s">
        <v>264</v>
      </c>
      <c r="D88" s="162">
        <v>1554941.21</v>
      </c>
      <c r="E88" s="162">
        <v>0</v>
      </c>
      <c r="F88" s="162">
        <v>125277.74</v>
      </c>
      <c r="G88" s="162">
        <v>0</v>
      </c>
      <c r="H88" s="162">
        <v>132270</v>
      </c>
      <c r="I88" s="162">
        <v>3820</v>
      </c>
      <c r="J88" s="162">
        <v>0</v>
      </c>
      <c r="K88" s="162">
        <v>2470</v>
      </c>
      <c r="L88" s="162">
        <v>75139.39</v>
      </c>
      <c r="M88" s="162">
        <v>40439.01</v>
      </c>
      <c r="N88" s="162">
        <v>1800</v>
      </c>
      <c r="O88" s="162">
        <v>1024.92</v>
      </c>
      <c r="P88" s="162">
        <v>39147.839999999997</v>
      </c>
      <c r="Q88" s="162">
        <v>0</v>
      </c>
      <c r="R88" s="162">
        <v>0</v>
      </c>
      <c r="S88" s="162">
        <v>0</v>
      </c>
      <c r="T88" s="162">
        <v>0</v>
      </c>
      <c r="U88" s="162">
        <v>5556.25</v>
      </c>
      <c r="V88" s="162">
        <v>19167</v>
      </c>
      <c r="W88" s="162">
        <f t="shared" si="15"/>
        <v>2001053.3599999999</v>
      </c>
      <c r="X88" s="162">
        <v>973917.09</v>
      </c>
      <c r="Y88" s="162">
        <v>19976.419999999998</v>
      </c>
      <c r="Z88" s="162">
        <v>319335.71000000002</v>
      </c>
      <c r="AA88" s="162">
        <v>60227.49</v>
      </c>
      <c r="AB88" s="162">
        <v>81377.509999999995</v>
      </c>
      <c r="AC88" s="162">
        <v>0</v>
      </c>
      <c r="AD88" s="162">
        <v>77911.8</v>
      </c>
      <c r="AE88" s="162">
        <v>7765.85</v>
      </c>
      <c r="AF88" s="162">
        <v>9289.48</v>
      </c>
      <c r="AG88" s="162">
        <v>7600</v>
      </c>
      <c r="AH88" s="162">
        <v>1347.5</v>
      </c>
      <c r="AI88" s="162">
        <v>17024.66</v>
      </c>
      <c r="AJ88" s="162">
        <v>2400</v>
      </c>
      <c r="AK88" s="162">
        <v>5840.22</v>
      </c>
      <c r="AL88" s="162">
        <v>7571.4</v>
      </c>
      <c r="AM88" s="162">
        <v>34104.85</v>
      </c>
      <c r="AN88" s="162">
        <v>31122</v>
      </c>
      <c r="AO88" s="162">
        <v>8593.16</v>
      </c>
      <c r="AP88" s="162">
        <v>107630.63</v>
      </c>
      <c r="AQ88" s="162">
        <v>41480.339999999997</v>
      </c>
      <c r="AR88" s="162">
        <v>0</v>
      </c>
      <c r="AS88" s="162">
        <v>17911.11</v>
      </c>
      <c r="AT88" s="162">
        <v>6080.84</v>
      </c>
      <c r="AU88" s="162">
        <v>12162.26</v>
      </c>
      <c r="AV88" s="162">
        <v>87237.57</v>
      </c>
      <c r="AW88" s="162">
        <v>80799.67</v>
      </c>
      <c r="AX88" s="162">
        <v>17877.03</v>
      </c>
      <c r="AY88" s="162">
        <v>24550.94</v>
      </c>
      <c r="AZ88" s="162">
        <v>0</v>
      </c>
      <c r="BA88" s="162">
        <v>0</v>
      </c>
      <c r="BB88" s="162">
        <v>0</v>
      </c>
      <c r="BC88" s="162">
        <f t="shared" si="16"/>
        <v>2061135.5300000003</v>
      </c>
      <c r="BD88" s="162">
        <f t="shared" si="17"/>
        <v>-60082.170000000391</v>
      </c>
      <c r="BE88" s="162">
        <v>402457.12</v>
      </c>
      <c r="BF88" s="162">
        <f t="shared" si="18"/>
        <v>342374.9499999996</v>
      </c>
      <c r="BG88" s="162">
        <v>0</v>
      </c>
      <c r="BH88" s="162">
        <v>0</v>
      </c>
      <c r="BI88" s="162">
        <f t="shared" si="19"/>
        <v>0</v>
      </c>
      <c r="BJ88" s="162">
        <v>0</v>
      </c>
      <c r="BK88" s="162">
        <v>0</v>
      </c>
      <c r="BL88" s="162">
        <f t="shared" si="20"/>
        <v>0</v>
      </c>
      <c r="BM88" s="162">
        <f t="shared" si="21"/>
        <v>0</v>
      </c>
      <c r="BN88" s="162">
        <v>0</v>
      </c>
      <c r="BO88" s="162">
        <f t="shared" si="22"/>
        <v>0</v>
      </c>
      <c r="BP88" s="162">
        <v>23800.760000000002</v>
      </c>
      <c r="BQ88" s="162">
        <v>318574.18999999983</v>
      </c>
      <c r="BR88" s="162">
        <v>0</v>
      </c>
      <c r="BS88" s="162">
        <f t="shared" si="23"/>
        <v>342374.94999999984</v>
      </c>
      <c r="BT88" s="162">
        <v>7701.25</v>
      </c>
      <c r="BU88" s="162">
        <v>0</v>
      </c>
      <c r="BV88" s="162">
        <v>0</v>
      </c>
      <c r="BW88" s="162">
        <f t="shared" si="24"/>
        <v>7701.25</v>
      </c>
      <c r="BX88" s="162">
        <v>0</v>
      </c>
      <c r="BY88" s="162">
        <v>13749.2</v>
      </c>
      <c r="BZ88" s="162">
        <v>0</v>
      </c>
      <c r="CA88" s="162">
        <v>0</v>
      </c>
      <c r="CB88" s="162">
        <f t="shared" si="25"/>
        <v>13749.2</v>
      </c>
      <c r="CC88" s="162">
        <f t="shared" si="26"/>
        <v>-6047.9500000000007</v>
      </c>
      <c r="CD88" s="162">
        <v>24564.21</v>
      </c>
      <c r="CE88" s="162">
        <f t="shared" si="27"/>
        <v>18516.259999999998</v>
      </c>
    </row>
    <row r="89" spans="1:83" ht="13.8">
      <c r="A89" s="310">
        <v>2219</v>
      </c>
      <c r="B89" s="303" t="s">
        <v>436</v>
      </c>
      <c r="C89" s="25" t="s">
        <v>264</v>
      </c>
      <c r="D89" s="162">
        <v>1140004.22</v>
      </c>
      <c r="E89" s="162">
        <v>0</v>
      </c>
      <c r="F89" s="162">
        <v>132386.91</v>
      </c>
      <c r="G89" s="162">
        <v>0</v>
      </c>
      <c r="H89" s="162">
        <v>61380</v>
      </c>
      <c r="I89" s="162">
        <v>2754</v>
      </c>
      <c r="J89" s="162">
        <v>0</v>
      </c>
      <c r="K89" s="162">
        <v>5833.91</v>
      </c>
      <c r="L89" s="162">
        <v>14631.16</v>
      </c>
      <c r="M89" s="162">
        <v>820.6</v>
      </c>
      <c r="N89" s="162">
        <v>10488</v>
      </c>
      <c r="O89" s="162">
        <v>0</v>
      </c>
      <c r="P89" s="162">
        <v>190</v>
      </c>
      <c r="Q89" s="162">
        <v>2450.89</v>
      </c>
      <c r="R89" s="162">
        <v>0</v>
      </c>
      <c r="S89" s="162">
        <v>0</v>
      </c>
      <c r="T89" s="162">
        <v>0</v>
      </c>
      <c r="U89" s="162">
        <v>-125</v>
      </c>
      <c r="V89" s="162">
        <v>90528</v>
      </c>
      <c r="W89" s="162">
        <f t="shared" si="15"/>
        <v>1461342.6899999997</v>
      </c>
      <c r="X89" s="162">
        <v>725954.34</v>
      </c>
      <c r="Y89" s="162">
        <v>7067.08</v>
      </c>
      <c r="Z89" s="162">
        <v>356206.63</v>
      </c>
      <c r="AA89" s="162">
        <v>45191.74</v>
      </c>
      <c r="AB89" s="162">
        <v>59696.639999999999</v>
      </c>
      <c r="AC89" s="162">
        <v>0</v>
      </c>
      <c r="AD89" s="162">
        <v>13819.49</v>
      </c>
      <c r="AE89" s="162">
        <v>5715.47</v>
      </c>
      <c r="AF89" s="162">
        <v>4246.47</v>
      </c>
      <c r="AG89" s="162">
        <v>5125</v>
      </c>
      <c r="AH89" s="162">
        <v>100</v>
      </c>
      <c r="AI89" s="162">
        <v>13180.81</v>
      </c>
      <c r="AJ89" s="162">
        <v>2206.06</v>
      </c>
      <c r="AK89" s="162">
        <v>4111.42</v>
      </c>
      <c r="AL89" s="162">
        <v>17204.55</v>
      </c>
      <c r="AM89" s="162">
        <v>37963.65</v>
      </c>
      <c r="AN89" s="162">
        <v>23078.75</v>
      </c>
      <c r="AO89" s="162">
        <v>5152.71</v>
      </c>
      <c r="AP89" s="162">
        <v>11751.95</v>
      </c>
      <c r="AQ89" s="162">
        <v>37818.449999999997</v>
      </c>
      <c r="AR89" s="162">
        <v>0</v>
      </c>
      <c r="AS89" s="162">
        <v>6678.26</v>
      </c>
      <c r="AT89" s="162">
        <v>4838.37</v>
      </c>
      <c r="AU89" s="162">
        <v>0</v>
      </c>
      <c r="AV89" s="162">
        <v>70786.070000000007</v>
      </c>
      <c r="AW89" s="162">
        <v>3758.96</v>
      </c>
      <c r="AX89" s="162">
        <v>2473</v>
      </c>
      <c r="AY89" s="162">
        <v>15237.11</v>
      </c>
      <c r="AZ89" s="162">
        <v>0</v>
      </c>
      <c r="BA89" s="162">
        <v>0</v>
      </c>
      <c r="BB89" s="162">
        <v>7428.32</v>
      </c>
      <c r="BC89" s="162">
        <f t="shared" si="16"/>
        <v>1486791.2999999998</v>
      </c>
      <c r="BD89" s="162">
        <f t="shared" si="17"/>
        <v>-25448.610000000102</v>
      </c>
      <c r="BE89" s="162">
        <v>367311.56</v>
      </c>
      <c r="BF89" s="162">
        <f t="shared" si="18"/>
        <v>341862.9499999999</v>
      </c>
      <c r="BG89" s="162">
        <v>311715.46000000002</v>
      </c>
      <c r="BH89" s="162">
        <v>59453.86</v>
      </c>
      <c r="BI89" s="162">
        <f t="shared" si="19"/>
        <v>371169.32</v>
      </c>
      <c r="BJ89" s="162">
        <v>264363.62</v>
      </c>
      <c r="BK89" s="162">
        <v>42002.03</v>
      </c>
      <c r="BL89" s="162">
        <f t="shared" si="20"/>
        <v>306365.65000000002</v>
      </c>
      <c r="BM89" s="162">
        <f t="shared" si="21"/>
        <v>64803.669999999984</v>
      </c>
      <c r="BN89" s="162">
        <v>104615.83</v>
      </c>
      <c r="BO89" s="162">
        <f t="shared" si="22"/>
        <v>169419.5</v>
      </c>
      <c r="BP89" s="162">
        <v>289549.34999999998</v>
      </c>
      <c r="BQ89" s="162">
        <v>43402.520000000077</v>
      </c>
      <c r="BR89" s="162">
        <v>178330.58000000002</v>
      </c>
      <c r="BS89" s="162">
        <f t="shared" si="23"/>
        <v>511282.45000000007</v>
      </c>
      <c r="BT89" s="162">
        <v>6677.5</v>
      </c>
      <c r="BU89" s="162">
        <v>0</v>
      </c>
      <c r="BV89" s="162">
        <v>7428.32</v>
      </c>
      <c r="BW89" s="162">
        <f t="shared" si="24"/>
        <v>14105.82</v>
      </c>
      <c r="BX89" s="162">
        <v>0</v>
      </c>
      <c r="BY89" s="162">
        <v>0</v>
      </c>
      <c r="BZ89" s="162">
        <v>0</v>
      </c>
      <c r="CA89" s="162">
        <v>27192.93</v>
      </c>
      <c r="CB89" s="162">
        <f t="shared" si="25"/>
        <v>27192.93</v>
      </c>
      <c r="CC89" s="162">
        <f t="shared" si="26"/>
        <v>-13087.11</v>
      </c>
      <c r="CD89" s="162">
        <v>13087.11</v>
      </c>
      <c r="CE89" s="162">
        <f t="shared" si="27"/>
        <v>0</v>
      </c>
    </row>
    <row r="90" spans="1:83" ht="13.8">
      <c r="A90" s="310">
        <v>2333</v>
      </c>
      <c r="B90" s="303" t="s">
        <v>438</v>
      </c>
      <c r="C90" s="25" t="s">
        <v>264</v>
      </c>
      <c r="D90" s="162">
        <v>2090113.27</v>
      </c>
      <c r="E90" s="162">
        <v>0</v>
      </c>
      <c r="F90" s="162">
        <v>127629</v>
      </c>
      <c r="G90" s="162">
        <v>0</v>
      </c>
      <c r="H90" s="162">
        <v>110220</v>
      </c>
      <c r="I90" s="162">
        <v>4702.5</v>
      </c>
      <c r="J90" s="162">
        <v>12133.07</v>
      </c>
      <c r="K90" s="162">
        <v>67240.27</v>
      </c>
      <c r="L90" s="162">
        <v>102327.92</v>
      </c>
      <c r="M90" s="162">
        <v>0</v>
      </c>
      <c r="N90" s="162">
        <v>0</v>
      </c>
      <c r="O90" s="162">
        <v>2243.56</v>
      </c>
      <c r="P90" s="162">
        <v>20273.02</v>
      </c>
      <c r="Q90" s="162">
        <v>3146.8</v>
      </c>
      <c r="R90" s="162">
        <v>0</v>
      </c>
      <c r="S90" s="162">
        <v>0</v>
      </c>
      <c r="T90" s="162">
        <v>0</v>
      </c>
      <c r="U90" s="162">
        <v>4699.38</v>
      </c>
      <c r="V90" s="162">
        <v>82772</v>
      </c>
      <c r="W90" s="162">
        <f t="shared" si="15"/>
        <v>2627500.7899999996</v>
      </c>
      <c r="X90" s="162">
        <v>1240889.08</v>
      </c>
      <c r="Y90" s="162">
        <v>29023.64</v>
      </c>
      <c r="Z90" s="162">
        <v>519111.71</v>
      </c>
      <c r="AA90" s="162">
        <v>80528.44</v>
      </c>
      <c r="AB90" s="162">
        <v>140373.76000000001</v>
      </c>
      <c r="AC90" s="162">
        <v>0</v>
      </c>
      <c r="AD90" s="162">
        <v>43865.32</v>
      </c>
      <c r="AE90" s="162">
        <v>937.2</v>
      </c>
      <c r="AF90" s="162">
        <v>-407.05</v>
      </c>
      <c r="AG90" s="162">
        <v>10500</v>
      </c>
      <c r="AH90" s="162">
        <v>2673.75</v>
      </c>
      <c r="AI90" s="162">
        <v>20686.68</v>
      </c>
      <c r="AJ90" s="162">
        <v>6925</v>
      </c>
      <c r="AK90" s="162">
        <v>4369.6099999999997</v>
      </c>
      <c r="AL90" s="162">
        <v>3317.37</v>
      </c>
      <c r="AM90" s="162">
        <v>69607.350000000006</v>
      </c>
      <c r="AN90" s="162">
        <v>8517.6</v>
      </c>
      <c r="AO90" s="162">
        <v>8568.02</v>
      </c>
      <c r="AP90" s="162">
        <v>66923.009999999995</v>
      </c>
      <c r="AQ90" s="162">
        <v>42388.86</v>
      </c>
      <c r="AR90" s="162">
        <v>0</v>
      </c>
      <c r="AS90" s="162">
        <v>10316.44</v>
      </c>
      <c r="AT90" s="162">
        <v>8345.2999999999993</v>
      </c>
      <c r="AU90" s="162">
        <v>0</v>
      </c>
      <c r="AV90" s="162">
        <v>112610.44</v>
      </c>
      <c r="AW90" s="162">
        <v>2085.7800000000002</v>
      </c>
      <c r="AX90" s="162">
        <v>77118.61</v>
      </c>
      <c r="AY90" s="162">
        <v>20523.18</v>
      </c>
      <c r="AZ90" s="162">
        <v>0</v>
      </c>
      <c r="BA90" s="162">
        <v>1896.07</v>
      </c>
      <c r="BB90" s="162">
        <v>4106.29</v>
      </c>
      <c r="BC90" s="162">
        <f t="shared" si="16"/>
        <v>2535801.459999999</v>
      </c>
      <c r="BD90" s="162">
        <f t="shared" si="17"/>
        <v>91699.33000000054</v>
      </c>
      <c r="BE90" s="162">
        <v>84806.03</v>
      </c>
      <c r="BF90" s="162">
        <f t="shared" si="18"/>
        <v>176505.36000000054</v>
      </c>
      <c r="BG90" s="162">
        <v>0</v>
      </c>
      <c r="BH90" s="162">
        <v>0</v>
      </c>
      <c r="BI90" s="162">
        <f t="shared" si="19"/>
        <v>0</v>
      </c>
      <c r="BJ90" s="162">
        <v>0</v>
      </c>
      <c r="BK90" s="162">
        <v>0</v>
      </c>
      <c r="BL90" s="162">
        <f t="shared" si="20"/>
        <v>0</v>
      </c>
      <c r="BM90" s="162">
        <f t="shared" si="21"/>
        <v>0</v>
      </c>
      <c r="BN90" s="162">
        <v>0</v>
      </c>
      <c r="BO90" s="162">
        <f t="shared" si="22"/>
        <v>0</v>
      </c>
      <c r="BP90" s="162">
        <v>37910.070000000007</v>
      </c>
      <c r="BQ90" s="162">
        <v>138595.29000000007</v>
      </c>
      <c r="BR90" s="162">
        <v>0</v>
      </c>
      <c r="BS90" s="162">
        <f t="shared" si="23"/>
        <v>176505.36000000007</v>
      </c>
      <c r="BT90" s="162">
        <v>8728.3799999999992</v>
      </c>
      <c r="BU90" s="162">
        <v>0</v>
      </c>
      <c r="BV90" s="162">
        <v>0</v>
      </c>
      <c r="BW90" s="162">
        <f t="shared" si="24"/>
        <v>8728.3799999999992</v>
      </c>
      <c r="BX90" s="162">
        <v>0</v>
      </c>
      <c r="BY90" s="162">
        <v>2254.15</v>
      </c>
      <c r="BZ90" s="162">
        <v>0</v>
      </c>
      <c r="CA90" s="162">
        <v>1245.95</v>
      </c>
      <c r="CB90" s="162">
        <f t="shared" si="25"/>
        <v>3500.1000000000004</v>
      </c>
      <c r="CC90" s="162">
        <f t="shared" si="26"/>
        <v>5228.2799999999988</v>
      </c>
      <c r="CD90" s="162">
        <v>27734</v>
      </c>
      <c r="CE90" s="162">
        <f t="shared" si="27"/>
        <v>32962.28</v>
      </c>
    </row>
    <row r="91" spans="1:83" ht="13.8">
      <c r="A91" s="310">
        <v>3946</v>
      </c>
      <c r="B91" s="303" t="s">
        <v>440</v>
      </c>
      <c r="C91" s="25" t="s">
        <v>264</v>
      </c>
      <c r="D91" s="162">
        <v>2195774.36</v>
      </c>
      <c r="E91" s="162">
        <v>0</v>
      </c>
      <c r="F91" s="162">
        <v>162203.6</v>
      </c>
      <c r="G91" s="162">
        <v>0</v>
      </c>
      <c r="H91" s="162">
        <v>129770</v>
      </c>
      <c r="I91" s="162">
        <v>10278.86</v>
      </c>
      <c r="J91" s="162">
        <v>26538.19</v>
      </c>
      <c r="K91" s="162">
        <v>33958.21</v>
      </c>
      <c r="L91" s="162">
        <v>192983.93</v>
      </c>
      <c r="M91" s="162">
        <v>0</v>
      </c>
      <c r="N91" s="162">
        <v>2250</v>
      </c>
      <c r="O91" s="162">
        <v>2449.7199999999998</v>
      </c>
      <c r="P91" s="162">
        <v>11763.77</v>
      </c>
      <c r="Q91" s="162">
        <v>14161.21</v>
      </c>
      <c r="R91" s="162">
        <v>0</v>
      </c>
      <c r="S91" s="162">
        <v>0</v>
      </c>
      <c r="T91" s="162">
        <v>0</v>
      </c>
      <c r="U91" s="162">
        <v>4150.88</v>
      </c>
      <c r="V91" s="162">
        <v>74511</v>
      </c>
      <c r="W91" s="162">
        <f t="shared" si="15"/>
        <v>2860793.73</v>
      </c>
      <c r="X91" s="162">
        <v>1155307.02</v>
      </c>
      <c r="Y91" s="162">
        <v>24308.12</v>
      </c>
      <c r="Z91" s="162">
        <v>738826.39</v>
      </c>
      <c r="AA91" s="162">
        <v>77710.240000000005</v>
      </c>
      <c r="AB91" s="162">
        <v>135695.56</v>
      </c>
      <c r="AC91" s="162">
        <v>0</v>
      </c>
      <c r="AD91" s="162">
        <v>23746.99</v>
      </c>
      <c r="AE91" s="162">
        <v>8676.6</v>
      </c>
      <c r="AF91" s="162">
        <v>4605.43</v>
      </c>
      <c r="AG91" s="162">
        <v>10800</v>
      </c>
      <c r="AH91" s="162">
        <v>2742.5</v>
      </c>
      <c r="AI91" s="162">
        <v>31708.959999999999</v>
      </c>
      <c r="AJ91" s="162">
        <v>5717.41</v>
      </c>
      <c r="AK91" s="162">
        <v>6264.91</v>
      </c>
      <c r="AL91" s="162">
        <v>7340.7</v>
      </c>
      <c r="AM91" s="162">
        <v>88964.4</v>
      </c>
      <c r="AN91" s="162">
        <v>15847.03</v>
      </c>
      <c r="AO91" s="162">
        <v>6598.11</v>
      </c>
      <c r="AP91" s="162">
        <v>54815.11</v>
      </c>
      <c r="AQ91" s="162">
        <v>50190.910000000011</v>
      </c>
      <c r="AR91" s="162">
        <v>0</v>
      </c>
      <c r="AS91" s="162">
        <v>11600.51</v>
      </c>
      <c r="AT91" s="162">
        <v>8684.74</v>
      </c>
      <c r="AU91" s="162">
        <v>0</v>
      </c>
      <c r="AV91" s="162">
        <v>112466.88</v>
      </c>
      <c r="AW91" s="162">
        <v>72073.460000000006</v>
      </c>
      <c r="AX91" s="162">
        <v>103882.46</v>
      </c>
      <c r="AY91" s="162">
        <v>24441.39</v>
      </c>
      <c r="AZ91" s="162">
        <v>0</v>
      </c>
      <c r="BA91" s="162">
        <v>2636.92</v>
      </c>
      <c r="BB91" s="162">
        <v>5833.53</v>
      </c>
      <c r="BC91" s="162">
        <f t="shared" si="16"/>
        <v>2791486.2800000003</v>
      </c>
      <c r="BD91" s="162">
        <f t="shared" si="17"/>
        <v>69307.449999999721</v>
      </c>
      <c r="BE91" s="162">
        <v>-537694.64</v>
      </c>
      <c r="BF91" s="162">
        <f t="shared" si="18"/>
        <v>-468387.19000000029</v>
      </c>
      <c r="BG91" s="162">
        <v>0</v>
      </c>
      <c r="BH91" s="162">
        <v>0</v>
      </c>
      <c r="BI91" s="162">
        <f t="shared" si="19"/>
        <v>0</v>
      </c>
      <c r="BJ91" s="162">
        <v>0</v>
      </c>
      <c r="BK91" s="162">
        <v>0</v>
      </c>
      <c r="BL91" s="162">
        <f t="shared" si="20"/>
        <v>0</v>
      </c>
      <c r="BM91" s="162">
        <f t="shared" si="21"/>
        <v>0</v>
      </c>
      <c r="BN91" s="162">
        <v>0</v>
      </c>
      <c r="BO91" s="162">
        <f t="shared" si="22"/>
        <v>0</v>
      </c>
      <c r="BP91" s="162">
        <v>42894.080000000002</v>
      </c>
      <c r="BQ91" s="162">
        <v>-511281.26999999984</v>
      </c>
      <c r="BR91" s="162">
        <v>0</v>
      </c>
      <c r="BS91" s="162">
        <f t="shared" si="23"/>
        <v>-468387.18999999983</v>
      </c>
      <c r="BT91" s="162">
        <v>9077.35</v>
      </c>
      <c r="BU91" s="162">
        <v>0</v>
      </c>
      <c r="BV91" s="162">
        <v>0</v>
      </c>
      <c r="BW91" s="162">
        <f t="shared" si="24"/>
        <v>9077.35</v>
      </c>
      <c r="BX91" s="162">
        <v>0</v>
      </c>
      <c r="BY91" s="162">
        <v>16759.72</v>
      </c>
      <c r="BZ91" s="162">
        <v>0</v>
      </c>
      <c r="CA91" s="162">
        <v>0</v>
      </c>
      <c r="CB91" s="162">
        <f t="shared" si="25"/>
        <v>16759.72</v>
      </c>
      <c r="CC91" s="162">
        <f t="shared" si="26"/>
        <v>-7682.3700000000008</v>
      </c>
      <c r="CD91" s="162">
        <v>54828</v>
      </c>
      <c r="CE91" s="162">
        <f t="shared" si="27"/>
        <v>47145.63</v>
      </c>
    </row>
    <row r="92" spans="1:83" ht="13.8">
      <c r="A92" s="310">
        <v>2453</v>
      </c>
      <c r="B92" s="303" t="s">
        <v>442</v>
      </c>
      <c r="C92" s="25" t="s">
        <v>264</v>
      </c>
      <c r="D92" s="162">
        <v>1119901.93</v>
      </c>
      <c r="E92" s="162">
        <v>0</v>
      </c>
      <c r="F92" s="162">
        <v>119851.93</v>
      </c>
      <c r="G92" s="162">
        <v>0</v>
      </c>
      <c r="H92" s="162">
        <v>87630</v>
      </c>
      <c r="I92" s="162">
        <v>2157.29</v>
      </c>
      <c r="J92" s="162">
        <v>0</v>
      </c>
      <c r="K92" s="162">
        <v>20790</v>
      </c>
      <c r="L92" s="162">
        <v>19867.02</v>
      </c>
      <c r="M92" s="162">
        <v>0</v>
      </c>
      <c r="N92" s="162">
        <v>0</v>
      </c>
      <c r="O92" s="162">
        <v>260.26</v>
      </c>
      <c r="P92" s="162">
        <v>16896.2</v>
      </c>
      <c r="Q92" s="162">
        <v>1060.26</v>
      </c>
      <c r="R92" s="162">
        <v>0</v>
      </c>
      <c r="S92" s="162">
        <v>0</v>
      </c>
      <c r="T92" s="162">
        <v>0</v>
      </c>
      <c r="U92" s="162">
        <v>3697.5</v>
      </c>
      <c r="V92" s="162">
        <v>48502</v>
      </c>
      <c r="W92" s="162">
        <f t="shared" si="15"/>
        <v>1440614.39</v>
      </c>
      <c r="X92" s="162">
        <v>655956.98</v>
      </c>
      <c r="Y92" s="162">
        <v>0</v>
      </c>
      <c r="Z92" s="162">
        <v>390089.34</v>
      </c>
      <c r="AA92" s="162">
        <v>4135.9799999999996</v>
      </c>
      <c r="AB92" s="162">
        <v>52279.02</v>
      </c>
      <c r="AC92" s="162">
        <v>0</v>
      </c>
      <c r="AD92" s="162">
        <v>34280.82</v>
      </c>
      <c r="AE92" s="162">
        <v>433.88</v>
      </c>
      <c r="AF92" s="162">
        <v>7219.72</v>
      </c>
      <c r="AG92" s="162">
        <v>5100</v>
      </c>
      <c r="AH92" s="162">
        <v>2250</v>
      </c>
      <c r="AI92" s="162">
        <v>11829.39</v>
      </c>
      <c r="AJ92" s="162">
        <v>792</v>
      </c>
      <c r="AK92" s="162">
        <v>25413.37</v>
      </c>
      <c r="AL92" s="162">
        <v>3417.75</v>
      </c>
      <c r="AM92" s="162">
        <v>24889.59</v>
      </c>
      <c r="AN92" s="162">
        <v>7098</v>
      </c>
      <c r="AO92" s="162">
        <v>6680.89</v>
      </c>
      <c r="AP92" s="162">
        <v>36065.14</v>
      </c>
      <c r="AQ92" s="162">
        <v>37131.879999999997</v>
      </c>
      <c r="AR92" s="162">
        <v>0</v>
      </c>
      <c r="AS92" s="162">
        <v>12005.98</v>
      </c>
      <c r="AT92" s="162">
        <v>4389.6499999999996</v>
      </c>
      <c r="AU92" s="162">
        <v>450.9</v>
      </c>
      <c r="AV92" s="162">
        <v>49541.97</v>
      </c>
      <c r="AW92" s="162">
        <v>0</v>
      </c>
      <c r="AX92" s="162">
        <v>42381.63</v>
      </c>
      <c r="AY92" s="162">
        <v>44032.74</v>
      </c>
      <c r="AZ92" s="162">
        <v>0</v>
      </c>
      <c r="BA92" s="162">
        <v>0</v>
      </c>
      <c r="BB92" s="162">
        <v>0</v>
      </c>
      <c r="BC92" s="162">
        <f t="shared" si="16"/>
        <v>1457866.6199999994</v>
      </c>
      <c r="BD92" s="162">
        <f t="shared" si="17"/>
        <v>-17252.229999999516</v>
      </c>
      <c r="BE92" s="162">
        <v>207326.59</v>
      </c>
      <c r="BF92" s="162">
        <f t="shared" si="18"/>
        <v>190074.36000000048</v>
      </c>
      <c r="BG92" s="162">
        <v>0</v>
      </c>
      <c r="BH92" s="162">
        <v>96467.7</v>
      </c>
      <c r="BI92" s="162">
        <f t="shared" si="19"/>
        <v>96467.7</v>
      </c>
      <c r="BJ92" s="162">
        <v>88555.54</v>
      </c>
      <c r="BK92" s="162">
        <v>80.680000000000007</v>
      </c>
      <c r="BL92" s="162">
        <f t="shared" si="20"/>
        <v>88636.219999999987</v>
      </c>
      <c r="BM92" s="162">
        <f t="shared" si="21"/>
        <v>7831.4800000000105</v>
      </c>
      <c r="BN92" s="162">
        <v>0</v>
      </c>
      <c r="BO92" s="162">
        <f t="shared" si="22"/>
        <v>7831.4800000000105</v>
      </c>
      <c r="BP92" s="162">
        <v>31954.07</v>
      </c>
      <c r="BQ92" s="162">
        <v>146130.14000000048</v>
      </c>
      <c r="BR92" s="162">
        <v>19821.629999999997</v>
      </c>
      <c r="BS92" s="162">
        <f t="shared" si="23"/>
        <v>197905.84000000049</v>
      </c>
      <c r="BT92" s="162">
        <v>204215.8</v>
      </c>
      <c r="BU92" s="162">
        <v>126735.64</v>
      </c>
      <c r="BV92" s="162">
        <v>0</v>
      </c>
      <c r="BW92" s="162">
        <f t="shared" si="24"/>
        <v>330951.44</v>
      </c>
      <c r="BX92" s="162">
        <v>0</v>
      </c>
      <c r="BY92" s="162">
        <v>337599.94</v>
      </c>
      <c r="BZ92" s="162">
        <v>0</v>
      </c>
      <c r="CA92" s="162">
        <v>0</v>
      </c>
      <c r="CB92" s="162">
        <f t="shared" si="25"/>
        <v>337599.94</v>
      </c>
      <c r="CC92" s="162">
        <f t="shared" si="26"/>
        <v>-6648.5</v>
      </c>
      <c r="CD92" s="162">
        <v>16147.32</v>
      </c>
      <c r="CE92" s="162">
        <f t="shared" si="27"/>
        <v>9498.82</v>
      </c>
    </row>
    <row r="93" spans="1:83" ht="13.8">
      <c r="A93" s="310">
        <v>2070</v>
      </c>
      <c r="B93" s="303" t="s">
        <v>444</v>
      </c>
      <c r="C93" s="25" t="s">
        <v>264</v>
      </c>
      <c r="D93" s="162">
        <v>1418649.25</v>
      </c>
      <c r="E93" s="162">
        <v>0</v>
      </c>
      <c r="F93" s="162">
        <v>46474.69</v>
      </c>
      <c r="G93" s="162">
        <v>0</v>
      </c>
      <c r="H93" s="162">
        <v>92932</v>
      </c>
      <c r="I93" s="162">
        <v>7858</v>
      </c>
      <c r="J93" s="162">
        <v>0</v>
      </c>
      <c r="K93" s="162">
        <v>14113.25</v>
      </c>
      <c r="L93" s="162">
        <v>57287.64</v>
      </c>
      <c r="M93" s="162">
        <v>26163.54</v>
      </c>
      <c r="N93" s="162">
        <v>1518</v>
      </c>
      <c r="O93" s="162">
        <v>2723.24</v>
      </c>
      <c r="P93" s="162">
        <v>36904.94</v>
      </c>
      <c r="Q93" s="162">
        <v>11556.81</v>
      </c>
      <c r="R93" s="162">
        <v>0</v>
      </c>
      <c r="S93" s="162">
        <v>0</v>
      </c>
      <c r="T93" s="162">
        <v>0</v>
      </c>
      <c r="U93" s="162">
        <v>3388.13</v>
      </c>
      <c r="V93" s="162">
        <v>65978</v>
      </c>
      <c r="W93" s="162">
        <f t="shared" si="15"/>
        <v>1785547.4899999998</v>
      </c>
      <c r="X93" s="162">
        <v>919661</v>
      </c>
      <c r="Y93" s="162">
        <v>6358.91</v>
      </c>
      <c r="Z93" s="162">
        <v>354001.91999999998</v>
      </c>
      <c r="AA93" s="162">
        <v>65606.37</v>
      </c>
      <c r="AB93" s="162">
        <v>65528.82</v>
      </c>
      <c r="AC93" s="162">
        <v>49255.34</v>
      </c>
      <c r="AD93" s="162">
        <v>37984.870000000003</v>
      </c>
      <c r="AE93" s="162">
        <v>6586.23</v>
      </c>
      <c r="AF93" s="162">
        <v>7370.43</v>
      </c>
      <c r="AG93" s="162">
        <v>7075</v>
      </c>
      <c r="AH93" s="162">
        <v>2190</v>
      </c>
      <c r="AI93" s="162">
        <v>5485.32</v>
      </c>
      <c r="AJ93" s="162">
        <v>5060</v>
      </c>
      <c r="AK93" s="162">
        <v>4011.55</v>
      </c>
      <c r="AL93" s="162">
        <v>4368</v>
      </c>
      <c r="AM93" s="162">
        <v>22589.98</v>
      </c>
      <c r="AN93" s="162">
        <v>35763</v>
      </c>
      <c r="AO93" s="162">
        <v>12330.52</v>
      </c>
      <c r="AP93" s="162">
        <v>61124.24</v>
      </c>
      <c r="AQ93" s="162">
        <v>29217.55</v>
      </c>
      <c r="AR93" s="162">
        <v>0</v>
      </c>
      <c r="AS93" s="162">
        <v>9324.23</v>
      </c>
      <c r="AT93" s="162">
        <v>5505.55</v>
      </c>
      <c r="AU93" s="162">
        <v>573.85</v>
      </c>
      <c r="AV93" s="162">
        <v>33157.06</v>
      </c>
      <c r="AW93" s="162">
        <v>24964.31</v>
      </c>
      <c r="AX93" s="162">
        <v>18650.63</v>
      </c>
      <c r="AY93" s="162">
        <v>21986.9</v>
      </c>
      <c r="AZ93" s="162">
        <v>0</v>
      </c>
      <c r="BA93" s="162">
        <v>390.6</v>
      </c>
      <c r="BB93" s="162">
        <v>1256.52</v>
      </c>
      <c r="BC93" s="162">
        <f t="shared" si="16"/>
        <v>1817378.7000000007</v>
      </c>
      <c r="BD93" s="162">
        <f t="shared" si="17"/>
        <v>-31831.210000000894</v>
      </c>
      <c r="BE93" s="162">
        <v>187308.7</v>
      </c>
      <c r="BF93" s="162">
        <f t="shared" si="18"/>
        <v>155477.48999999912</v>
      </c>
      <c r="BG93" s="162">
        <v>0</v>
      </c>
      <c r="BH93" s="162">
        <v>0</v>
      </c>
      <c r="BI93" s="162">
        <f t="shared" si="19"/>
        <v>0</v>
      </c>
      <c r="BJ93" s="162">
        <v>0</v>
      </c>
      <c r="BK93" s="162">
        <v>0</v>
      </c>
      <c r="BL93" s="162">
        <f t="shared" si="20"/>
        <v>0</v>
      </c>
      <c r="BM93" s="162">
        <f t="shared" si="21"/>
        <v>0</v>
      </c>
      <c r="BN93" s="162">
        <v>0</v>
      </c>
      <c r="BO93" s="162">
        <f t="shared" si="22"/>
        <v>0</v>
      </c>
      <c r="BP93" s="162">
        <v>69002.66</v>
      </c>
      <c r="BQ93" s="162">
        <v>86474.829999999347</v>
      </c>
      <c r="BR93" s="162">
        <v>0</v>
      </c>
      <c r="BS93" s="162">
        <f t="shared" si="23"/>
        <v>155477.48999999935</v>
      </c>
      <c r="BT93" s="162">
        <v>7217.5</v>
      </c>
      <c r="BU93" s="162">
        <v>0</v>
      </c>
      <c r="BV93" s="162">
        <v>0</v>
      </c>
      <c r="BW93" s="162">
        <f t="shared" si="24"/>
        <v>7217.5</v>
      </c>
      <c r="BX93" s="162">
        <v>0</v>
      </c>
      <c r="BY93" s="162">
        <v>0.55000000000000004</v>
      </c>
      <c r="BZ93" s="162">
        <v>6892.02</v>
      </c>
      <c r="CA93" s="162">
        <v>0</v>
      </c>
      <c r="CB93" s="162">
        <f t="shared" si="25"/>
        <v>6892.5700000000006</v>
      </c>
      <c r="CC93" s="162">
        <f t="shared" si="26"/>
        <v>324.92999999999938</v>
      </c>
      <c r="CD93" s="162">
        <v>21210.719999999998</v>
      </c>
      <c r="CE93" s="162">
        <f t="shared" si="27"/>
        <v>21535.649999999998</v>
      </c>
    </row>
    <row r="94" spans="1:83" ht="13.8">
      <c r="A94" s="310">
        <v>7023</v>
      </c>
      <c r="B94" s="303" t="s">
        <v>446</v>
      </c>
      <c r="C94" s="25" t="s">
        <v>306</v>
      </c>
      <c r="D94" s="162">
        <v>1617991.07</v>
      </c>
      <c r="E94" s="162">
        <v>163330.38</v>
      </c>
      <c r="F94" s="162">
        <v>1470916.63</v>
      </c>
      <c r="G94" s="162">
        <v>0</v>
      </c>
      <c r="H94" s="162">
        <v>59690</v>
      </c>
      <c r="I94" s="162">
        <v>856.93</v>
      </c>
      <c r="J94" s="162">
        <v>0</v>
      </c>
      <c r="K94" s="162">
        <v>0</v>
      </c>
      <c r="L94" s="162">
        <v>60963.839999999997</v>
      </c>
      <c r="M94" s="162">
        <v>9452.9599999999991</v>
      </c>
      <c r="N94" s="162">
        <v>4200</v>
      </c>
      <c r="O94" s="162">
        <v>0</v>
      </c>
      <c r="P94" s="162">
        <v>3707.05</v>
      </c>
      <c r="Q94" s="162">
        <v>592.77</v>
      </c>
      <c r="R94" s="162">
        <v>0</v>
      </c>
      <c r="S94" s="162">
        <v>0</v>
      </c>
      <c r="T94" s="162">
        <v>0</v>
      </c>
      <c r="U94" s="162">
        <v>6473.56</v>
      </c>
      <c r="V94" s="162">
        <v>21635</v>
      </c>
      <c r="W94" s="162">
        <f t="shared" si="15"/>
        <v>3419810.19</v>
      </c>
      <c r="X94" s="162">
        <v>1286748.97</v>
      </c>
      <c r="Y94" s="162">
        <v>0</v>
      </c>
      <c r="Z94" s="162">
        <v>1286694.6100000001</v>
      </c>
      <c r="AA94" s="162">
        <v>105536.96000000001</v>
      </c>
      <c r="AB94" s="162">
        <v>141646.26999999999</v>
      </c>
      <c r="AC94" s="162">
        <v>0</v>
      </c>
      <c r="AD94" s="162">
        <v>106894.05</v>
      </c>
      <c r="AE94" s="162">
        <v>8125.95</v>
      </c>
      <c r="AF94" s="162">
        <v>6550.1</v>
      </c>
      <c r="AG94" s="162">
        <v>3650.11</v>
      </c>
      <c r="AH94" s="162">
        <v>0</v>
      </c>
      <c r="AI94" s="162">
        <v>28244.46</v>
      </c>
      <c r="AJ94" s="162">
        <v>34.76</v>
      </c>
      <c r="AK94" s="162">
        <v>9609.6299999999992</v>
      </c>
      <c r="AL94" s="162">
        <v>9248.52</v>
      </c>
      <c r="AM94" s="162">
        <v>84941.33</v>
      </c>
      <c r="AN94" s="162">
        <v>0</v>
      </c>
      <c r="AO94" s="162">
        <v>16444.89</v>
      </c>
      <c r="AP94" s="162">
        <v>44640.160000000003</v>
      </c>
      <c r="AQ94" s="162">
        <v>33108.479999999996</v>
      </c>
      <c r="AR94" s="162">
        <v>1471.92</v>
      </c>
      <c r="AS94" s="162">
        <v>8220.6</v>
      </c>
      <c r="AT94" s="162">
        <v>8865.26</v>
      </c>
      <c r="AU94" s="162">
        <v>207.81</v>
      </c>
      <c r="AV94" s="162">
        <v>50823.94</v>
      </c>
      <c r="AW94" s="162">
        <v>0</v>
      </c>
      <c r="AX94" s="162">
        <v>2596.6999999999998</v>
      </c>
      <c r="AY94" s="162">
        <v>72014.97</v>
      </c>
      <c r="AZ94" s="162">
        <v>0</v>
      </c>
      <c r="BA94" s="162">
        <v>3337.55</v>
      </c>
      <c r="BB94" s="162">
        <v>11378.68</v>
      </c>
      <c r="BC94" s="162">
        <f t="shared" si="16"/>
        <v>3331036.68</v>
      </c>
      <c r="BD94" s="162">
        <f t="shared" si="17"/>
        <v>88773.509999999776</v>
      </c>
      <c r="BE94" s="162">
        <v>195621.41</v>
      </c>
      <c r="BF94" s="162">
        <f t="shared" si="18"/>
        <v>284394.91999999981</v>
      </c>
      <c r="BG94" s="162">
        <v>0</v>
      </c>
      <c r="BH94" s="162">
        <v>0</v>
      </c>
      <c r="BI94" s="162">
        <f t="shared" si="19"/>
        <v>0</v>
      </c>
      <c r="BJ94" s="162">
        <v>0</v>
      </c>
      <c r="BK94" s="162">
        <v>0</v>
      </c>
      <c r="BL94" s="162">
        <f t="shared" si="20"/>
        <v>0</v>
      </c>
      <c r="BM94" s="162">
        <f t="shared" si="21"/>
        <v>0</v>
      </c>
      <c r="BN94" s="162">
        <v>0</v>
      </c>
      <c r="BO94" s="162">
        <f t="shared" si="22"/>
        <v>0</v>
      </c>
      <c r="BP94" s="162">
        <v>89738.63</v>
      </c>
      <c r="BQ94" s="162">
        <v>194656.2899999998</v>
      </c>
      <c r="BR94" s="162">
        <v>0</v>
      </c>
      <c r="BS94" s="162">
        <f t="shared" si="23"/>
        <v>284394.91999999981</v>
      </c>
      <c r="BT94" s="162">
        <v>10024.379999999999</v>
      </c>
      <c r="BU94" s="162">
        <v>0</v>
      </c>
      <c r="BV94" s="162">
        <v>0</v>
      </c>
      <c r="BW94" s="162">
        <f t="shared" si="24"/>
        <v>10024.379999999999</v>
      </c>
      <c r="BX94" s="162">
        <v>0</v>
      </c>
      <c r="BY94" s="162">
        <v>6955.42</v>
      </c>
      <c r="BZ94" s="162">
        <v>0</v>
      </c>
      <c r="CA94" s="162">
        <v>22885.379999999997</v>
      </c>
      <c r="CB94" s="162">
        <f t="shared" si="25"/>
        <v>29840.799999999996</v>
      </c>
      <c r="CC94" s="162">
        <f t="shared" si="26"/>
        <v>-19816.419999999998</v>
      </c>
      <c r="CD94" s="162">
        <v>19816.419999999998</v>
      </c>
      <c r="CE94" s="162">
        <f t="shared" si="27"/>
        <v>0</v>
      </c>
    </row>
    <row r="95" spans="1:83" ht="13.8">
      <c r="A95" s="310">
        <v>2255</v>
      </c>
      <c r="B95" s="303" t="s">
        <v>448</v>
      </c>
      <c r="C95" s="25" t="s">
        <v>264</v>
      </c>
      <c r="D95" s="162">
        <v>1050982.6000000001</v>
      </c>
      <c r="E95" s="162">
        <v>0</v>
      </c>
      <c r="F95" s="162">
        <v>76808.149999999994</v>
      </c>
      <c r="G95" s="162">
        <v>0</v>
      </c>
      <c r="H95" s="162">
        <v>45481</v>
      </c>
      <c r="I95" s="162">
        <v>3993.22</v>
      </c>
      <c r="J95" s="162">
        <v>0</v>
      </c>
      <c r="K95" s="162">
        <v>12100</v>
      </c>
      <c r="L95" s="162">
        <v>9728.23</v>
      </c>
      <c r="M95" s="162">
        <v>92.68</v>
      </c>
      <c r="N95" s="162">
        <v>0</v>
      </c>
      <c r="O95" s="162">
        <v>0</v>
      </c>
      <c r="P95" s="162">
        <v>2987.54</v>
      </c>
      <c r="Q95" s="162">
        <v>0</v>
      </c>
      <c r="R95" s="162">
        <v>0</v>
      </c>
      <c r="S95" s="162">
        <v>0</v>
      </c>
      <c r="T95" s="162">
        <v>0</v>
      </c>
      <c r="U95" s="162">
        <v>1625.63</v>
      </c>
      <c r="V95" s="162">
        <v>80181</v>
      </c>
      <c r="W95" s="162">
        <f t="shared" si="15"/>
        <v>1283980.0499999998</v>
      </c>
      <c r="X95" s="162">
        <v>549860.69999999995</v>
      </c>
      <c r="Y95" s="162">
        <v>327.84</v>
      </c>
      <c r="Z95" s="162">
        <v>365057.25</v>
      </c>
      <c r="AA95" s="162">
        <v>34816.629999999997</v>
      </c>
      <c r="AB95" s="162">
        <v>51858</v>
      </c>
      <c r="AC95" s="162">
        <v>0</v>
      </c>
      <c r="AD95" s="162">
        <v>16047.83</v>
      </c>
      <c r="AE95" s="162">
        <v>4324.2</v>
      </c>
      <c r="AF95" s="162">
        <v>7965.2</v>
      </c>
      <c r="AG95" s="162">
        <v>2074</v>
      </c>
      <c r="AH95" s="162">
        <v>0</v>
      </c>
      <c r="AI95" s="162">
        <v>15987.82</v>
      </c>
      <c r="AJ95" s="162">
        <v>1353</v>
      </c>
      <c r="AK95" s="162">
        <v>3565.06</v>
      </c>
      <c r="AL95" s="162">
        <v>2551.12</v>
      </c>
      <c r="AM95" s="162">
        <v>23711.73</v>
      </c>
      <c r="AN95" s="162">
        <v>16342.25</v>
      </c>
      <c r="AO95" s="162">
        <v>2205.92</v>
      </c>
      <c r="AP95" s="162">
        <v>51551.91</v>
      </c>
      <c r="AQ95" s="162">
        <v>24711.739999999998</v>
      </c>
      <c r="AR95" s="162">
        <v>0</v>
      </c>
      <c r="AS95" s="162">
        <v>4774.45</v>
      </c>
      <c r="AT95" s="162">
        <v>4134.4799999999996</v>
      </c>
      <c r="AU95" s="162">
        <v>0</v>
      </c>
      <c r="AV95" s="162">
        <v>72524.53</v>
      </c>
      <c r="AW95" s="162">
        <v>1330</v>
      </c>
      <c r="AX95" s="162">
        <v>9098.17</v>
      </c>
      <c r="AY95" s="162">
        <v>16962.3</v>
      </c>
      <c r="AZ95" s="162">
        <v>0</v>
      </c>
      <c r="BA95" s="162">
        <v>0</v>
      </c>
      <c r="BB95" s="162">
        <v>0</v>
      </c>
      <c r="BC95" s="162">
        <f t="shared" si="16"/>
        <v>1283136.1299999997</v>
      </c>
      <c r="BD95" s="162">
        <f t="shared" si="17"/>
        <v>843.92000000015832</v>
      </c>
      <c r="BE95" s="162">
        <v>200379.82</v>
      </c>
      <c r="BF95" s="162">
        <f t="shared" si="18"/>
        <v>201223.74000000017</v>
      </c>
      <c r="BG95" s="162">
        <v>0</v>
      </c>
      <c r="BH95" s="162">
        <v>0</v>
      </c>
      <c r="BI95" s="162">
        <f t="shared" si="19"/>
        <v>0</v>
      </c>
      <c r="BJ95" s="162">
        <v>0</v>
      </c>
      <c r="BK95" s="162">
        <v>0</v>
      </c>
      <c r="BL95" s="162">
        <f t="shared" si="20"/>
        <v>0</v>
      </c>
      <c r="BM95" s="162">
        <f t="shared" si="21"/>
        <v>0</v>
      </c>
      <c r="BN95" s="162">
        <v>0</v>
      </c>
      <c r="BO95" s="162">
        <f t="shared" si="22"/>
        <v>0</v>
      </c>
      <c r="BP95" s="162">
        <v>10295</v>
      </c>
      <c r="BQ95" s="162">
        <v>190928.73999999993</v>
      </c>
      <c r="BR95" s="162">
        <v>0</v>
      </c>
      <c r="BS95" s="162">
        <f t="shared" si="23"/>
        <v>201223.73999999993</v>
      </c>
      <c r="BT95" s="162">
        <v>6070</v>
      </c>
      <c r="BU95" s="162">
        <v>0</v>
      </c>
      <c r="BV95" s="162">
        <v>0</v>
      </c>
      <c r="BW95" s="162">
        <f t="shared" si="24"/>
        <v>6070</v>
      </c>
      <c r="BX95" s="162">
        <v>0</v>
      </c>
      <c r="BY95" s="162">
        <v>0</v>
      </c>
      <c r="BZ95" s="162">
        <v>0</v>
      </c>
      <c r="CA95" s="162">
        <v>14956.34</v>
      </c>
      <c r="CB95" s="162">
        <f t="shared" si="25"/>
        <v>14956.34</v>
      </c>
      <c r="CC95" s="162">
        <f t="shared" si="26"/>
        <v>-8886.34</v>
      </c>
      <c r="CD95" s="162">
        <v>19346.260000000002</v>
      </c>
      <c r="CE95" s="162">
        <f t="shared" si="27"/>
        <v>10459.920000000002</v>
      </c>
    </row>
    <row r="96" spans="1:83" ht="13.8">
      <c r="A96" s="310">
        <v>2115</v>
      </c>
      <c r="B96" s="303" t="s">
        <v>450</v>
      </c>
      <c r="C96" s="25" t="s">
        <v>264</v>
      </c>
      <c r="D96" s="162">
        <v>2120457.2200000002</v>
      </c>
      <c r="E96" s="162">
        <v>0</v>
      </c>
      <c r="F96" s="162">
        <v>213253.06</v>
      </c>
      <c r="G96" s="162">
        <v>0</v>
      </c>
      <c r="H96" s="162">
        <v>213040</v>
      </c>
      <c r="I96" s="162">
        <v>11599.5</v>
      </c>
      <c r="J96" s="162">
        <v>190172.18</v>
      </c>
      <c r="K96" s="162">
        <v>46502.9</v>
      </c>
      <c r="L96" s="162">
        <v>4440.24</v>
      </c>
      <c r="M96" s="162">
        <v>24867.65</v>
      </c>
      <c r="N96" s="162">
        <v>0</v>
      </c>
      <c r="O96" s="162">
        <v>0</v>
      </c>
      <c r="P96" s="162">
        <v>26716.05</v>
      </c>
      <c r="Q96" s="162">
        <v>242.71</v>
      </c>
      <c r="R96" s="162">
        <v>0</v>
      </c>
      <c r="S96" s="162">
        <v>0</v>
      </c>
      <c r="T96" s="162">
        <v>0</v>
      </c>
      <c r="U96" s="162">
        <v>-637.5</v>
      </c>
      <c r="V96" s="162">
        <v>60004</v>
      </c>
      <c r="W96" s="162">
        <f t="shared" si="15"/>
        <v>2910658.0100000002</v>
      </c>
      <c r="X96" s="162">
        <v>1129548.92</v>
      </c>
      <c r="Y96" s="162">
        <v>38626.449999999997</v>
      </c>
      <c r="Z96" s="162">
        <v>714536.49</v>
      </c>
      <c r="AA96" s="162">
        <v>76145.33</v>
      </c>
      <c r="AB96" s="162">
        <v>475247.08</v>
      </c>
      <c r="AC96" s="162">
        <v>0</v>
      </c>
      <c r="AD96" s="162">
        <v>20497.7</v>
      </c>
      <c r="AE96" s="162">
        <v>11556.45</v>
      </c>
      <c r="AF96" s="162">
        <v>6570.19</v>
      </c>
      <c r="AG96" s="162">
        <v>0</v>
      </c>
      <c r="AH96" s="162">
        <v>0</v>
      </c>
      <c r="AI96" s="162">
        <v>22552.22</v>
      </c>
      <c r="AJ96" s="162">
        <v>3312.5</v>
      </c>
      <c r="AK96" s="162">
        <v>7717.18</v>
      </c>
      <c r="AL96" s="162">
        <v>8360.98</v>
      </c>
      <c r="AM96" s="162">
        <v>71190.11</v>
      </c>
      <c r="AN96" s="162">
        <v>66066</v>
      </c>
      <c r="AO96" s="162">
        <v>72397.19</v>
      </c>
      <c r="AP96" s="162">
        <v>65974.5</v>
      </c>
      <c r="AQ96" s="162">
        <v>36297.54</v>
      </c>
      <c r="AR96" s="162">
        <v>0</v>
      </c>
      <c r="AS96" s="162">
        <v>29669.64</v>
      </c>
      <c r="AT96" s="162">
        <v>7024.57</v>
      </c>
      <c r="AU96" s="162">
        <v>0</v>
      </c>
      <c r="AV96" s="162">
        <v>108059.08</v>
      </c>
      <c r="AW96" s="162">
        <v>0</v>
      </c>
      <c r="AX96" s="162">
        <v>22700.11</v>
      </c>
      <c r="AY96" s="162">
        <v>17186.82</v>
      </c>
      <c r="AZ96" s="162">
        <v>0</v>
      </c>
      <c r="BA96" s="162">
        <v>0</v>
      </c>
      <c r="BB96" s="162">
        <v>18694.86</v>
      </c>
      <c r="BC96" s="162">
        <f t="shared" si="16"/>
        <v>3029931.91</v>
      </c>
      <c r="BD96" s="162">
        <f t="shared" si="17"/>
        <v>-119273.89999999991</v>
      </c>
      <c r="BE96" s="162">
        <v>-61595.4</v>
      </c>
      <c r="BF96" s="162">
        <f t="shared" si="18"/>
        <v>-180869.2999999999</v>
      </c>
      <c r="BG96" s="162">
        <v>0</v>
      </c>
      <c r="BH96" s="162">
        <v>0</v>
      </c>
      <c r="BI96" s="162">
        <f t="shared" si="19"/>
        <v>0</v>
      </c>
      <c r="BJ96" s="162">
        <v>0</v>
      </c>
      <c r="BK96" s="162">
        <v>0</v>
      </c>
      <c r="BL96" s="162">
        <f t="shared" si="20"/>
        <v>0</v>
      </c>
      <c r="BM96" s="162">
        <f t="shared" si="21"/>
        <v>0</v>
      </c>
      <c r="BN96" s="162">
        <v>0</v>
      </c>
      <c r="BO96" s="162">
        <f t="shared" si="22"/>
        <v>0</v>
      </c>
      <c r="BP96" s="162">
        <v>0</v>
      </c>
      <c r="BQ96" s="162">
        <v>-180869.30000000037</v>
      </c>
      <c r="BR96" s="162">
        <v>0</v>
      </c>
      <c r="BS96" s="162">
        <f t="shared" si="23"/>
        <v>-180869.30000000037</v>
      </c>
      <c r="BT96" s="162">
        <v>8241.25</v>
      </c>
      <c r="BU96" s="162">
        <v>0</v>
      </c>
      <c r="BV96" s="162">
        <v>0</v>
      </c>
      <c r="BW96" s="162">
        <f t="shared" si="24"/>
        <v>8241.25</v>
      </c>
      <c r="BX96" s="162">
        <v>0</v>
      </c>
      <c r="BY96" s="162">
        <v>0</v>
      </c>
      <c r="BZ96" s="162">
        <v>750</v>
      </c>
      <c r="CA96" s="162">
        <v>7582.5</v>
      </c>
      <c r="CB96" s="162">
        <f t="shared" si="25"/>
        <v>8332.5</v>
      </c>
      <c r="CC96" s="162">
        <f t="shared" si="26"/>
        <v>-91.25</v>
      </c>
      <c r="CD96" s="162">
        <v>340.31</v>
      </c>
      <c r="CE96" s="162">
        <f t="shared" si="27"/>
        <v>249.06</v>
      </c>
    </row>
    <row r="97" spans="1:83" ht="13.8">
      <c r="A97" s="310">
        <v>2329</v>
      </c>
      <c r="B97" s="303" t="s">
        <v>452</v>
      </c>
      <c r="C97" s="25" t="s">
        <v>264</v>
      </c>
      <c r="D97" s="162">
        <v>931289.19</v>
      </c>
      <c r="E97" s="162">
        <v>0</v>
      </c>
      <c r="F97" s="162">
        <v>241973.93</v>
      </c>
      <c r="G97" s="162">
        <v>0</v>
      </c>
      <c r="H97" s="162">
        <v>65540</v>
      </c>
      <c r="I97" s="162">
        <v>1705.64</v>
      </c>
      <c r="J97" s="162">
        <v>1350</v>
      </c>
      <c r="K97" s="162">
        <v>18916.060000000001</v>
      </c>
      <c r="L97" s="162">
        <v>72391.259999999995</v>
      </c>
      <c r="M97" s="162">
        <v>2895.43</v>
      </c>
      <c r="N97" s="162">
        <v>0</v>
      </c>
      <c r="O97" s="162">
        <v>0</v>
      </c>
      <c r="P97" s="162">
        <v>3973.58</v>
      </c>
      <c r="Q97" s="162">
        <v>2786.08</v>
      </c>
      <c r="R97" s="162">
        <v>0</v>
      </c>
      <c r="S97" s="162">
        <v>0</v>
      </c>
      <c r="T97" s="162">
        <v>0</v>
      </c>
      <c r="U97" s="162">
        <v>3287.94</v>
      </c>
      <c r="V97" s="162">
        <v>58486</v>
      </c>
      <c r="W97" s="162">
        <f t="shared" si="15"/>
        <v>1404595.1099999999</v>
      </c>
      <c r="X97" s="162">
        <v>544288.30000000005</v>
      </c>
      <c r="Y97" s="162">
        <v>0</v>
      </c>
      <c r="Z97" s="162">
        <v>405227.09</v>
      </c>
      <c r="AA97" s="162">
        <v>50755.55</v>
      </c>
      <c r="AB97" s="162">
        <v>56206.28</v>
      </c>
      <c r="AC97" s="162">
        <v>39102.42</v>
      </c>
      <c r="AD97" s="162">
        <v>21117.78</v>
      </c>
      <c r="AE97" s="162">
        <v>5445.4</v>
      </c>
      <c r="AF97" s="162">
        <v>8045.97</v>
      </c>
      <c r="AG97" s="162">
        <v>0</v>
      </c>
      <c r="AH97" s="162">
        <v>460</v>
      </c>
      <c r="AI97" s="162">
        <v>20115.16</v>
      </c>
      <c r="AJ97" s="162">
        <v>362.5</v>
      </c>
      <c r="AK97" s="162">
        <v>4722.72</v>
      </c>
      <c r="AL97" s="162">
        <v>5321.47</v>
      </c>
      <c r="AM97" s="162">
        <v>40751.18</v>
      </c>
      <c r="AN97" s="162">
        <v>42588</v>
      </c>
      <c r="AO97" s="162">
        <v>6805.29</v>
      </c>
      <c r="AP97" s="162">
        <v>31572.32</v>
      </c>
      <c r="AQ97" s="162">
        <v>35519.979999999996</v>
      </c>
      <c r="AR97" s="162">
        <v>0</v>
      </c>
      <c r="AS97" s="162">
        <v>4829.78</v>
      </c>
      <c r="AT97" s="162">
        <v>3458.59</v>
      </c>
      <c r="AU97" s="162">
        <v>0</v>
      </c>
      <c r="AV97" s="162">
        <v>21625.42</v>
      </c>
      <c r="AW97" s="162">
        <v>29196.75</v>
      </c>
      <c r="AX97" s="162">
        <v>23535.83</v>
      </c>
      <c r="AY97" s="162">
        <v>13059.96</v>
      </c>
      <c r="AZ97" s="162">
        <v>0</v>
      </c>
      <c r="BA97" s="162">
        <v>0</v>
      </c>
      <c r="BB97" s="162">
        <v>8504</v>
      </c>
      <c r="BC97" s="162">
        <f t="shared" si="16"/>
        <v>1422617.74</v>
      </c>
      <c r="BD97" s="162">
        <f t="shared" si="17"/>
        <v>-18022.630000000121</v>
      </c>
      <c r="BE97" s="162">
        <v>-43785.91</v>
      </c>
      <c r="BF97" s="162">
        <f t="shared" si="18"/>
        <v>-61808.540000000125</v>
      </c>
      <c r="BG97" s="162">
        <v>136751.21</v>
      </c>
      <c r="BH97" s="162">
        <v>31233.11</v>
      </c>
      <c r="BI97" s="162">
        <f t="shared" si="19"/>
        <v>167984.32</v>
      </c>
      <c r="BJ97" s="162">
        <v>159320.88</v>
      </c>
      <c r="BK97" s="162">
        <v>14817.77</v>
      </c>
      <c r="BL97" s="162">
        <f t="shared" si="20"/>
        <v>174138.65</v>
      </c>
      <c r="BM97" s="162">
        <f t="shared" si="21"/>
        <v>-6154.3299999999872</v>
      </c>
      <c r="BN97" s="162">
        <v>9645.64</v>
      </c>
      <c r="BO97" s="162">
        <f t="shared" si="22"/>
        <v>3491.3100000000122</v>
      </c>
      <c r="BP97" s="162">
        <v>908.49</v>
      </c>
      <c r="BQ97" s="162">
        <v>-62717.02999999989</v>
      </c>
      <c r="BR97" s="162">
        <v>3491.3099999999831</v>
      </c>
      <c r="BS97" s="162">
        <f t="shared" si="23"/>
        <v>-58317.229999999909</v>
      </c>
      <c r="BT97" s="162">
        <v>5620</v>
      </c>
      <c r="BU97" s="162">
        <v>0</v>
      </c>
      <c r="BV97" s="162">
        <v>0</v>
      </c>
      <c r="BW97" s="162">
        <f t="shared" si="24"/>
        <v>5620</v>
      </c>
      <c r="BX97" s="162">
        <v>0</v>
      </c>
      <c r="BY97" s="162">
        <v>14306.5</v>
      </c>
      <c r="BZ97" s="162">
        <v>0</v>
      </c>
      <c r="CA97" s="162">
        <v>2954</v>
      </c>
      <c r="CB97" s="162">
        <f t="shared" si="25"/>
        <v>17260.5</v>
      </c>
      <c r="CC97" s="162">
        <f t="shared" si="26"/>
        <v>-11640.5</v>
      </c>
      <c r="CD97" s="162">
        <v>11640.5</v>
      </c>
      <c r="CE97" s="162">
        <f t="shared" si="27"/>
        <v>0</v>
      </c>
    </row>
    <row r="98" spans="1:83" ht="13.8">
      <c r="A98" s="310">
        <v>3384</v>
      </c>
      <c r="B98" s="303" t="s">
        <v>454</v>
      </c>
      <c r="C98" s="25" t="s">
        <v>264</v>
      </c>
      <c r="D98" s="162">
        <v>1034758.57</v>
      </c>
      <c r="E98" s="162">
        <v>0</v>
      </c>
      <c r="F98" s="162">
        <v>49797.15</v>
      </c>
      <c r="G98" s="162">
        <v>0</v>
      </c>
      <c r="H98" s="162">
        <v>62060</v>
      </c>
      <c r="I98" s="162">
        <v>1586</v>
      </c>
      <c r="J98" s="162">
        <v>0</v>
      </c>
      <c r="K98" s="162">
        <v>2690</v>
      </c>
      <c r="L98" s="162">
        <v>45772.55</v>
      </c>
      <c r="M98" s="162">
        <v>18661.990000000002</v>
      </c>
      <c r="N98" s="162">
        <v>0</v>
      </c>
      <c r="O98" s="162">
        <v>0</v>
      </c>
      <c r="P98" s="162">
        <v>9523.74</v>
      </c>
      <c r="Q98" s="162">
        <v>0</v>
      </c>
      <c r="R98" s="162">
        <v>0</v>
      </c>
      <c r="S98" s="162">
        <v>0</v>
      </c>
      <c r="T98" s="162">
        <v>0</v>
      </c>
      <c r="U98" s="162">
        <v>-164.37</v>
      </c>
      <c r="V98" s="162">
        <v>47225</v>
      </c>
      <c r="W98" s="162">
        <f t="shared" si="15"/>
        <v>1271910.6299999999</v>
      </c>
      <c r="X98" s="162">
        <v>658029.41</v>
      </c>
      <c r="Y98" s="162">
        <v>6781.93</v>
      </c>
      <c r="Z98" s="162">
        <v>272091.03999999998</v>
      </c>
      <c r="AA98" s="162">
        <v>10555.61</v>
      </c>
      <c r="AB98" s="162">
        <v>80977.91</v>
      </c>
      <c r="AC98" s="162">
        <v>42545.25</v>
      </c>
      <c r="AD98" s="162">
        <v>68863.460000000006</v>
      </c>
      <c r="AE98" s="162">
        <v>332.31</v>
      </c>
      <c r="AF98" s="162">
        <v>8168.92</v>
      </c>
      <c r="AG98" s="162">
        <v>0</v>
      </c>
      <c r="AH98" s="162">
        <v>0</v>
      </c>
      <c r="AI98" s="162">
        <v>16089.13</v>
      </c>
      <c r="AJ98" s="162">
        <v>7561.83</v>
      </c>
      <c r="AK98" s="162">
        <v>4165.5600000000004</v>
      </c>
      <c r="AL98" s="162">
        <v>3142.68</v>
      </c>
      <c r="AM98" s="162">
        <v>27465.96</v>
      </c>
      <c r="AN98" s="162">
        <v>7480.2</v>
      </c>
      <c r="AO98" s="162">
        <v>9514.25</v>
      </c>
      <c r="AP98" s="162">
        <v>48133.85</v>
      </c>
      <c r="AQ98" s="162">
        <v>17338.420000000002</v>
      </c>
      <c r="AR98" s="162">
        <v>0</v>
      </c>
      <c r="AS98" s="162">
        <v>15839.08</v>
      </c>
      <c r="AT98" s="162">
        <v>7681.18</v>
      </c>
      <c r="AU98" s="162">
        <v>0</v>
      </c>
      <c r="AV98" s="162">
        <v>31296.66</v>
      </c>
      <c r="AW98" s="162">
        <v>0</v>
      </c>
      <c r="AX98" s="162">
        <v>11350</v>
      </c>
      <c r="AY98" s="162">
        <v>11200.07</v>
      </c>
      <c r="AZ98" s="162">
        <v>0</v>
      </c>
      <c r="BA98" s="162">
        <v>0</v>
      </c>
      <c r="BB98" s="162">
        <v>0</v>
      </c>
      <c r="BC98" s="162">
        <f t="shared" si="16"/>
        <v>1366604.71</v>
      </c>
      <c r="BD98" s="162">
        <f t="shared" si="17"/>
        <v>-94694.080000000075</v>
      </c>
      <c r="BE98" s="162">
        <v>-3192.85</v>
      </c>
      <c r="BF98" s="162">
        <f t="shared" si="18"/>
        <v>-97886.93000000008</v>
      </c>
      <c r="BG98" s="162">
        <v>0</v>
      </c>
      <c r="BH98" s="162">
        <v>0</v>
      </c>
      <c r="BI98" s="162">
        <f t="shared" si="19"/>
        <v>0</v>
      </c>
      <c r="BJ98" s="162">
        <v>0</v>
      </c>
      <c r="BK98" s="162">
        <v>0</v>
      </c>
      <c r="BL98" s="162">
        <f t="shared" si="20"/>
        <v>0</v>
      </c>
      <c r="BM98" s="162">
        <f t="shared" si="21"/>
        <v>0</v>
      </c>
      <c r="BN98" s="162">
        <v>0</v>
      </c>
      <c r="BO98" s="162">
        <f t="shared" si="22"/>
        <v>0</v>
      </c>
      <c r="BP98" s="162">
        <v>0</v>
      </c>
      <c r="BQ98" s="162">
        <v>-97886.929999999847</v>
      </c>
      <c r="BR98" s="162">
        <v>0</v>
      </c>
      <c r="BS98" s="162">
        <f t="shared" si="23"/>
        <v>-97886.929999999847</v>
      </c>
      <c r="BT98" s="162">
        <v>0</v>
      </c>
      <c r="BU98" s="162">
        <v>0</v>
      </c>
      <c r="BV98" s="162">
        <v>0</v>
      </c>
      <c r="BW98" s="162">
        <f t="shared" si="24"/>
        <v>0</v>
      </c>
      <c r="BX98" s="162">
        <v>0</v>
      </c>
      <c r="BY98" s="162">
        <v>0</v>
      </c>
      <c r="BZ98" s="162">
        <v>0</v>
      </c>
      <c r="CA98" s="162">
        <v>0</v>
      </c>
      <c r="CB98" s="162">
        <f t="shared" si="25"/>
        <v>0</v>
      </c>
      <c r="CC98" s="162">
        <f t="shared" si="26"/>
        <v>0</v>
      </c>
      <c r="CD98" s="162">
        <v>0</v>
      </c>
      <c r="CE98" s="162">
        <f t="shared" si="27"/>
        <v>0</v>
      </c>
    </row>
    <row r="99" spans="1:83" ht="13.8">
      <c r="A99" s="310">
        <v>5200</v>
      </c>
      <c r="B99" s="303" t="s">
        <v>456</v>
      </c>
      <c r="C99" s="25" t="s">
        <v>264</v>
      </c>
      <c r="D99" s="162">
        <v>926624.58</v>
      </c>
      <c r="E99" s="162">
        <v>0</v>
      </c>
      <c r="F99" s="162">
        <v>10410.950000000001</v>
      </c>
      <c r="G99" s="162">
        <v>0</v>
      </c>
      <c r="H99" s="162">
        <v>33580</v>
      </c>
      <c r="I99" s="162">
        <v>1773</v>
      </c>
      <c r="J99" s="162">
        <v>0</v>
      </c>
      <c r="K99" s="162">
        <v>21062.27</v>
      </c>
      <c r="L99" s="162">
        <v>22031.22</v>
      </c>
      <c r="M99" s="162">
        <v>7485.04</v>
      </c>
      <c r="N99" s="162">
        <v>0</v>
      </c>
      <c r="O99" s="162">
        <v>350</v>
      </c>
      <c r="P99" s="162">
        <v>0</v>
      </c>
      <c r="Q99" s="162">
        <v>17507.810000000001</v>
      </c>
      <c r="R99" s="162">
        <v>0</v>
      </c>
      <c r="S99" s="162">
        <v>0</v>
      </c>
      <c r="T99" s="162">
        <v>0</v>
      </c>
      <c r="U99" s="162">
        <v>10</v>
      </c>
      <c r="V99" s="162">
        <v>49394</v>
      </c>
      <c r="W99" s="162">
        <f t="shared" si="15"/>
        <v>1090228.8700000001</v>
      </c>
      <c r="X99" s="162">
        <v>609909.11</v>
      </c>
      <c r="Y99" s="162">
        <v>4024.39</v>
      </c>
      <c r="Z99" s="162">
        <v>187648.47</v>
      </c>
      <c r="AA99" s="162">
        <v>30478.04</v>
      </c>
      <c r="AB99" s="162">
        <v>47502.49</v>
      </c>
      <c r="AC99" s="162">
        <v>0</v>
      </c>
      <c r="AD99" s="162">
        <v>20345.47</v>
      </c>
      <c r="AE99" s="162">
        <v>269.8</v>
      </c>
      <c r="AF99" s="162">
        <v>13010.14</v>
      </c>
      <c r="AG99" s="162">
        <v>5192.8999999999996</v>
      </c>
      <c r="AH99" s="162">
        <v>0</v>
      </c>
      <c r="AI99" s="162">
        <v>1822.18</v>
      </c>
      <c r="AJ99" s="162">
        <v>2635.37</v>
      </c>
      <c r="AK99" s="162">
        <v>2278.87</v>
      </c>
      <c r="AL99" s="162">
        <v>4503.57</v>
      </c>
      <c r="AM99" s="162">
        <v>30861.69</v>
      </c>
      <c r="AN99" s="162">
        <v>3642.7</v>
      </c>
      <c r="AO99" s="162">
        <v>6288.41</v>
      </c>
      <c r="AP99" s="162">
        <v>56861.62</v>
      </c>
      <c r="AQ99" s="162">
        <v>19646.919999999998</v>
      </c>
      <c r="AR99" s="162">
        <v>0</v>
      </c>
      <c r="AS99" s="162">
        <v>2767.48</v>
      </c>
      <c r="AT99" s="162">
        <v>3938.86</v>
      </c>
      <c r="AU99" s="162">
        <v>0</v>
      </c>
      <c r="AV99" s="162">
        <v>47289.42</v>
      </c>
      <c r="AW99" s="162">
        <v>7677.22</v>
      </c>
      <c r="AX99" s="162">
        <v>700</v>
      </c>
      <c r="AY99" s="162">
        <v>15674.44</v>
      </c>
      <c r="AZ99" s="162">
        <v>0</v>
      </c>
      <c r="BA99" s="162">
        <v>0</v>
      </c>
      <c r="BB99" s="162">
        <v>0</v>
      </c>
      <c r="BC99" s="162">
        <f t="shared" si="16"/>
        <v>1124969.56</v>
      </c>
      <c r="BD99" s="162">
        <f t="shared" si="17"/>
        <v>-34740.689999999944</v>
      </c>
      <c r="BE99" s="162">
        <v>-25887.550000000003</v>
      </c>
      <c r="BF99" s="162">
        <f t="shared" si="18"/>
        <v>-60628.239999999947</v>
      </c>
      <c r="BG99" s="162">
        <v>0</v>
      </c>
      <c r="BH99" s="162">
        <v>0</v>
      </c>
      <c r="BI99" s="162">
        <f t="shared" si="19"/>
        <v>0</v>
      </c>
      <c r="BJ99" s="162">
        <v>0</v>
      </c>
      <c r="BK99" s="162">
        <v>0</v>
      </c>
      <c r="BL99" s="162">
        <f t="shared" si="20"/>
        <v>0</v>
      </c>
      <c r="BM99" s="162">
        <f t="shared" si="21"/>
        <v>0</v>
      </c>
      <c r="BN99" s="162">
        <v>0</v>
      </c>
      <c r="BO99" s="162">
        <f t="shared" si="22"/>
        <v>0</v>
      </c>
      <c r="BP99" s="162">
        <v>5204.09</v>
      </c>
      <c r="BQ99" s="162">
        <v>-65832.329999999711</v>
      </c>
      <c r="BR99" s="162">
        <v>0</v>
      </c>
      <c r="BS99" s="162">
        <f t="shared" si="23"/>
        <v>-60628.239999999714</v>
      </c>
      <c r="BT99" s="162">
        <v>159969.07999999999</v>
      </c>
      <c r="BU99" s="162">
        <v>10000</v>
      </c>
      <c r="BV99" s="162">
        <v>0</v>
      </c>
      <c r="BW99" s="162">
        <f t="shared" si="24"/>
        <v>169969.08</v>
      </c>
      <c r="BX99" s="162">
        <v>0</v>
      </c>
      <c r="BY99" s="162">
        <v>29154.65</v>
      </c>
      <c r="BZ99" s="162">
        <v>0</v>
      </c>
      <c r="CA99" s="162">
        <v>0</v>
      </c>
      <c r="CB99" s="162">
        <f t="shared" si="25"/>
        <v>29154.65</v>
      </c>
      <c r="CC99" s="162">
        <f t="shared" si="26"/>
        <v>140814.43</v>
      </c>
      <c r="CD99" s="162">
        <v>18782.86</v>
      </c>
      <c r="CE99" s="162">
        <f t="shared" si="27"/>
        <v>159597.28999999998</v>
      </c>
    </row>
    <row r="100" spans="1:83" ht="13.8">
      <c r="A100" s="310">
        <v>2317</v>
      </c>
      <c r="B100" s="303" t="s">
        <v>458</v>
      </c>
      <c r="C100" s="25" t="s">
        <v>264</v>
      </c>
      <c r="D100" s="162">
        <v>3229299.41</v>
      </c>
      <c r="E100" s="162">
        <v>0</v>
      </c>
      <c r="F100" s="162">
        <v>212378.2</v>
      </c>
      <c r="G100" s="162">
        <v>0</v>
      </c>
      <c r="H100" s="162">
        <v>158425</v>
      </c>
      <c r="I100" s="162">
        <v>1641</v>
      </c>
      <c r="J100" s="162">
        <v>0</v>
      </c>
      <c r="K100" s="162">
        <v>33727.51</v>
      </c>
      <c r="L100" s="162">
        <v>91837.78</v>
      </c>
      <c r="M100" s="162">
        <v>58399.32</v>
      </c>
      <c r="N100" s="162">
        <v>8280</v>
      </c>
      <c r="O100" s="162">
        <v>1008.84</v>
      </c>
      <c r="P100" s="162">
        <v>46211.05</v>
      </c>
      <c r="Q100" s="162">
        <v>0</v>
      </c>
      <c r="R100" s="162">
        <v>0</v>
      </c>
      <c r="S100" s="162">
        <v>0</v>
      </c>
      <c r="T100" s="162">
        <v>0</v>
      </c>
      <c r="U100" s="162">
        <v>6120</v>
      </c>
      <c r="V100" s="162">
        <v>110736</v>
      </c>
      <c r="W100" s="162">
        <f t="shared" si="15"/>
        <v>3958064.1099999994</v>
      </c>
      <c r="X100" s="162">
        <v>1885126.64</v>
      </c>
      <c r="Y100" s="162">
        <v>0</v>
      </c>
      <c r="Z100" s="162">
        <v>770810.05</v>
      </c>
      <c r="AA100" s="162">
        <v>82205.8</v>
      </c>
      <c r="AB100" s="162">
        <v>155836.84</v>
      </c>
      <c r="AC100" s="162">
        <v>0</v>
      </c>
      <c r="AD100" s="162">
        <v>38715.339999999997</v>
      </c>
      <c r="AE100" s="162">
        <v>16823.759999999998</v>
      </c>
      <c r="AF100" s="162">
        <v>5960</v>
      </c>
      <c r="AG100" s="162">
        <v>15275</v>
      </c>
      <c r="AH100" s="162">
        <v>4217.5</v>
      </c>
      <c r="AI100" s="162">
        <v>19248.349999999999</v>
      </c>
      <c r="AJ100" s="162">
        <v>6588.67</v>
      </c>
      <c r="AK100" s="162">
        <v>58579.55</v>
      </c>
      <c r="AL100" s="162">
        <v>30469.599999999999</v>
      </c>
      <c r="AM100" s="162">
        <v>74229.039999999994</v>
      </c>
      <c r="AN100" s="162">
        <v>103740</v>
      </c>
      <c r="AO100" s="162">
        <v>20304.02</v>
      </c>
      <c r="AP100" s="162">
        <v>130131.76</v>
      </c>
      <c r="AQ100" s="162">
        <v>62278.94</v>
      </c>
      <c r="AR100" s="162">
        <v>0</v>
      </c>
      <c r="AS100" s="162">
        <v>27831.15</v>
      </c>
      <c r="AT100" s="162">
        <v>12499.92</v>
      </c>
      <c r="AU100" s="162">
        <v>0</v>
      </c>
      <c r="AV100" s="162">
        <v>140905.31</v>
      </c>
      <c r="AW100" s="162">
        <v>38572.17</v>
      </c>
      <c r="AX100" s="162">
        <v>180655.24</v>
      </c>
      <c r="AY100" s="162">
        <v>85282.25</v>
      </c>
      <c r="AZ100" s="162">
        <v>0</v>
      </c>
      <c r="BA100" s="162">
        <v>0</v>
      </c>
      <c r="BB100" s="162">
        <v>0</v>
      </c>
      <c r="BC100" s="162">
        <f t="shared" si="16"/>
        <v>3966286.8999999985</v>
      </c>
      <c r="BD100" s="162">
        <f t="shared" si="17"/>
        <v>-8222.7899999991059</v>
      </c>
      <c r="BE100" s="162">
        <v>-138822.32999999999</v>
      </c>
      <c r="BF100" s="162">
        <f t="shared" si="18"/>
        <v>-147045.11999999909</v>
      </c>
      <c r="BG100" s="162">
        <v>0</v>
      </c>
      <c r="BH100" s="162">
        <v>0</v>
      </c>
      <c r="BI100" s="162">
        <f t="shared" si="19"/>
        <v>0</v>
      </c>
      <c r="BJ100" s="162">
        <v>0</v>
      </c>
      <c r="BK100" s="162">
        <v>0</v>
      </c>
      <c r="BL100" s="162">
        <f t="shared" si="20"/>
        <v>0</v>
      </c>
      <c r="BM100" s="162">
        <f t="shared" si="21"/>
        <v>0</v>
      </c>
      <c r="BN100" s="162">
        <v>0</v>
      </c>
      <c r="BO100" s="162">
        <f t="shared" si="22"/>
        <v>0</v>
      </c>
      <c r="BP100" s="162">
        <v>0</v>
      </c>
      <c r="BQ100" s="162">
        <v>-147045.11999999909</v>
      </c>
      <c r="BR100" s="162">
        <v>0</v>
      </c>
      <c r="BS100" s="162">
        <f t="shared" si="23"/>
        <v>-147045.11999999909</v>
      </c>
      <c r="BT100" s="162">
        <v>11399.35</v>
      </c>
      <c r="BU100" s="162">
        <v>0</v>
      </c>
      <c r="BV100" s="162">
        <v>0</v>
      </c>
      <c r="BW100" s="162">
        <f t="shared" si="24"/>
        <v>11399.35</v>
      </c>
      <c r="BX100" s="162">
        <v>0</v>
      </c>
      <c r="BY100" s="162">
        <v>24714.89</v>
      </c>
      <c r="BZ100" s="162">
        <v>0</v>
      </c>
      <c r="CA100" s="162">
        <v>1868.87</v>
      </c>
      <c r="CB100" s="162">
        <f t="shared" si="25"/>
        <v>26583.759999999998</v>
      </c>
      <c r="CC100" s="162">
        <f t="shared" si="26"/>
        <v>-15184.409999999998</v>
      </c>
      <c r="CD100" s="162">
        <v>15184.41</v>
      </c>
      <c r="CE100" s="162">
        <f t="shared" si="27"/>
        <v>0</v>
      </c>
    </row>
    <row r="101" spans="1:83" ht="13.8">
      <c r="A101" s="310">
        <v>3356</v>
      </c>
      <c r="B101" s="303" t="s">
        <v>460</v>
      </c>
      <c r="C101" s="25" t="s">
        <v>264</v>
      </c>
      <c r="D101" s="162">
        <v>896226.23</v>
      </c>
      <c r="E101" s="162">
        <v>0</v>
      </c>
      <c r="F101" s="162">
        <v>33997.06</v>
      </c>
      <c r="G101" s="162">
        <v>0</v>
      </c>
      <c r="H101" s="162">
        <v>46560</v>
      </c>
      <c r="I101" s="162">
        <v>2357</v>
      </c>
      <c r="J101" s="162">
        <v>0</v>
      </c>
      <c r="K101" s="162">
        <v>7793</v>
      </c>
      <c r="L101" s="162">
        <v>2531.13</v>
      </c>
      <c r="M101" s="162">
        <v>0</v>
      </c>
      <c r="N101" s="162">
        <v>0</v>
      </c>
      <c r="O101" s="162">
        <v>0</v>
      </c>
      <c r="P101" s="162">
        <v>12810</v>
      </c>
      <c r="Q101" s="162">
        <v>92742.19</v>
      </c>
      <c r="R101" s="162">
        <v>0</v>
      </c>
      <c r="S101" s="162">
        <v>0</v>
      </c>
      <c r="T101" s="162">
        <v>0</v>
      </c>
      <c r="U101" s="162">
        <v>2136.25</v>
      </c>
      <c r="V101" s="162">
        <v>41568</v>
      </c>
      <c r="W101" s="162">
        <f t="shared" si="15"/>
        <v>1138720.8600000001</v>
      </c>
      <c r="X101" s="162">
        <v>591101.84</v>
      </c>
      <c r="Y101" s="162">
        <v>1221.23</v>
      </c>
      <c r="Z101" s="162">
        <v>186809.57</v>
      </c>
      <c r="AA101" s="162">
        <v>23905.9</v>
      </c>
      <c r="AB101" s="162">
        <v>55182.44</v>
      </c>
      <c r="AC101" s="162">
        <v>0</v>
      </c>
      <c r="AD101" s="162">
        <v>1085.3900000000001</v>
      </c>
      <c r="AE101" s="162">
        <v>396.5</v>
      </c>
      <c r="AF101" s="162">
        <v>5534.83</v>
      </c>
      <c r="AG101" s="162">
        <v>4075</v>
      </c>
      <c r="AH101" s="162">
        <v>0</v>
      </c>
      <c r="AI101" s="162">
        <v>4690.8999999999996</v>
      </c>
      <c r="AJ101" s="162">
        <v>6738.39</v>
      </c>
      <c r="AK101" s="162">
        <v>26089.84</v>
      </c>
      <c r="AL101" s="162">
        <v>608.75</v>
      </c>
      <c r="AM101" s="162">
        <v>21132.5</v>
      </c>
      <c r="AN101" s="162">
        <v>3917.15</v>
      </c>
      <c r="AO101" s="162">
        <v>4871.5600000000004</v>
      </c>
      <c r="AP101" s="162">
        <v>72859.08</v>
      </c>
      <c r="AQ101" s="162">
        <v>23399.49</v>
      </c>
      <c r="AR101" s="162">
        <v>0</v>
      </c>
      <c r="AS101" s="162">
        <v>7742.91</v>
      </c>
      <c r="AT101" s="162">
        <v>3345.74</v>
      </c>
      <c r="AU101" s="162">
        <v>0</v>
      </c>
      <c r="AV101" s="162">
        <v>33380.01</v>
      </c>
      <c r="AW101" s="162">
        <v>29535.45</v>
      </c>
      <c r="AX101" s="162">
        <v>19118.18</v>
      </c>
      <c r="AY101" s="162">
        <v>19198.330000000002</v>
      </c>
      <c r="AZ101" s="162">
        <v>0</v>
      </c>
      <c r="BA101" s="162">
        <v>0</v>
      </c>
      <c r="BB101" s="162">
        <v>0</v>
      </c>
      <c r="BC101" s="162">
        <f t="shared" si="16"/>
        <v>1145940.98</v>
      </c>
      <c r="BD101" s="162">
        <f t="shared" si="17"/>
        <v>-7220.1199999998789</v>
      </c>
      <c r="BE101" s="162">
        <v>264859.26</v>
      </c>
      <c r="BF101" s="162">
        <f t="shared" si="18"/>
        <v>257639.14000000013</v>
      </c>
      <c r="BG101" s="162">
        <v>0</v>
      </c>
      <c r="BH101" s="162">
        <v>0</v>
      </c>
      <c r="BI101" s="162">
        <f t="shared" si="19"/>
        <v>0</v>
      </c>
      <c r="BJ101" s="162">
        <v>0</v>
      </c>
      <c r="BK101" s="162">
        <v>0</v>
      </c>
      <c r="BL101" s="162">
        <f t="shared" si="20"/>
        <v>0</v>
      </c>
      <c r="BM101" s="162">
        <f t="shared" si="21"/>
        <v>0</v>
      </c>
      <c r="BN101" s="162">
        <v>0</v>
      </c>
      <c r="BO101" s="162">
        <f t="shared" si="22"/>
        <v>0</v>
      </c>
      <c r="BP101" s="162">
        <v>2520.91</v>
      </c>
      <c r="BQ101" s="162">
        <v>255118.23000000013</v>
      </c>
      <c r="BR101" s="162">
        <v>0</v>
      </c>
      <c r="BS101" s="162">
        <f t="shared" si="23"/>
        <v>257639.14000000013</v>
      </c>
      <c r="BT101" s="162">
        <v>0</v>
      </c>
      <c r="BU101" s="162">
        <v>0</v>
      </c>
      <c r="BV101" s="162">
        <v>0</v>
      </c>
      <c r="BW101" s="162">
        <f t="shared" si="24"/>
        <v>0</v>
      </c>
      <c r="BX101" s="162">
        <v>0</v>
      </c>
      <c r="BY101" s="162">
        <v>0</v>
      </c>
      <c r="BZ101" s="162">
        <v>0</v>
      </c>
      <c r="CA101" s="162">
        <v>0</v>
      </c>
      <c r="CB101" s="162">
        <f t="shared" si="25"/>
        <v>0</v>
      </c>
      <c r="CC101" s="162">
        <f t="shared" si="26"/>
        <v>0</v>
      </c>
      <c r="CD101" s="162">
        <v>0</v>
      </c>
      <c r="CE101" s="162">
        <f t="shared" si="27"/>
        <v>0</v>
      </c>
    </row>
    <row r="102" spans="1:83" ht="13.8">
      <c r="A102" s="310">
        <v>3358</v>
      </c>
      <c r="B102" s="303" t="s">
        <v>462</v>
      </c>
      <c r="C102" s="25" t="s">
        <v>264</v>
      </c>
      <c r="D102" s="162">
        <v>1405482.16</v>
      </c>
      <c r="E102" s="162">
        <v>0</v>
      </c>
      <c r="F102" s="162">
        <v>62243.05</v>
      </c>
      <c r="G102" s="162">
        <v>0</v>
      </c>
      <c r="H102" s="162">
        <v>121960</v>
      </c>
      <c r="I102" s="162">
        <v>4455.93</v>
      </c>
      <c r="J102" s="162">
        <v>0</v>
      </c>
      <c r="K102" s="162">
        <v>8484.85</v>
      </c>
      <c r="L102" s="162">
        <v>230020.71</v>
      </c>
      <c r="M102" s="162">
        <v>98.3</v>
      </c>
      <c r="N102" s="162">
        <v>0</v>
      </c>
      <c r="O102" s="162">
        <v>0</v>
      </c>
      <c r="P102" s="162">
        <v>18257.080000000002</v>
      </c>
      <c r="Q102" s="162">
        <v>0</v>
      </c>
      <c r="R102" s="162">
        <v>0</v>
      </c>
      <c r="S102" s="162">
        <v>0</v>
      </c>
      <c r="T102" s="162">
        <v>0</v>
      </c>
      <c r="U102" s="162">
        <v>28.75</v>
      </c>
      <c r="V102" s="162">
        <v>49766</v>
      </c>
      <c r="W102" s="162">
        <f t="shared" si="15"/>
        <v>1900796.83</v>
      </c>
      <c r="X102" s="162">
        <v>855066.3</v>
      </c>
      <c r="Y102" s="162">
        <v>66452.38</v>
      </c>
      <c r="Z102" s="162">
        <v>359422.2</v>
      </c>
      <c r="AA102" s="162">
        <v>53746.79</v>
      </c>
      <c r="AB102" s="162">
        <v>95347.87</v>
      </c>
      <c r="AC102" s="162">
        <v>0</v>
      </c>
      <c r="AD102" s="162">
        <v>9073.32</v>
      </c>
      <c r="AE102" s="162">
        <v>2018.05</v>
      </c>
      <c r="AF102" s="162">
        <v>5690.84</v>
      </c>
      <c r="AG102" s="162">
        <v>6575</v>
      </c>
      <c r="AH102" s="162">
        <v>0</v>
      </c>
      <c r="AI102" s="162">
        <v>118549.42</v>
      </c>
      <c r="AJ102" s="162">
        <v>945</v>
      </c>
      <c r="AK102" s="162">
        <v>2394.63</v>
      </c>
      <c r="AL102" s="162">
        <v>6359.77</v>
      </c>
      <c r="AM102" s="162">
        <v>26756.76</v>
      </c>
      <c r="AN102" s="162">
        <v>6770.4</v>
      </c>
      <c r="AO102" s="162">
        <v>10506.73</v>
      </c>
      <c r="AP102" s="162">
        <v>83371.77</v>
      </c>
      <c r="AQ102" s="162">
        <v>36891.49</v>
      </c>
      <c r="AR102" s="162">
        <v>0</v>
      </c>
      <c r="AS102" s="162">
        <v>10329.530000000001</v>
      </c>
      <c r="AT102" s="162">
        <v>6575</v>
      </c>
      <c r="AU102" s="162">
        <v>0</v>
      </c>
      <c r="AV102" s="162">
        <v>44775.45</v>
      </c>
      <c r="AW102" s="162">
        <v>12706.57</v>
      </c>
      <c r="AX102" s="162">
        <v>41700</v>
      </c>
      <c r="AY102" s="162">
        <v>20930.87</v>
      </c>
      <c r="AZ102" s="162">
        <v>0</v>
      </c>
      <c r="BA102" s="162">
        <v>0</v>
      </c>
      <c r="BB102" s="162">
        <v>0</v>
      </c>
      <c r="BC102" s="162">
        <f t="shared" si="16"/>
        <v>1882956.1400000001</v>
      </c>
      <c r="BD102" s="162">
        <f t="shared" si="17"/>
        <v>17840.689999999944</v>
      </c>
      <c r="BE102" s="162">
        <v>12508.35</v>
      </c>
      <c r="BF102" s="162">
        <f t="shared" si="18"/>
        <v>30349.039999999943</v>
      </c>
      <c r="BG102" s="162">
        <v>0</v>
      </c>
      <c r="BH102" s="162">
        <v>114976.15</v>
      </c>
      <c r="BI102" s="162">
        <f t="shared" si="19"/>
        <v>114976.15</v>
      </c>
      <c r="BJ102" s="162">
        <v>112109.08</v>
      </c>
      <c r="BK102" s="162">
        <v>2419.6799999999998</v>
      </c>
      <c r="BL102" s="162">
        <f t="shared" si="20"/>
        <v>114528.76</v>
      </c>
      <c r="BM102" s="162">
        <f t="shared" si="21"/>
        <v>447.38999999999942</v>
      </c>
      <c r="BN102" s="162">
        <v>-543.39</v>
      </c>
      <c r="BO102" s="162">
        <f t="shared" si="22"/>
        <v>-96.000000000000568</v>
      </c>
      <c r="BP102" s="162">
        <v>0</v>
      </c>
      <c r="BQ102" s="162">
        <v>29824.039999999943</v>
      </c>
      <c r="BR102" s="162">
        <v>428.99999999999943</v>
      </c>
      <c r="BS102" s="162">
        <f t="shared" si="23"/>
        <v>30253.039999999943</v>
      </c>
      <c r="BT102" s="162">
        <v>0</v>
      </c>
      <c r="BU102" s="162">
        <v>0</v>
      </c>
      <c r="BV102" s="162">
        <v>0</v>
      </c>
      <c r="BW102" s="162">
        <f t="shared" si="24"/>
        <v>0</v>
      </c>
      <c r="BX102" s="162">
        <v>0</v>
      </c>
      <c r="BY102" s="162">
        <v>0</v>
      </c>
      <c r="BZ102" s="162">
        <v>0</v>
      </c>
      <c r="CA102" s="162">
        <v>0</v>
      </c>
      <c r="CB102" s="162">
        <f t="shared" si="25"/>
        <v>0</v>
      </c>
      <c r="CC102" s="162">
        <f t="shared" si="26"/>
        <v>0</v>
      </c>
      <c r="CD102" s="162">
        <v>0</v>
      </c>
      <c r="CE102" s="162">
        <f t="shared" si="27"/>
        <v>0</v>
      </c>
    </row>
    <row r="103" spans="1:83" ht="13.8">
      <c r="A103" s="310">
        <v>3029</v>
      </c>
      <c r="B103" s="303" t="s">
        <v>464</v>
      </c>
      <c r="C103" s="25" t="s">
        <v>264</v>
      </c>
      <c r="D103" s="162">
        <v>896378.65</v>
      </c>
      <c r="E103" s="162">
        <v>0</v>
      </c>
      <c r="F103" s="162">
        <v>39112.93</v>
      </c>
      <c r="G103" s="162">
        <v>0</v>
      </c>
      <c r="H103" s="162">
        <v>41440</v>
      </c>
      <c r="I103" s="162">
        <v>1485</v>
      </c>
      <c r="J103" s="162">
        <v>0</v>
      </c>
      <c r="K103" s="162">
        <v>0</v>
      </c>
      <c r="L103" s="162">
        <v>5320.71</v>
      </c>
      <c r="M103" s="162">
        <v>14252.29</v>
      </c>
      <c r="N103" s="162">
        <v>18032</v>
      </c>
      <c r="O103" s="162">
        <v>0</v>
      </c>
      <c r="P103" s="162">
        <v>13318.13</v>
      </c>
      <c r="Q103" s="162">
        <v>13470.32</v>
      </c>
      <c r="R103" s="162">
        <v>0</v>
      </c>
      <c r="S103" s="162">
        <v>0</v>
      </c>
      <c r="T103" s="162">
        <v>0</v>
      </c>
      <c r="U103" s="162">
        <v>-126.87</v>
      </c>
      <c r="V103" s="162">
        <v>40448</v>
      </c>
      <c r="W103" s="162">
        <f t="shared" si="15"/>
        <v>1083131.1600000001</v>
      </c>
      <c r="X103" s="162">
        <v>567382.64</v>
      </c>
      <c r="Y103" s="162">
        <v>23549.759999999998</v>
      </c>
      <c r="Z103" s="162">
        <v>202161.1</v>
      </c>
      <c r="AA103" s="162">
        <v>16782.29</v>
      </c>
      <c r="AB103" s="162">
        <v>45906.239999999998</v>
      </c>
      <c r="AC103" s="162">
        <v>36326.07</v>
      </c>
      <c r="AD103" s="162">
        <v>20838.849999999999</v>
      </c>
      <c r="AE103" s="162">
        <v>4174.87</v>
      </c>
      <c r="AF103" s="162">
        <v>2621.9</v>
      </c>
      <c r="AG103" s="162">
        <v>4125</v>
      </c>
      <c r="AH103" s="162">
        <v>0</v>
      </c>
      <c r="AI103" s="162">
        <v>11730.76</v>
      </c>
      <c r="AJ103" s="162">
        <v>1308.48</v>
      </c>
      <c r="AK103" s="162">
        <v>4138.95</v>
      </c>
      <c r="AL103" s="162">
        <v>3966.89</v>
      </c>
      <c r="AM103" s="162">
        <v>22666.880000000001</v>
      </c>
      <c r="AN103" s="162">
        <v>19960</v>
      </c>
      <c r="AO103" s="162">
        <v>3788.22</v>
      </c>
      <c r="AP103" s="162">
        <v>47351.360000000001</v>
      </c>
      <c r="AQ103" s="162">
        <v>25382.51</v>
      </c>
      <c r="AR103" s="162">
        <v>0</v>
      </c>
      <c r="AS103" s="162">
        <v>5332.85</v>
      </c>
      <c r="AT103" s="162">
        <v>3756.44</v>
      </c>
      <c r="AU103" s="162">
        <v>534.5</v>
      </c>
      <c r="AV103" s="162">
        <v>19194.25</v>
      </c>
      <c r="AW103" s="162">
        <v>14650.6</v>
      </c>
      <c r="AX103" s="162">
        <v>2775</v>
      </c>
      <c r="AY103" s="162">
        <v>21595.9</v>
      </c>
      <c r="AZ103" s="162">
        <v>0</v>
      </c>
      <c r="BA103" s="162">
        <v>1462.24</v>
      </c>
      <c r="BB103" s="162">
        <v>4633.16</v>
      </c>
      <c r="BC103" s="162">
        <f t="shared" si="16"/>
        <v>1138097.7099999997</v>
      </c>
      <c r="BD103" s="162">
        <f t="shared" si="17"/>
        <v>-54966.549999999581</v>
      </c>
      <c r="BE103" s="162">
        <v>-4591.5</v>
      </c>
      <c r="BF103" s="162">
        <f t="shared" si="18"/>
        <v>-59558.049999999581</v>
      </c>
      <c r="BG103" s="162">
        <v>0</v>
      </c>
      <c r="BH103" s="162">
        <v>0</v>
      </c>
      <c r="BI103" s="162">
        <f t="shared" si="19"/>
        <v>0</v>
      </c>
      <c r="BJ103" s="162">
        <v>0</v>
      </c>
      <c r="BK103" s="162">
        <v>0</v>
      </c>
      <c r="BL103" s="162">
        <f t="shared" si="20"/>
        <v>0</v>
      </c>
      <c r="BM103" s="162">
        <f t="shared" si="21"/>
        <v>0</v>
      </c>
      <c r="BN103" s="162">
        <v>0</v>
      </c>
      <c r="BO103" s="162">
        <f t="shared" si="22"/>
        <v>0</v>
      </c>
      <c r="BP103" s="162">
        <v>6196.9</v>
      </c>
      <c r="BQ103" s="162">
        <v>-65754.949999999808</v>
      </c>
      <c r="BR103" s="162">
        <v>0</v>
      </c>
      <c r="BS103" s="162">
        <f t="shared" si="23"/>
        <v>-59558.049999999806</v>
      </c>
      <c r="BT103" s="162">
        <v>5935</v>
      </c>
      <c r="BU103" s="162">
        <v>0</v>
      </c>
      <c r="BV103" s="162">
        <v>0</v>
      </c>
      <c r="BW103" s="162">
        <f t="shared" si="24"/>
        <v>5935</v>
      </c>
      <c r="BX103" s="162">
        <v>0</v>
      </c>
      <c r="BY103" s="162">
        <v>3915.67</v>
      </c>
      <c r="BZ103" s="162">
        <v>0</v>
      </c>
      <c r="CA103" s="162">
        <v>0</v>
      </c>
      <c r="CB103" s="162">
        <f t="shared" si="25"/>
        <v>3915.67</v>
      </c>
      <c r="CC103" s="162">
        <f t="shared" si="26"/>
        <v>2019.33</v>
      </c>
      <c r="CD103" s="162">
        <v>15369.79</v>
      </c>
      <c r="CE103" s="162">
        <f t="shared" si="27"/>
        <v>17389.120000000003</v>
      </c>
    </row>
    <row r="104" spans="1:83" ht="13.8">
      <c r="A104" s="310">
        <v>2084</v>
      </c>
      <c r="B104" s="303" t="s">
        <v>466</v>
      </c>
      <c r="C104" s="25" t="s">
        <v>264</v>
      </c>
      <c r="D104" s="162">
        <v>940589.01</v>
      </c>
      <c r="E104" s="162">
        <v>0</v>
      </c>
      <c r="F104" s="162">
        <v>31110.23</v>
      </c>
      <c r="G104" s="162">
        <v>0</v>
      </c>
      <c r="H104" s="162">
        <v>68780</v>
      </c>
      <c r="I104" s="162">
        <v>3820</v>
      </c>
      <c r="J104" s="162">
        <v>0</v>
      </c>
      <c r="K104" s="162">
        <v>4319.3599999999997</v>
      </c>
      <c r="L104" s="162">
        <v>11954.99</v>
      </c>
      <c r="M104" s="162">
        <v>14375.3</v>
      </c>
      <c r="N104" s="162">
        <v>2250</v>
      </c>
      <c r="O104" s="162">
        <v>0</v>
      </c>
      <c r="P104" s="162">
        <v>13135.06</v>
      </c>
      <c r="Q104" s="162">
        <v>16180.08</v>
      </c>
      <c r="R104" s="162">
        <v>0</v>
      </c>
      <c r="S104" s="162">
        <v>0</v>
      </c>
      <c r="T104" s="162">
        <v>0</v>
      </c>
      <c r="U104" s="162">
        <v>-101.25</v>
      </c>
      <c r="V104" s="162">
        <v>34774</v>
      </c>
      <c r="W104" s="162">
        <f t="shared" si="15"/>
        <v>1141186.7800000003</v>
      </c>
      <c r="X104" s="162">
        <v>625632.63</v>
      </c>
      <c r="Y104" s="162">
        <v>8167.2</v>
      </c>
      <c r="Z104" s="162">
        <v>237466.49</v>
      </c>
      <c r="AA104" s="162">
        <v>25400.75</v>
      </c>
      <c r="AB104" s="162">
        <v>51095.14</v>
      </c>
      <c r="AC104" s="162">
        <v>36632.449999999997</v>
      </c>
      <c r="AD104" s="162">
        <v>17549.73</v>
      </c>
      <c r="AE104" s="162">
        <v>4305.5</v>
      </c>
      <c r="AF104" s="162">
        <v>6472.35</v>
      </c>
      <c r="AG104" s="162">
        <v>4275</v>
      </c>
      <c r="AH104" s="162">
        <v>222.5</v>
      </c>
      <c r="AI104" s="162">
        <v>4861.55</v>
      </c>
      <c r="AJ104" s="162">
        <v>3718.58</v>
      </c>
      <c r="AK104" s="162">
        <v>2694.46</v>
      </c>
      <c r="AL104" s="162">
        <v>7490</v>
      </c>
      <c r="AM104" s="162">
        <v>11849.87</v>
      </c>
      <c r="AN104" s="162">
        <v>22205.5</v>
      </c>
      <c r="AO104" s="162">
        <v>1881.78</v>
      </c>
      <c r="AP104" s="162">
        <v>65046.06</v>
      </c>
      <c r="AQ104" s="162">
        <v>16288.2</v>
      </c>
      <c r="AR104" s="162">
        <v>0</v>
      </c>
      <c r="AS104" s="162">
        <v>6257.49</v>
      </c>
      <c r="AT104" s="162">
        <v>3489.73</v>
      </c>
      <c r="AU104" s="162">
        <v>6984.55</v>
      </c>
      <c r="AV104" s="162">
        <v>19051.5</v>
      </c>
      <c r="AW104" s="162">
        <v>0</v>
      </c>
      <c r="AX104" s="162">
        <v>12511.25</v>
      </c>
      <c r="AY104" s="162">
        <v>9581.2800000000007</v>
      </c>
      <c r="AZ104" s="162">
        <v>0</v>
      </c>
      <c r="BA104" s="162">
        <v>0</v>
      </c>
      <c r="BB104" s="162">
        <v>0</v>
      </c>
      <c r="BC104" s="162">
        <f t="shared" si="16"/>
        <v>1211131.5399999998</v>
      </c>
      <c r="BD104" s="162">
        <f t="shared" si="17"/>
        <v>-69944.759999999544</v>
      </c>
      <c r="BE104" s="162">
        <v>111852.81</v>
      </c>
      <c r="BF104" s="162">
        <f t="shared" si="18"/>
        <v>41908.050000000454</v>
      </c>
      <c r="BG104" s="162">
        <v>0</v>
      </c>
      <c r="BH104" s="162">
        <v>0</v>
      </c>
      <c r="BI104" s="162">
        <f t="shared" si="19"/>
        <v>0</v>
      </c>
      <c r="BJ104" s="162">
        <v>0</v>
      </c>
      <c r="BK104" s="162">
        <v>0</v>
      </c>
      <c r="BL104" s="162">
        <f t="shared" si="20"/>
        <v>0</v>
      </c>
      <c r="BM104" s="162">
        <f t="shared" si="21"/>
        <v>0</v>
      </c>
      <c r="BN104" s="162">
        <v>0</v>
      </c>
      <c r="BO104" s="162">
        <f t="shared" si="22"/>
        <v>0</v>
      </c>
      <c r="BP104" s="162">
        <v>2280</v>
      </c>
      <c r="BQ104" s="162">
        <v>39628.050000000454</v>
      </c>
      <c r="BR104" s="162">
        <v>0</v>
      </c>
      <c r="BS104" s="162">
        <f t="shared" si="23"/>
        <v>41908.050000000454</v>
      </c>
      <c r="BT104" s="162">
        <v>310263.5</v>
      </c>
      <c r="BU104" s="162">
        <v>140584.35999999999</v>
      </c>
      <c r="BV104" s="162">
        <v>0</v>
      </c>
      <c r="BW104" s="162">
        <f t="shared" si="24"/>
        <v>450847.86</v>
      </c>
      <c r="BX104" s="162">
        <v>0</v>
      </c>
      <c r="BY104" s="162">
        <v>382337.75</v>
      </c>
      <c r="BZ104" s="162">
        <v>0</v>
      </c>
      <c r="CA104" s="162">
        <v>0</v>
      </c>
      <c r="CB104" s="162">
        <f t="shared" si="25"/>
        <v>382337.75</v>
      </c>
      <c r="CC104" s="162">
        <f t="shared" si="26"/>
        <v>68510.109999999986</v>
      </c>
      <c r="CD104" s="162">
        <v>23620.15</v>
      </c>
      <c r="CE104" s="162">
        <f t="shared" si="27"/>
        <v>92130.25999999998</v>
      </c>
    </row>
    <row r="105" spans="1:83" ht="13.8">
      <c r="A105" s="310">
        <v>2443</v>
      </c>
      <c r="B105" s="303" t="s">
        <v>468</v>
      </c>
      <c r="C105" s="25" t="s">
        <v>264</v>
      </c>
      <c r="D105" s="162">
        <v>1983341.85</v>
      </c>
      <c r="E105" s="162">
        <v>0</v>
      </c>
      <c r="F105" s="162">
        <v>135319.26999999999</v>
      </c>
      <c r="G105" s="162">
        <v>0</v>
      </c>
      <c r="H105" s="162">
        <v>74662.5</v>
      </c>
      <c r="I105" s="162">
        <v>7344.57</v>
      </c>
      <c r="J105" s="162">
        <v>0</v>
      </c>
      <c r="K105" s="162">
        <v>42948.05</v>
      </c>
      <c r="L105" s="162">
        <v>8962.06</v>
      </c>
      <c r="M105" s="162">
        <v>37573.300000000003</v>
      </c>
      <c r="N105" s="162">
        <v>900</v>
      </c>
      <c r="O105" s="162">
        <v>0</v>
      </c>
      <c r="P105" s="162">
        <v>23428.05</v>
      </c>
      <c r="Q105" s="162">
        <v>8425.93</v>
      </c>
      <c r="R105" s="162">
        <v>0</v>
      </c>
      <c r="S105" s="162">
        <v>0</v>
      </c>
      <c r="T105" s="162">
        <v>0</v>
      </c>
      <c r="U105" s="162">
        <v>-419.37</v>
      </c>
      <c r="V105" s="162">
        <v>88865</v>
      </c>
      <c r="W105" s="162">
        <f t="shared" si="15"/>
        <v>2411351.2099999995</v>
      </c>
      <c r="X105" s="162">
        <v>1123876.8899999999</v>
      </c>
      <c r="Y105" s="162">
        <v>26302.240000000002</v>
      </c>
      <c r="Z105" s="162">
        <v>661676.23</v>
      </c>
      <c r="AA105" s="162">
        <v>59661.14</v>
      </c>
      <c r="AB105" s="162">
        <v>101275.97</v>
      </c>
      <c r="AC105" s="162">
        <v>0</v>
      </c>
      <c r="AD105" s="162">
        <v>38968.019999999997</v>
      </c>
      <c r="AE105" s="162">
        <v>8704.77</v>
      </c>
      <c r="AF105" s="162">
        <v>4008.27</v>
      </c>
      <c r="AG105" s="162">
        <v>0</v>
      </c>
      <c r="AH105" s="162">
        <v>0</v>
      </c>
      <c r="AI105" s="162">
        <v>8927.8700000000008</v>
      </c>
      <c r="AJ105" s="162">
        <v>1742.81</v>
      </c>
      <c r="AK105" s="162">
        <v>4330.1499999999996</v>
      </c>
      <c r="AL105" s="162">
        <v>10480.58</v>
      </c>
      <c r="AM105" s="162">
        <v>36652.33</v>
      </c>
      <c r="AN105" s="162">
        <v>55146</v>
      </c>
      <c r="AO105" s="162">
        <v>9969.98</v>
      </c>
      <c r="AP105" s="162">
        <v>56195.33</v>
      </c>
      <c r="AQ105" s="162">
        <v>37806.720000000001</v>
      </c>
      <c r="AR105" s="162">
        <v>0</v>
      </c>
      <c r="AS105" s="162">
        <v>13808.36</v>
      </c>
      <c r="AT105" s="162">
        <v>7601.77</v>
      </c>
      <c r="AU105" s="162">
        <v>0</v>
      </c>
      <c r="AV105" s="162">
        <v>114592.18</v>
      </c>
      <c r="AW105" s="162">
        <v>37525.019999999997</v>
      </c>
      <c r="AX105" s="162">
        <v>20810</v>
      </c>
      <c r="AY105" s="162">
        <v>11173.09</v>
      </c>
      <c r="AZ105" s="162">
        <v>0</v>
      </c>
      <c r="BA105" s="162">
        <v>2627.85</v>
      </c>
      <c r="BB105" s="162">
        <v>6987.64</v>
      </c>
      <c r="BC105" s="162">
        <f t="shared" si="16"/>
        <v>2460851.2100000004</v>
      </c>
      <c r="BD105" s="162">
        <f t="shared" si="17"/>
        <v>-49500.000000000931</v>
      </c>
      <c r="BE105" s="162">
        <v>147125.82</v>
      </c>
      <c r="BF105" s="162">
        <f t="shared" si="18"/>
        <v>97625.819999999076</v>
      </c>
      <c r="BG105" s="162">
        <v>0</v>
      </c>
      <c r="BH105" s="162">
        <v>0</v>
      </c>
      <c r="BI105" s="162">
        <f t="shared" si="19"/>
        <v>0</v>
      </c>
      <c r="BJ105" s="162">
        <v>0</v>
      </c>
      <c r="BK105" s="162">
        <v>0</v>
      </c>
      <c r="BL105" s="162">
        <f t="shared" si="20"/>
        <v>0</v>
      </c>
      <c r="BM105" s="162">
        <f t="shared" si="21"/>
        <v>0</v>
      </c>
      <c r="BN105" s="162">
        <v>0</v>
      </c>
      <c r="BO105" s="162">
        <f t="shared" si="22"/>
        <v>0</v>
      </c>
      <c r="BP105" s="162">
        <v>0</v>
      </c>
      <c r="BQ105" s="162">
        <v>97625.819999999541</v>
      </c>
      <c r="BR105" s="162">
        <v>0</v>
      </c>
      <c r="BS105" s="162">
        <f t="shared" si="23"/>
        <v>97625.819999999541</v>
      </c>
      <c r="BT105" s="162">
        <v>14555.99</v>
      </c>
      <c r="BU105" s="162">
        <v>0</v>
      </c>
      <c r="BV105" s="162">
        <v>0</v>
      </c>
      <c r="BW105" s="162">
        <f t="shared" si="24"/>
        <v>14555.99</v>
      </c>
      <c r="BX105" s="162">
        <v>0</v>
      </c>
      <c r="BY105" s="162">
        <v>1114.2</v>
      </c>
      <c r="BZ105" s="162">
        <v>0</v>
      </c>
      <c r="CA105" s="162">
        <v>4007</v>
      </c>
      <c r="CB105" s="162">
        <f t="shared" si="25"/>
        <v>5121.2</v>
      </c>
      <c r="CC105" s="162">
        <f t="shared" si="26"/>
        <v>9434.7900000000009</v>
      </c>
      <c r="CD105" s="162">
        <v>11040.65</v>
      </c>
      <c r="CE105" s="162">
        <f t="shared" si="27"/>
        <v>20475.440000000002</v>
      </c>
    </row>
    <row r="106" spans="1:83" ht="13.8">
      <c r="A106" s="310">
        <v>3052</v>
      </c>
      <c r="B106" s="303" t="s">
        <v>470</v>
      </c>
      <c r="C106" s="25" t="s">
        <v>264</v>
      </c>
      <c r="D106" s="162">
        <v>1394470.75</v>
      </c>
      <c r="E106" s="162">
        <v>0</v>
      </c>
      <c r="F106" s="162">
        <v>126198.43</v>
      </c>
      <c r="G106" s="162">
        <v>0</v>
      </c>
      <c r="H106" s="162">
        <v>65255</v>
      </c>
      <c r="I106" s="162">
        <v>0</v>
      </c>
      <c r="J106" s="162">
        <v>0</v>
      </c>
      <c r="K106" s="162">
        <v>7589.75</v>
      </c>
      <c r="L106" s="162">
        <v>74419.67</v>
      </c>
      <c r="M106" s="162">
        <v>22293.67</v>
      </c>
      <c r="N106" s="162">
        <v>0</v>
      </c>
      <c r="O106" s="162">
        <v>0</v>
      </c>
      <c r="P106" s="162">
        <v>15650.81</v>
      </c>
      <c r="Q106" s="162">
        <v>30986.37</v>
      </c>
      <c r="R106" s="162">
        <v>0</v>
      </c>
      <c r="S106" s="162">
        <v>0</v>
      </c>
      <c r="T106" s="162">
        <v>0</v>
      </c>
      <c r="U106" s="162">
        <v>-176.87</v>
      </c>
      <c r="V106" s="162">
        <v>55600</v>
      </c>
      <c r="W106" s="162">
        <f t="shared" si="15"/>
        <v>1792287.5799999998</v>
      </c>
      <c r="X106" s="162">
        <v>873593.69</v>
      </c>
      <c r="Y106" s="162">
        <v>13237.19</v>
      </c>
      <c r="Z106" s="162">
        <v>369896.03</v>
      </c>
      <c r="AA106" s="162">
        <v>67086.67</v>
      </c>
      <c r="AB106" s="162">
        <v>69305.23</v>
      </c>
      <c r="AC106" s="162">
        <v>51747.08</v>
      </c>
      <c r="AD106" s="162">
        <v>0</v>
      </c>
      <c r="AE106" s="162">
        <v>7325.08</v>
      </c>
      <c r="AF106" s="162">
        <v>5378.92</v>
      </c>
      <c r="AG106" s="162">
        <v>6175</v>
      </c>
      <c r="AH106" s="162">
        <v>500</v>
      </c>
      <c r="AI106" s="162">
        <v>21721.72</v>
      </c>
      <c r="AJ106" s="162">
        <v>4351.5600000000004</v>
      </c>
      <c r="AK106" s="162">
        <v>5293.31</v>
      </c>
      <c r="AL106" s="162">
        <v>5730.66</v>
      </c>
      <c r="AM106" s="162">
        <v>25894.38</v>
      </c>
      <c r="AN106" s="162">
        <v>35490</v>
      </c>
      <c r="AO106" s="162">
        <v>24595.73</v>
      </c>
      <c r="AP106" s="162">
        <v>85960.87</v>
      </c>
      <c r="AQ106" s="162">
        <v>29882.57</v>
      </c>
      <c r="AR106" s="162">
        <v>0</v>
      </c>
      <c r="AS106" s="162">
        <v>17255.89</v>
      </c>
      <c r="AT106" s="162">
        <v>5778.95</v>
      </c>
      <c r="AU106" s="162">
        <v>1475.73</v>
      </c>
      <c r="AV106" s="162">
        <v>27110.67</v>
      </c>
      <c r="AW106" s="162">
        <v>3283.12</v>
      </c>
      <c r="AX106" s="162">
        <v>7753.85</v>
      </c>
      <c r="AY106" s="162">
        <v>21061.22</v>
      </c>
      <c r="AZ106" s="162">
        <v>0</v>
      </c>
      <c r="BA106" s="162">
        <v>1997.7</v>
      </c>
      <c r="BB106" s="162">
        <v>5652.84</v>
      </c>
      <c r="BC106" s="162">
        <f t="shared" si="16"/>
        <v>1794535.6599999997</v>
      </c>
      <c r="BD106" s="162">
        <f t="shared" si="17"/>
        <v>-2248.0799999998417</v>
      </c>
      <c r="BE106" s="162">
        <v>34661.230000000003</v>
      </c>
      <c r="BF106" s="162">
        <f t="shared" si="18"/>
        <v>32413.150000000162</v>
      </c>
      <c r="BG106" s="162">
        <v>0</v>
      </c>
      <c r="BH106" s="162">
        <v>269440.39</v>
      </c>
      <c r="BI106" s="162">
        <f t="shared" si="19"/>
        <v>269440.39</v>
      </c>
      <c r="BJ106" s="162">
        <v>223383.87</v>
      </c>
      <c r="BK106" s="162">
        <v>22635.64</v>
      </c>
      <c r="BL106" s="162">
        <f t="shared" si="20"/>
        <v>246019.51</v>
      </c>
      <c r="BM106" s="162">
        <f t="shared" si="21"/>
        <v>23420.880000000005</v>
      </c>
      <c r="BN106" s="162">
        <v>27038.22</v>
      </c>
      <c r="BO106" s="162">
        <f t="shared" si="22"/>
        <v>50459.100000000006</v>
      </c>
      <c r="BP106" s="162">
        <v>13146.26</v>
      </c>
      <c r="BQ106" s="162">
        <v>19266.889999999927</v>
      </c>
      <c r="BR106" s="162">
        <v>50459.100000000006</v>
      </c>
      <c r="BS106" s="162">
        <f t="shared" si="23"/>
        <v>82872.249999999927</v>
      </c>
      <c r="BT106" s="162">
        <v>6868.75</v>
      </c>
      <c r="BU106" s="162">
        <v>0</v>
      </c>
      <c r="BV106" s="162">
        <v>0</v>
      </c>
      <c r="BW106" s="162">
        <f t="shared" si="24"/>
        <v>6868.75</v>
      </c>
      <c r="BX106" s="162">
        <v>0</v>
      </c>
      <c r="BY106" s="162">
        <v>2216</v>
      </c>
      <c r="BZ106" s="162">
        <v>0</v>
      </c>
      <c r="CA106" s="162">
        <v>6378.36</v>
      </c>
      <c r="CB106" s="162">
        <f t="shared" si="25"/>
        <v>8594.36</v>
      </c>
      <c r="CC106" s="162">
        <f t="shared" si="26"/>
        <v>-1725.6100000000006</v>
      </c>
      <c r="CD106" s="162">
        <v>1725.61</v>
      </c>
      <c r="CE106" s="162">
        <f t="shared" si="27"/>
        <v>0</v>
      </c>
    </row>
    <row r="107" spans="1:83" ht="13.8">
      <c r="A107" s="310">
        <v>2046</v>
      </c>
      <c r="B107" s="303" t="s">
        <v>472</v>
      </c>
      <c r="C107" s="25" t="s">
        <v>264</v>
      </c>
      <c r="D107" s="162">
        <v>1532317.63</v>
      </c>
      <c r="E107" s="162">
        <v>0</v>
      </c>
      <c r="F107" s="162">
        <v>81312.84</v>
      </c>
      <c r="G107" s="162">
        <v>0</v>
      </c>
      <c r="H107" s="162">
        <v>47600</v>
      </c>
      <c r="I107" s="162">
        <v>1200</v>
      </c>
      <c r="J107" s="162">
        <v>0</v>
      </c>
      <c r="K107" s="162">
        <v>4477.5</v>
      </c>
      <c r="L107" s="162">
        <v>137300.6</v>
      </c>
      <c r="M107" s="162">
        <v>27234.89</v>
      </c>
      <c r="N107" s="162">
        <v>11222</v>
      </c>
      <c r="O107" s="162">
        <v>8366.0400000000009</v>
      </c>
      <c r="P107" s="162">
        <v>27896.25</v>
      </c>
      <c r="Q107" s="162">
        <v>4526.21</v>
      </c>
      <c r="R107" s="162">
        <v>0</v>
      </c>
      <c r="S107" s="162">
        <v>0</v>
      </c>
      <c r="T107" s="162">
        <v>0</v>
      </c>
      <c r="U107" s="162">
        <v>1569.38</v>
      </c>
      <c r="V107" s="162">
        <v>69549</v>
      </c>
      <c r="W107" s="162">
        <f t="shared" si="15"/>
        <v>1954572.3399999999</v>
      </c>
      <c r="X107" s="162">
        <v>1051566.96</v>
      </c>
      <c r="Y107" s="162">
        <v>23958.48</v>
      </c>
      <c r="Z107" s="162">
        <v>301208.56</v>
      </c>
      <c r="AA107" s="162">
        <v>76083.25</v>
      </c>
      <c r="AB107" s="162">
        <v>103288.28</v>
      </c>
      <c r="AC107" s="162">
        <v>0</v>
      </c>
      <c r="AD107" s="162">
        <v>28726.52</v>
      </c>
      <c r="AE107" s="162">
        <v>7748.93</v>
      </c>
      <c r="AF107" s="162">
        <v>8858.85</v>
      </c>
      <c r="AG107" s="162">
        <v>7625</v>
      </c>
      <c r="AH107" s="162">
        <v>1456.25</v>
      </c>
      <c r="AI107" s="162">
        <v>7746.09</v>
      </c>
      <c r="AJ107" s="162">
        <v>41.2</v>
      </c>
      <c r="AK107" s="162">
        <v>5836.72</v>
      </c>
      <c r="AL107" s="162">
        <v>3908.38</v>
      </c>
      <c r="AM107" s="162">
        <v>27494.45</v>
      </c>
      <c r="AN107" s="162">
        <v>45318</v>
      </c>
      <c r="AO107" s="162">
        <v>6689.24</v>
      </c>
      <c r="AP107" s="162">
        <v>62622.3</v>
      </c>
      <c r="AQ107" s="162">
        <v>32476.800000000003</v>
      </c>
      <c r="AR107" s="162">
        <v>0</v>
      </c>
      <c r="AS107" s="162">
        <v>6477.39</v>
      </c>
      <c r="AT107" s="162">
        <v>6144.24</v>
      </c>
      <c r="AU107" s="162">
        <v>0</v>
      </c>
      <c r="AV107" s="162">
        <v>77812.210000000006</v>
      </c>
      <c r="AW107" s="162">
        <v>5538.57</v>
      </c>
      <c r="AX107" s="162">
        <v>3910</v>
      </c>
      <c r="AY107" s="162">
        <v>14717.56</v>
      </c>
      <c r="AZ107" s="162">
        <v>0</v>
      </c>
      <c r="BA107" s="162">
        <v>1375.62</v>
      </c>
      <c r="BB107" s="162">
        <v>10574.41</v>
      </c>
      <c r="BC107" s="162">
        <f t="shared" si="16"/>
        <v>1929204.26</v>
      </c>
      <c r="BD107" s="162">
        <f t="shared" si="17"/>
        <v>25368.079999999842</v>
      </c>
      <c r="BE107" s="162">
        <v>99109.57</v>
      </c>
      <c r="BF107" s="162">
        <f t="shared" si="18"/>
        <v>124477.64999999985</v>
      </c>
      <c r="BG107" s="162">
        <v>157706.09</v>
      </c>
      <c r="BH107" s="162">
        <v>136105.10999999999</v>
      </c>
      <c r="BI107" s="162">
        <f t="shared" si="19"/>
        <v>293811.19999999995</v>
      </c>
      <c r="BJ107" s="162">
        <v>200507</v>
      </c>
      <c r="BK107" s="162">
        <v>83540.800000000003</v>
      </c>
      <c r="BL107" s="162">
        <f t="shared" si="20"/>
        <v>284047.8</v>
      </c>
      <c r="BM107" s="162">
        <f t="shared" si="21"/>
        <v>9763.3999999999651</v>
      </c>
      <c r="BN107" s="162">
        <v>56106.51</v>
      </c>
      <c r="BO107" s="162">
        <f t="shared" si="22"/>
        <v>65869.909999999974</v>
      </c>
      <c r="BP107" s="162">
        <v>8823.4499999999989</v>
      </c>
      <c r="BQ107" s="162">
        <v>115654.19999999985</v>
      </c>
      <c r="BR107" s="162">
        <v>65869.909999999974</v>
      </c>
      <c r="BS107" s="162">
        <f t="shared" si="23"/>
        <v>190347.55999999982</v>
      </c>
      <c r="BT107" s="162">
        <v>7408.75</v>
      </c>
      <c r="BU107" s="162">
        <v>0</v>
      </c>
      <c r="BV107" s="162">
        <v>6586.47</v>
      </c>
      <c r="BW107" s="162">
        <f t="shared" si="24"/>
        <v>13995.220000000001</v>
      </c>
      <c r="BX107" s="162">
        <v>0</v>
      </c>
      <c r="BY107" s="162">
        <v>6586.47</v>
      </c>
      <c r="BZ107" s="162">
        <v>0</v>
      </c>
      <c r="CA107" s="162">
        <v>0</v>
      </c>
      <c r="CB107" s="162">
        <f t="shared" si="25"/>
        <v>6586.47</v>
      </c>
      <c r="CC107" s="162">
        <f t="shared" si="26"/>
        <v>7408.7500000000009</v>
      </c>
      <c r="CD107" s="162">
        <v>2075.4299999999998</v>
      </c>
      <c r="CE107" s="162">
        <f t="shared" si="27"/>
        <v>9484.18</v>
      </c>
    </row>
    <row r="108" spans="1:83" ht="13.8">
      <c r="A108" s="310">
        <v>3325</v>
      </c>
      <c r="B108" s="303" t="s">
        <v>474</v>
      </c>
      <c r="C108" s="25" t="s">
        <v>264</v>
      </c>
      <c r="D108" s="162">
        <v>991960.36</v>
      </c>
      <c r="E108" s="162">
        <v>0</v>
      </c>
      <c r="F108" s="162">
        <v>96533.77</v>
      </c>
      <c r="G108" s="162">
        <v>0</v>
      </c>
      <c r="H108" s="162">
        <v>111253</v>
      </c>
      <c r="I108" s="162">
        <v>2099.86</v>
      </c>
      <c r="J108" s="162">
        <v>0</v>
      </c>
      <c r="K108" s="162">
        <v>4590</v>
      </c>
      <c r="L108" s="162">
        <v>31046.62</v>
      </c>
      <c r="M108" s="162">
        <v>16466.400000000001</v>
      </c>
      <c r="N108" s="162">
        <v>0</v>
      </c>
      <c r="O108" s="162">
        <v>0</v>
      </c>
      <c r="P108" s="162">
        <v>17245.5</v>
      </c>
      <c r="Q108" s="162">
        <v>13493.57</v>
      </c>
      <c r="R108" s="162">
        <v>0</v>
      </c>
      <c r="S108" s="162">
        <v>0</v>
      </c>
      <c r="T108" s="162">
        <v>0</v>
      </c>
      <c r="U108" s="162">
        <v>-234.37</v>
      </c>
      <c r="V108" s="162">
        <v>40575</v>
      </c>
      <c r="W108" s="162">
        <f t="shared" si="15"/>
        <v>1325029.71</v>
      </c>
      <c r="X108" s="162">
        <v>615961.41</v>
      </c>
      <c r="Y108" s="162">
        <v>0</v>
      </c>
      <c r="Z108" s="162">
        <v>313585.15000000002</v>
      </c>
      <c r="AA108" s="162">
        <v>0</v>
      </c>
      <c r="AB108" s="162">
        <v>74704.509999999995</v>
      </c>
      <c r="AC108" s="162">
        <v>0</v>
      </c>
      <c r="AD108" s="162">
        <v>40316.6</v>
      </c>
      <c r="AE108" s="162">
        <v>344.7</v>
      </c>
      <c r="AF108" s="162">
        <v>6383.21</v>
      </c>
      <c r="AG108" s="162">
        <v>4375</v>
      </c>
      <c r="AH108" s="162">
        <v>0</v>
      </c>
      <c r="AI108" s="162">
        <v>10117.549999999999</v>
      </c>
      <c r="AJ108" s="162">
        <v>3825.82</v>
      </c>
      <c r="AK108" s="162">
        <v>28138.21</v>
      </c>
      <c r="AL108" s="162">
        <v>3858.38</v>
      </c>
      <c r="AM108" s="162">
        <v>25799.99</v>
      </c>
      <c r="AN108" s="162">
        <v>4391.2</v>
      </c>
      <c r="AO108" s="162">
        <v>6805.52</v>
      </c>
      <c r="AP108" s="162">
        <v>33334.01</v>
      </c>
      <c r="AQ108" s="162">
        <v>25147.71</v>
      </c>
      <c r="AR108" s="162">
        <v>0</v>
      </c>
      <c r="AS108" s="162">
        <v>9825.39</v>
      </c>
      <c r="AT108" s="162">
        <v>3841.54</v>
      </c>
      <c r="AU108" s="162">
        <v>1112.75</v>
      </c>
      <c r="AV108" s="162">
        <v>61399.16</v>
      </c>
      <c r="AW108" s="162">
        <v>3951.15</v>
      </c>
      <c r="AX108" s="162">
        <v>67887.42</v>
      </c>
      <c r="AY108" s="162">
        <v>25540</v>
      </c>
      <c r="AZ108" s="162">
        <v>0</v>
      </c>
      <c r="BA108" s="162">
        <v>0</v>
      </c>
      <c r="BB108" s="162">
        <v>2130.3200000000002</v>
      </c>
      <c r="BC108" s="162">
        <f t="shared" si="16"/>
        <v>1372776.6999999997</v>
      </c>
      <c r="BD108" s="162">
        <f t="shared" si="17"/>
        <v>-47746.989999999758</v>
      </c>
      <c r="BE108" s="162">
        <v>104430.42</v>
      </c>
      <c r="BF108" s="162">
        <f t="shared" si="18"/>
        <v>56683.43000000024</v>
      </c>
      <c r="BG108" s="162">
        <v>40941.83</v>
      </c>
      <c r="BH108" s="162">
        <v>8373.0499999999993</v>
      </c>
      <c r="BI108" s="162">
        <f t="shared" si="19"/>
        <v>49314.880000000005</v>
      </c>
      <c r="BJ108" s="162">
        <v>46607.35</v>
      </c>
      <c r="BK108" s="162">
        <v>9817.66</v>
      </c>
      <c r="BL108" s="162">
        <f t="shared" si="20"/>
        <v>56425.009999999995</v>
      </c>
      <c r="BM108" s="162">
        <f t="shared" si="21"/>
        <v>-7110.1299999999901</v>
      </c>
      <c r="BN108" s="162">
        <v>275.14000000000033</v>
      </c>
      <c r="BO108" s="162">
        <f t="shared" si="22"/>
        <v>-6834.9899999999898</v>
      </c>
      <c r="BP108" s="162">
        <v>2829.24</v>
      </c>
      <c r="BQ108" s="162">
        <v>46843.910000000011</v>
      </c>
      <c r="BR108" s="162">
        <v>175.29000000000974</v>
      </c>
      <c r="BS108" s="162">
        <f t="shared" si="23"/>
        <v>49848.440000000017</v>
      </c>
      <c r="BT108" s="162">
        <v>0</v>
      </c>
      <c r="BU108" s="162">
        <v>0</v>
      </c>
      <c r="BV108" s="162">
        <v>0</v>
      </c>
      <c r="BW108" s="162">
        <f t="shared" si="24"/>
        <v>0</v>
      </c>
      <c r="BX108" s="162">
        <v>0</v>
      </c>
      <c r="BY108" s="162">
        <v>0</v>
      </c>
      <c r="BZ108" s="162">
        <v>0</v>
      </c>
      <c r="CA108" s="162">
        <v>0</v>
      </c>
      <c r="CB108" s="162">
        <f t="shared" si="25"/>
        <v>0</v>
      </c>
      <c r="CC108" s="162">
        <f t="shared" si="26"/>
        <v>0</v>
      </c>
      <c r="CD108" s="162">
        <v>0</v>
      </c>
      <c r="CE108" s="162">
        <f t="shared" si="27"/>
        <v>0</v>
      </c>
    </row>
    <row r="109" spans="1:83" ht="13.8">
      <c r="A109" s="310">
        <v>1001</v>
      </c>
      <c r="B109" s="303" t="s">
        <v>476</v>
      </c>
      <c r="C109" s="25" t="s">
        <v>295</v>
      </c>
      <c r="D109" s="162">
        <v>479339.93</v>
      </c>
      <c r="E109" s="162">
        <v>0</v>
      </c>
      <c r="F109" s="162">
        <v>8167.01</v>
      </c>
      <c r="G109" s="162">
        <v>0</v>
      </c>
      <c r="H109" s="162">
        <v>0</v>
      </c>
      <c r="I109" s="162">
        <v>0</v>
      </c>
      <c r="J109" s="162">
        <v>0</v>
      </c>
      <c r="K109" s="162">
        <v>5459.18</v>
      </c>
      <c r="L109" s="162">
        <v>21135.78</v>
      </c>
      <c r="M109" s="162">
        <v>38312.76</v>
      </c>
      <c r="N109" s="162">
        <v>0</v>
      </c>
      <c r="O109" s="162">
        <v>0</v>
      </c>
      <c r="P109" s="162">
        <v>68186.179999999993</v>
      </c>
      <c r="Q109" s="162">
        <v>3772.47</v>
      </c>
      <c r="R109" s="162">
        <v>0</v>
      </c>
      <c r="S109" s="162">
        <v>0</v>
      </c>
      <c r="T109" s="162">
        <v>0</v>
      </c>
      <c r="U109" s="162">
        <v>0</v>
      </c>
      <c r="V109" s="162">
        <v>0</v>
      </c>
      <c r="W109" s="162">
        <f t="shared" si="15"/>
        <v>624373.31000000006</v>
      </c>
      <c r="X109" s="162">
        <v>166916.14000000001</v>
      </c>
      <c r="Y109" s="162">
        <v>0</v>
      </c>
      <c r="Z109" s="162">
        <v>301145.8</v>
      </c>
      <c r="AA109" s="162">
        <v>0</v>
      </c>
      <c r="AB109" s="162">
        <v>32034.49</v>
      </c>
      <c r="AC109" s="162">
        <v>54458.26</v>
      </c>
      <c r="AD109" s="162">
        <v>4953.72</v>
      </c>
      <c r="AE109" s="162">
        <v>6166.2</v>
      </c>
      <c r="AF109" s="162">
        <v>810.66</v>
      </c>
      <c r="AG109" s="162">
        <v>1300</v>
      </c>
      <c r="AH109" s="162">
        <v>0</v>
      </c>
      <c r="AI109" s="162">
        <v>19145.46</v>
      </c>
      <c r="AJ109" s="162">
        <v>1887.64</v>
      </c>
      <c r="AK109" s="162">
        <v>19378.34</v>
      </c>
      <c r="AL109" s="162">
        <v>4000.02</v>
      </c>
      <c r="AM109" s="162">
        <v>6000</v>
      </c>
      <c r="AN109" s="162">
        <v>14595.75</v>
      </c>
      <c r="AO109" s="162">
        <v>1170</v>
      </c>
      <c r="AP109" s="162">
        <v>4338.53</v>
      </c>
      <c r="AQ109" s="162">
        <v>4690.6400000000003</v>
      </c>
      <c r="AR109" s="162">
        <v>0</v>
      </c>
      <c r="AS109" s="162">
        <v>4095.32</v>
      </c>
      <c r="AT109" s="162">
        <v>1178.95</v>
      </c>
      <c r="AU109" s="162">
        <v>0</v>
      </c>
      <c r="AV109" s="162">
        <v>13581.32</v>
      </c>
      <c r="AW109" s="162">
        <v>0</v>
      </c>
      <c r="AX109" s="162">
        <v>0</v>
      </c>
      <c r="AY109" s="162">
        <v>8246.82</v>
      </c>
      <c r="AZ109" s="162">
        <v>0</v>
      </c>
      <c r="BA109" s="162">
        <v>0</v>
      </c>
      <c r="BB109" s="162">
        <v>0</v>
      </c>
      <c r="BC109" s="162">
        <f t="shared" si="16"/>
        <v>670094.05999999971</v>
      </c>
      <c r="BD109" s="162">
        <f t="shared" si="17"/>
        <v>-45720.749999999651</v>
      </c>
      <c r="BE109" s="162">
        <v>-138176.35999999999</v>
      </c>
      <c r="BF109" s="162">
        <f t="shared" si="18"/>
        <v>-183897.10999999964</v>
      </c>
      <c r="BG109" s="162">
        <v>70278.28</v>
      </c>
      <c r="BH109" s="162">
        <v>0</v>
      </c>
      <c r="BI109" s="162">
        <f t="shared" si="19"/>
        <v>70278.28</v>
      </c>
      <c r="BJ109" s="162">
        <v>41227.99</v>
      </c>
      <c r="BK109" s="162">
        <v>21882.05</v>
      </c>
      <c r="BL109" s="162">
        <f t="shared" si="20"/>
        <v>63110.039999999994</v>
      </c>
      <c r="BM109" s="162">
        <f t="shared" si="21"/>
        <v>7168.2400000000052</v>
      </c>
      <c r="BN109" s="162">
        <v>-7991.65</v>
      </c>
      <c r="BO109" s="162">
        <f t="shared" si="22"/>
        <v>-823.4099999999944</v>
      </c>
      <c r="BP109" s="162">
        <v>0</v>
      </c>
      <c r="BQ109" s="162">
        <v>-183897.10999999964</v>
      </c>
      <c r="BR109" s="162">
        <v>-823.4099999999944</v>
      </c>
      <c r="BS109" s="162">
        <f t="shared" si="23"/>
        <v>-184720.51999999964</v>
      </c>
      <c r="BT109" s="162">
        <v>4561.6000000000004</v>
      </c>
      <c r="BU109" s="162">
        <v>0</v>
      </c>
      <c r="BV109" s="162">
        <v>0</v>
      </c>
      <c r="BW109" s="162">
        <f t="shared" si="24"/>
        <v>4561.6000000000004</v>
      </c>
      <c r="BX109" s="162">
        <v>0</v>
      </c>
      <c r="BY109" s="162">
        <v>0</v>
      </c>
      <c r="BZ109" s="162">
        <v>0</v>
      </c>
      <c r="CA109" s="162">
        <v>0</v>
      </c>
      <c r="CB109" s="162">
        <f t="shared" si="25"/>
        <v>0</v>
      </c>
      <c r="CC109" s="162">
        <f t="shared" si="26"/>
        <v>4561.6000000000004</v>
      </c>
      <c r="CD109" s="162">
        <v>32548.23</v>
      </c>
      <c r="CE109" s="162">
        <f t="shared" si="27"/>
        <v>37109.83</v>
      </c>
    </row>
    <row r="110" spans="1:83" ht="13.8">
      <c r="A110" s="310">
        <v>2123</v>
      </c>
      <c r="B110" s="303" t="s">
        <v>478</v>
      </c>
      <c r="C110" s="25" t="s">
        <v>264</v>
      </c>
      <c r="D110" s="162">
        <v>1255071.04</v>
      </c>
      <c r="E110" s="162">
        <v>0</v>
      </c>
      <c r="F110" s="162">
        <v>147407.99</v>
      </c>
      <c r="G110" s="162">
        <v>0</v>
      </c>
      <c r="H110" s="162">
        <v>119760</v>
      </c>
      <c r="I110" s="162">
        <v>3256.93</v>
      </c>
      <c r="J110" s="162">
        <v>0</v>
      </c>
      <c r="K110" s="162">
        <v>74151.08</v>
      </c>
      <c r="L110" s="162">
        <v>54456.7</v>
      </c>
      <c r="M110" s="162">
        <v>17514.03</v>
      </c>
      <c r="N110" s="162">
        <v>0</v>
      </c>
      <c r="O110" s="162">
        <v>17031.8</v>
      </c>
      <c r="P110" s="162">
        <v>14550.92</v>
      </c>
      <c r="Q110" s="162">
        <v>11828.7</v>
      </c>
      <c r="R110" s="162">
        <v>0</v>
      </c>
      <c r="S110" s="162">
        <v>0</v>
      </c>
      <c r="T110" s="162">
        <v>0</v>
      </c>
      <c r="U110" s="162">
        <v>5150</v>
      </c>
      <c r="V110" s="162">
        <v>49119</v>
      </c>
      <c r="W110" s="162">
        <f t="shared" si="15"/>
        <v>1769298.19</v>
      </c>
      <c r="X110" s="162">
        <v>710951.49</v>
      </c>
      <c r="Y110" s="162">
        <v>0</v>
      </c>
      <c r="Z110" s="162">
        <v>436916.2</v>
      </c>
      <c r="AA110" s="162">
        <v>114991.43</v>
      </c>
      <c r="AB110" s="162">
        <v>60617.43</v>
      </c>
      <c r="AC110" s="162">
        <v>0</v>
      </c>
      <c r="AD110" s="162">
        <v>51159.65</v>
      </c>
      <c r="AE110" s="162">
        <v>6637.33</v>
      </c>
      <c r="AF110" s="162">
        <v>6430.87</v>
      </c>
      <c r="AG110" s="162">
        <v>5275</v>
      </c>
      <c r="AH110" s="162">
        <v>125</v>
      </c>
      <c r="AI110" s="162">
        <v>78954.45</v>
      </c>
      <c r="AJ110" s="162">
        <v>4116.5</v>
      </c>
      <c r="AK110" s="162">
        <v>5059.84</v>
      </c>
      <c r="AL110" s="162">
        <v>10370</v>
      </c>
      <c r="AM110" s="162">
        <v>42578.8</v>
      </c>
      <c r="AN110" s="162">
        <v>37401</v>
      </c>
      <c r="AO110" s="162">
        <v>13797.32</v>
      </c>
      <c r="AP110" s="162">
        <v>53294.98</v>
      </c>
      <c r="AQ110" s="162">
        <v>15487.66</v>
      </c>
      <c r="AR110" s="162">
        <v>0</v>
      </c>
      <c r="AS110" s="162">
        <v>23718.41</v>
      </c>
      <c r="AT110" s="162">
        <v>5473.56</v>
      </c>
      <c r="AU110" s="162">
        <v>6016.32</v>
      </c>
      <c r="AV110" s="162">
        <v>62881.97</v>
      </c>
      <c r="AW110" s="162">
        <v>2806.32</v>
      </c>
      <c r="AX110" s="162">
        <v>10111.85</v>
      </c>
      <c r="AY110" s="162">
        <v>59963.59</v>
      </c>
      <c r="AZ110" s="162">
        <v>0</v>
      </c>
      <c r="BA110" s="162">
        <v>0</v>
      </c>
      <c r="BB110" s="162">
        <v>12235.42</v>
      </c>
      <c r="BC110" s="162">
        <f t="shared" si="16"/>
        <v>1837372.3900000001</v>
      </c>
      <c r="BD110" s="162">
        <f t="shared" si="17"/>
        <v>-68074.200000000186</v>
      </c>
      <c r="BE110" s="162">
        <v>52993.74</v>
      </c>
      <c r="BF110" s="162">
        <f t="shared" si="18"/>
        <v>-15080.460000000188</v>
      </c>
      <c r="BG110" s="162">
        <v>123315.24</v>
      </c>
      <c r="BH110" s="162">
        <v>66526.94</v>
      </c>
      <c r="BI110" s="162">
        <f t="shared" si="19"/>
        <v>189842.18</v>
      </c>
      <c r="BJ110" s="162">
        <v>166689.87</v>
      </c>
      <c r="BK110" s="162">
        <v>0</v>
      </c>
      <c r="BL110" s="162">
        <f t="shared" si="20"/>
        <v>166689.87</v>
      </c>
      <c r="BM110" s="162">
        <f t="shared" si="21"/>
        <v>23152.309999999998</v>
      </c>
      <c r="BN110" s="162">
        <v>-27898.59</v>
      </c>
      <c r="BO110" s="162">
        <f t="shared" si="22"/>
        <v>-4746.2800000000025</v>
      </c>
      <c r="BP110" s="162">
        <v>4238.12</v>
      </c>
      <c r="BQ110" s="162">
        <v>-39568.290000000161</v>
      </c>
      <c r="BR110" s="162">
        <v>15503.43</v>
      </c>
      <c r="BS110" s="162">
        <f t="shared" si="23"/>
        <v>-19826.740000000162</v>
      </c>
      <c r="BT110" s="162">
        <v>6711.25</v>
      </c>
      <c r="BU110" s="162">
        <v>0</v>
      </c>
      <c r="BV110" s="162">
        <v>0</v>
      </c>
      <c r="BW110" s="162">
        <f t="shared" si="24"/>
        <v>6711.25</v>
      </c>
      <c r="BX110" s="162">
        <v>0</v>
      </c>
      <c r="BY110" s="162">
        <v>8233.69</v>
      </c>
      <c r="BZ110" s="162">
        <v>0</v>
      </c>
      <c r="CA110" s="162">
        <v>0</v>
      </c>
      <c r="CB110" s="162">
        <f t="shared" si="25"/>
        <v>8233.69</v>
      </c>
      <c r="CC110" s="162">
        <f t="shared" si="26"/>
        <v>-1522.4400000000005</v>
      </c>
      <c r="CD110" s="162">
        <v>2123.85</v>
      </c>
      <c r="CE110" s="162">
        <f t="shared" si="27"/>
        <v>601.4099999999994</v>
      </c>
    </row>
    <row r="111" spans="1:83" ht="13.8">
      <c r="A111" s="310">
        <v>2260</v>
      </c>
      <c r="B111" s="303" t="s">
        <v>480</v>
      </c>
      <c r="C111" s="25" t="s">
        <v>264</v>
      </c>
      <c r="D111" s="162">
        <v>451001.25</v>
      </c>
      <c r="E111" s="162">
        <v>0</v>
      </c>
      <c r="F111" s="162">
        <v>25741.200000000001</v>
      </c>
      <c r="G111" s="162">
        <v>0</v>
      </c>
      <c r="H111" s="162">
        <v>19240</v>
      </c>
      <c r="I111" s="162">
        <v>2056.9299999999998</v>
      </c>
      <c r="J111" s="162">
        <v>0</v>
      </c>
      <c r="K111" s="162">
        <v>0</v>
      </c>
      <c r="L111" s="162">
        <v>31298.52</v>
      </c>
      <c r="M111" s="162">
        <v>4343.5</v>
      </c>
      <c r="N111" s="162">
        <v>0</v>
      </c>
      <c r="O111" s="162">
        <v>0</v>
      </c>
      <c r="P111" s="162">
        <v>2053.6</v>
      </c>
      <c r="Q111" s="162">
        <v>3612.96</v>
      </c>
      <c r="R111" s="162">
        <v>0</v>
      </c>
      <c r="S111" s="162">
        <v>0</v>
      </c>
      <c r="T111" s="162">
        <v>0</v>
      </c>
      <c r="U111" s="162">
        <v>145.63</v>
      </c>
      <c r="V111" s="162">
        <v>25242</v>
      </c>
      <c r="W111" s="162">
        <f t="shared" si="15"/>
        <v>564735.59</v>
      </c>
      <c r="X111" s="162">
        <v>255851.17</v>
      </c>
      <c r="Y111" s="162">
        <v>2925.44</v>
      </c>
      <c r="Z111" s="162">
        <v>97230.24</v>
      </c>
      <c r="AA111" s="162">
        <v>0</v>
      </c>
      <c r="AB111" s="162">
        <v>40802.79</v>
      </c>
      <c r="AC111" s="162">
        <v>7493.66</v>
      </c>
      <c r="AD111" s="162">
        <v>29224.23</v>
      </c>
      <c r="AE111" s="162">
        <v>1896</v>
      </c>
      <c r="AF111" s="162">
        <v>677</v>
      </c>
      <c r="AG111" s="162">
        <v>1325</v>
      </c>
      <c r="AH111" s="162">
        <v>0</v>
      </c>
      <c r="AI111" s="162">
        <v>6176.55</v>
      </c>
      <c r="AJ111" s="162">
        <v>2235.31</v>
      </c>
      <c r="AK111" s="162">
        <v>17188.349999999999</v>
      </c>
      <c r="AL111" s="162">
        <v>1355.97</v>
      </c>
      <c r="AM111" s="162">
        <v>13142.77</v>
      </c>
      <c r="AN111" s="162">
        <v>12724.5</v>
      </c>
      <c r="AO111" s="162">
        <v>1773.44</v>
      </c>
      <c r="AP111" s="162">
        <v>10024.459999999999</v>
      </c>
      <c r="AQ111" s="162">
        <v>17165.32</v>
      </c>
      <c r="AR111" s="162">
        <v>0</v>
      </c>
      <c r="AS111" s="162">
        <v>2737.31</v>
      </c>
      <c r="AT111" s="162">
        <v>1539.38</v>
      </c>
      <c r="AU111" s="162">
        <v>4145.6499999999996</v>
      </c>
      <c r="AV111" s="162">
        <v>17386.060000000001</v>
      </c>
      <c r="AW111" s="162">
        <v>6722.25</v>
      </c>
      <c r="AX111" s="162">
        <v>10150</v>
      </c>
      <c r="AY111" s="162">
        <v>9047.02</v>
      </c>
      <c r="AZ111" s="162">
        <v>0</v>
      </c>
      <c r="BA111" s="162">
        <v>0</v>
      </c>
      <c r="BB111" s="162">
        <v>0</v>
      </c>
      <c r="BC111" s="162">
        <f t="shared" si="16"/>
        <v>570939.87</v>
      </c>
      <c r="BD111" s="162">
        <f t="shared" si="17"/>
        <v>-6204.2800000000279</v>
      </c>
      <c r="BE111" s="162">
        <v>67604.479999999996</v>
      </c>
      <c r="BF111" s="162">
        <f t="shared" si="18"/>
        <v>61400.199999999968</v>
      </c>
      <c r="BG111" s="162">
        <v>0</v>
      </c>
      <c r="BH111" s="162">
        <v>0</v>
      </c>
      <c r="BI111" s="162">
        <f t="shared" si="19"/>
        <v>0</v>
      </c>
      <c r="BJ111" s="162">
        <v>0</v>
      </c>
      <c r="BK111" s="162">
        <v>0</v>
      </c>
      <c r="BL111" s="162">
        <f t="shared" si="20"/>
        <v>0</v>
      </c>
      <c r="BM111" s="162">
        <f t="shared" si="21"/>
        <v>0</v>
      </c>
      <c r="BN111" s="162">
        <v>0</v>
      </c>
      <c r="BO111" s="162">
        <f t="shared" si="22"/>
        <v>0</v>
      </c>
      <c r="BP111" s="162">
        <v>8543</v>
      </c>
      <c r="BQ111" s="162">
        <v>52857.200000000084</v>
      </c>
      <c r="BR111" s="162">
        <v>0</v>
      </c>
      <c r="BS111" s="162">
        <f t="shared" si="23"/>
        <v>61400.200000000084</v>
      </c>
      <c r="BT111" s="162">
        <v>4686.25</v>
      </c>
      <c r="BU111" s="162">
        <v>0</v>
      </c>
      <c r="BV111" s="162">
        <v>0</v>
      </c>
      <c r="BW111" s="162">
        <f t="shared" si="24"/>
        <v>4686.25</v>
      </c>
      <c r="BX111" s="162">
        <v>0</v>
      </c>
      <c r="BY111" s="162">
        <v>1509</v>
      </c>
      <c r="BZ111" s="162">
        <v>0</v>
      </c>
      <c r="CA111" s="162">
        <v>0</v>
      </c>
      <c r="CB111" s="162">
        <f t="shared" si="25"/>
        <v>1509</v>
      </c>
      <c r="CC111" s="162">
        <f t="shared" si="26"/>
        <v>3177.25</v>
      </c>
      <c r="CD111" s="162">
        <v>2935.29</v>
      </c>
      <c r="CE111" s="162">
        <f t="shared" si="27"/>
        <v>6112.54</v>
      </c>
    </row>
    <row r="112" spans="1:83" ht="13.8">
      <c r="A112" s="310">
        <v>3058</v>
      </c>
      <c r="B112" s="303" t="s">
        <v>482</v>
      </c>
      <c r="C112" s="25" t="s">
        <v>264</v>
      </c>
      <c r="D112" s="162">
        <v>1572900.84</v>
      </c>
      <c r="E112" s="162">
        <v>0</v>
      </c>
      <c r="F112" s="162">
        <v>177184.7</v>
      </c>
      <c r="G112" s="162">
        <v>0</v>
      </c>
      <c r="H112" s="162">
        <v>98474</v>
      </c>
      <c r="I112" s="162">
        <v>10742.57</v>
      </c>
      <c r="J112" s="162">
        <v>0</v>
      </c>
      <c r="K112" s="162">
        <v>0</v>
      </c>
      <c r="L112" s="162">
        <v>5339.34</v>
      </c>
      <c r="M112" s="162">
        <v>33801.599999999999</v>
      </c>
      <c r="N112" s="162">
        <v>17036.900000000001</v>
      </c>
      <c r="O112" s="162">
        <v>3415.36</v>
      </c>
      <c r="P112" s="162">
        <v>57308.68</v>
      </c>
      <c r="Q112" s="162">
        <v>9183.3700000000008</v>
      </c>
      <c r="R112" s="162">
        <v>0</v>
      </c>
      <c r="S112" s="162">
        <v>0</v>
      </c>
      <c r="T112" s="162">
        <v>0</v>
      </c>
      <c r="U112" s="162">
        <v>3921.13</v>
      </c>
      <c r="V112" s="162">
        <v>72436</v>
      </c>
      <c r="W112" s="162">
        <f t="shared" si="15"/>
        <v>2061744.4900000002</v>
      </c>
      <c r="X112" s="162">
        <v>894348.98</v>
      </c>
      <c r="Y112" s="162">
        <v>2217.06</v>
      </c>
      <c r="Z112" s="162">
        <v>496375.96</v>
      </c>
      <c r="AA112" s="162">
        <v>73684.33</v>
      </c>
      <c r="AB112" s="162">
        <v>100976.35</v>
      </c>
      <c r="AC112" s="162">
        <v>60240.59</v>
      </c>
      <c r="AD112" s="162">
        <v>76632.899999999994</v>
      </c>
      <c r="AE112" s="162">
        <v>8931.76</v>
      </c>
      <c r="AF112" s="162">
        <v>5779.08</v>
      </c>
      <c r="AG112" s="162">
        <v>7775</v>
      </c>
      <c r="AH112" s="162">
        <v>1915</v>
      </c>
      <c r="AI112" s="162">
        <v>28137.54</v>
      </c>
      <c r="AJ112" s="162">
        <v>1604.67</v>
      </c>
      <c r="AK112" s="162">
        <v>5602.13</v>
      </c>
      <c r="AL112" s="162">
        <v>10064</v>
      </c>
      <c r="AM112" s="162">
        <v>26266.67</v>
      </c>
      <c r="AN112" s="162">
        <v>37401</v>
      </c>
      <c r="AO112" s="162">
        <v>16679.34</v>
      </c>
      <c r="AP112" s="162">
        <v>73646.66</v>
      </c>
      <c r="AQ112" s="162">
        <v>32732.13</v>
      </c>
      <c r="AR112" s="162">
        <v>0</v>
      </c>
      <c r="AS112" s="162">
        <v>15045.48</v>
      </c>
      <c r="AT112" s="162">
        <v>5979.49</v>
      </c>
      <c r="AU112" s="162">
        <v>372.76</v>
      </c>
      <c r="AV112" s="162">
        <v>48548.79</v>
      </c>
      <c r="AW112" s="162">
        <v>21287.34</v>
      </c>
      <c r="AX112" s="162">
        <v>14052.1</v>
      </c>
      <c r="AY112" s="162">
        <v>17473.73</v>
      </c>
      <c r="AZ112" s="162">
        <v>0</v>
      </c>
      <c r="BA112" s="162">
        <v>1527.99</v>
      </c>
      <c r="BB112" s="162">
        <v>3967.02</v>
      </c>
      <c r="BC112" s="162">
        <f t="shared" si="16"/>
        <v>2089265.85</v>
      </c>
      <c r="BD112" s="162">
        <f t="shared" si="17"/>
        <v>-27521.35999999987</v>
      </c>
      <c r="BE112" s="162">
        <v>84323.92</v>
      </c>
      <c r="BF112" s="162">
        <f t="shared" si="18"/>
        <v>56802.560000000129</v>
      </c>
      <c r="BG112" s="162">
        <v>0</v>
      </c>
      <c r="BH112" s="162">
        <v>140520.18</v>
      </c>
      <c r="BI112" s="162">
        <f t="shared" si="19"/>
        <v>140520.18</v>
      </c>
      <c r="BJ112" s="162">
        <v>85566.23</v>
      </c>
      <c r="BK112" s="162">
        <v>28418.41</v>
      </c>
      <c r="BL112" s="162">
        <f t="shared" si="20"/>
        <v>113984.64</v>
      </c>
      <c r="BM112" s="162">
        <f t="shared" si="21"/>
        <v>26535.539999999994</v>
      </c>
      <c r="BN112" s="162">
        <v>0</v>
      </c>
      <c r="BO112" s="162">
        <f t="shared" si="22"/>
        <v>26535.539999999994</v>
      </c>
      <c r="BP112" s="162">
        <v>0</v>
      </c>
      <c r="BQ112" s="162">
        <v>56568.560000000129</v>
      </c>
      <c r="BR112" s="162">
        <v>26769.540000000008</v>
      </c>
      <c r="BS112" s="162">
        <f t="shared" si="23"/>
        <v>83338.100000000137</v>
      </c>
      <c r="BT112" s="162">
        <v>7465</v>
      </c>
      <c r="BU112" s="162">
        <v>0</v>
      </c>
      <c r="BV112" s="162">
        <v>0</v>
      </c>
      <c r="BW112" s="162">
        <f t="shared" si="24"/>
        <v>7465</v>
      </c>
      <c r="BX112" s="162">
        <v>0</v>
      </c>
      <c r="BY112" s="162">
        <v>5460</v>
      </c>
      <c r="BZ112" s="162">
        <v>0</v>
      </c>
      <c r="CA112" s="162">
        <v>6351.31</v>
      </c>
      <c r="CB112" s="162">
        <f t="shared" si="25"/>
        <v>11811.310000000001</v>
      </c>
      <c r="CC112" s="162">
        <f t="shared" si="26"/>
        <v>-4346.3100000000013</v>
      </c>
      <c r="CD112" s="162">
        <v>10284.25</v>
      </c>
      <c r="CE112" s="162">
        <f t="shared" si="27"/>
        <v>5937.9399999999987</v>
      </c>
    </row>
    <row r="113" spans="1:83" ht="13.8">
      <c r="A113" s="310">
        <v>2335</v>
      </c>
      <c r="B113" s="303" t="s">
        <v>484</v>
      </c>
      <c r="C113" s="25" t="s">
        <v>264</v>
      </c>
      <c r="D113" s="162">
        <v>1058870.9099999999</v>
      </c>
      <c r="E113" s="162">
        <v>0</v>
      </c>
      <c r="F113" s="162">
        <v>65894.350000000006</v>
      </c>
      <c r="G113" s="162">
        <v>0</v>
      </c>
      <c r="H113" s="162">
        <v>24380</v>
      </c>
      <c r="I113" s="162">
        <v>6571.29</v>
      </c>
      <c r="J113" s="162">
        <v>10000</v>
      </c>
      <c r="K113" s="162">
        <v>0</v>
      </c>
      <c r="L113" s="162">
        <v>102916.86</v>
      </c>
      <c r="M113" s="162">
        <v>20281.509999999998</v>
      </c>
      <c r="N113" s="162">
        <v>0</v>
      </c>
      <c r="O113" s="162">
        <v>960.44</v>
      </c>
      <c r="P113" s="162">
        <v>17016.77</v>
      </c>
      <c r="Q113" s="162">
        <v>914.08</v>
      </c>
      <c r="R113" s="162">
        <v>0</v>
      </c>
      <c r="S113" s="162">
        <v>0</v>
      </c>
      <c r="T113" s="162">
        <v>0</v>
      </c>
      <c r="U113" s="162">
        <v>-7.5</v>
      </c>
      <c r="V113" s="162">
        <v>49405</v>
      </c>
      <c r="W113" s="162">
        <f t="shared" si="15"/>
        <v>1357203.7100000002</v>
      </c>
      <c r="X113" s="162">
        <v>499012.9</v>
      </c>
      <c r="Y113" s="162">
        <v>0</v>
      </c>
      <c r="Z113" s="162">
        <v>190776.03</v>
      </c>
      <c r="AA113" s="162">
        <v>24324.639999999999</v>
      </c>
      <c r="AB113" s="162">
        <v>30152.04</v>
      </c>
      <c r="AC113" s="162">
        <v>0</v>
      </c>
      <c r="AD113" s="162">
        <v>67054.95</v>
      </c>
      <c r="AE113" s="162">
        <v>4502.84</v>
      </c>
      <c r="AF113" s="162">
        <v>16056.4</v>
      </c>
      <c r="AG113" s="162">
        <v>6170</v>
      </c>
      <c r="AH113" s="162">
        <v>0</v>
      </c>
      <c r="AI113" s="162">
        <v>10622.13</v>
      </c>
      <c r="AJ113" s="162">
        <v>3193.87</v>
      </c>
      <c r="AK113" s="162">
        <v>11317.6</v>
      </c>
      <c r="AL113" s="162">
        <v>1132.55</v>
      </c>
      <c r="AM113" s="162">
        <v>17714.68</v>
      </c>
      <c r="AN113" s="162">
        <v>22455</v>
      </c>
      <c r="AO113" s="162">
        <v>6453.4</v>
      </c>
      <c r="AP113" s="162">
        <v>84908.82</v>
      </c>
      <c r="AQ113" s="162">
        <v>32561.939999999995</v>
      </c>
      <c r="AR113" s="162">
        <v>0</v>
      </c>
      <c r="AS113" s="162">
        <v>11084.25</v>
      </c>
      <c r="AT113" s="162">
        <v>4137.67</v>
      </c>
      <c r="AU113" s="162">
        <v>3404.94</v>
      </c>
      <c r="AV113" s="162">
        <v>68902.12</v>
      </c>
      <c r="AW113" s="162">
        <v>35717.449999999997</v>
      </c>
      <c r="AX113" s="162">
        <v>21455.77</v>
      </c>
      <c r="AY113" s="162">
        <v>51778.39</v>
      </c>
      <c r="AZ113" s="162">
        <v>0</v>
      </c>
      <c r="BA113" s="162">
        <v>0</v>
      </c>
      <c r="BB113" s="162">
        <v>0</v>
      </c>
      <c r="BC113" s="162">
        <f t="shared" si="16"/>
        <v>1224890.3799999999</v>
      </c>
      <c r="BD113" s="162">
        <f t="shared" si="17"/>
        <v>132313.33000000031</v>
      </c>
      <c r="BE113" s="162">
        <v>-31616.35</v>
      </c>
      <c r="BF113" s="162">
        <f t="shared" si="18"/>
        <v>100696.9800000003</v>
      </c>
      <c r="BG113" s="162">
        <v>0</v>
      </c>
      <c r="BH113" s="162">
        <v>0</v>
      </c>
      <c r="BI113" s="162">
        <f t="shared" si="19"/>
        <v>0</v>
      </c>
      <c r="BJ113" s="162">
        <v>0</v>
      </c>
      <c r="BK113" s="162">
        <v>0</v>
      </c>
      <c r="BL113" s="162">
        <f t="shared" si="20"/>
        <v>0</v>
      </c>
      <c r="BM113" s="162">
        <f t="shared" si="21"/>
        <v>0</v>
      </c>
      <c r="BN113" s="162">
        <v>0</v>
      </c>
      <c r="BO113" s="162">
        <f t="shared" si="22"/>
        <v>0</v>
      </c>
      <c r="BP113" s="162">
        <v>26774.34</v>
      </c>
      <c r="BQ113" s="162">
        <v>73922.640000000538</v>
      </c>
      <c r="BR113" s="162">
        <v>0</v>
      </c>
      <c r="BS113" s="162">
        <f t="shared" si="23"/>
        <v>100696.98000000053</v>
      </c>
      <c r="BT113" s="162">
        <v>6328.75</v>
      </c>
      <c r="BU113" s="162">
        <v>0</v>
      </c>
      <c r="BV113" s="162">
        <v>0</v>
      </c>
      <c r="BW113" s="162">
        <f t="shared" si="24"/>
        <v>6328.75</v>
      </c>
      <c r="BX113" s="162">
        <v>0</v>
      </c>
      <c r="BY113" s="162">
        <v>4100.7</v>
      </c>
      <c r="BZ113" s="162">
        <v>0</v>
      </c>
      <c r="CA113" s="162">
        <v>2060.92</v>
      </c>
      <c r="CB113" s="162">
        <f t="shared" si="25"/>
        <v>6161.62</v>
      </c>
      <c r="CC113" s="162">
        <f t="shared" si="26"/>
        <v>167.13000000000011</v>
      </c>
      <c r="CD113" s="162">
        <v>15044.41</v>
      </c>
      <c r="CE113" s="162">
        <f t="shared" si="27"/>
        <v>15211.54</v>
      </c>
    </row>
    <row r="114" spans="1:83" ht="13.8">
      <c r="A114" s="310">
        <v>3389</v>
      </c>
      <c r="B114" s="303" t="s">
        <v>486</v>
      </c>
      <c r="C114" s="25" t="s">
        <v>264</v>
      </c>
      <c r="D114" s="162">
        <v>1926444.21</v>
      </c>
      <c r="E114" s="162">
        <v>0</v>
      </c>
      <c r="F114" s="162">
        <v>95558.39</v>
      </c>
      <c r="G114" s="162">
        <v>0</v>
      </c>
      <c r="H114" s="162">
        <v>98720</v>
      </c>
      <c r="I114" s="162">
        <v>5634.22</v>
      </c>
      <c r="J114" s="162">
        <v>0</v>
      </c>
      <c r="K114" s="162">
        <v>970</v>
      </c>
      <c r="L114" s="162">
        <v>185464.87</v>
      </c>
      <c r="M114" s="162">
        <v>24176.41</v>
      </c>
      <c r="N114" s="162">
        <v>4500</v>
      </c>
      <c r="O114" s="162">
        <v>0</v>
      </c>
      <c r="P114" s="162">
        <v>36110.9</v>
      </c>
      <c r="Q114" s="162">
        <v>5719.8</v>
      </c>
      <c r="R114" s="162">
        <v>0</v>
      </c>
      <c r="S114" s="162">
        <v>0</v>
      </c>
      <c r="T114" s="162">
        <v>0</v>
      </c>
      <c r="U114" s="162">
        <v>1730.75</v>
      </c>
      <c r="V114" s="162">
        <v>68999</v>
      </c>
      <c r="W114" s="162">
        <f t="shared" si="15"/>
        <v>2454028.5499999998</v>
      </c>
      <c r="X114" s="162">
        <v>1195996.99</v>
      </c>
      <c r="Y114" s="162">
        <v>1783.88</v>
      </c>
      <c r="Z114" s="162">
        <v>445726.8</v>
      </c>
      <c r="AA114" s="162">
        <v>62551.3</v>
      </c>
      <c r="AB114" s="162">
        <v>117049.1</v>
      </c>
      <c r="AC114" s="162">
        <v>0</v>
      </c>
      <c r="AD114" s="162">
        <v>92231.81</v>
      </c>
      <c r="AE114" s="162">
        <v>1500.44</v>
      </c>
      <c r="AF114" s="162">
        <v>16678.34</v>
      </c>
      <c r="AG114" s="162">
        <v>0</v>
      </c>
      <c r="AH114" s="162">
        <v>0</v>
      </c>
      <c r="AI114" s="162">
        <v>18833.599999999999</v>
      </c>
      <c r="AJ114" s="162">
        <v>4627.3599999999997</v>
      </c>
      <c r="AK114" s="162">
        <v>46340.95</v>
      </c>
      <c r="AL114" s="162">
        <v>209.55</v>
      </c>
      <c r="AM114" s="162">
        <v>40948.43</v>
      </c>
      <c r="AN114" s="162">
        <v>10374</v>
      </c>
      <c r="AO114" s="162">
        <v>11794.72</v>
      </c>
      <c r="AP114" s="162">
        <v>72217.11</v>
      </c>
      <c r="AQ114" s="162">
        <v>54801.75</v>
      </c>
      <c r="AR114" s="162">
        <v>0</v>
      </c>
      <c r="AS114" s="162">
        <v>8470.0400000000009</v>
      </c>
      <c r="AT114" s="162">
        <v>7845.79</v>
      </c>
      <c r="AU114" s="162">
        <v>7269.03</v>
      </c>
      <c r="AV114" s="162">
        <v>95378.43</v>
      </c>
      <c r="AW114" s="162">
        <v>0</v>
      </c>
      <c r="AX114" s="162">
        <v>9571.16</v>
      </c>
      <c r="AY114" s="162">
        <v>51352.58</v>
      </c>
      <c r="AZ114" s="162">
        <v>0</v>
      </c>
      <c r="BA114" s="162">
        <v>0</v>
      </c>
      <c r="BB114" s="162">
        <v>4019.65</v>
      </c>
      <c r="BC114" s="162">
        <f t="shared" si="16"/>
        <v>2377572.8100000005</v>
      </c>
      <c r="BD114" s="162">
        <f t="shared" si="17"/>
        <v>76455.739999999292</v>
      </c>
      <c r="BE114" s="162">
        <v>47325.24</v>
      </c>
      <c r="BF114" s="162">
        <f t="shared" si="18"/>
        <v>123780.97999999928</v>
      </c>
      <c r="BG114" s="162">
        <v>143401.24</v>
      </c>
      <c r="BH114" s="162">
        <v>7272.19</v>
      </c>
      <c r="BI114" s="162">
        <f t="shared" si="19"/>
        <v>150673.43</v>
      </c>
      <c r="BJ114" s="162">
        <v>116846.41</v>
      </c>
      <c r="BK114" s="162">
        <v>22246.09</v>
      </c>
      <c r="BL114" s="162">
        <f t="shared" si="20"/>
        <v>139092.5</v>
      </c>
      <c r="BM114" s="162">
        <f t="shared" si="21"/>
        <v>11580.929999999993</v>
      </c>
      <c r="BN114" s="162">
        <v>85747.92</v>
      </c>
      <c r="BO114" s="162">
        <f t="shared" si="22"/>
        <v>97328.849999999991</v>
      </c>
      <c r="BP114" s="162">
        <v>87893.1</v>
      </c>
      <c r="BQ114" s="162">
        <v>34057.499999999272</v>
      </c>
      <c r="BR114" s="162">
        <v>99159.23</v>
      </c>
      <c r="BS114" s="162">
        <f t="shared" si="23"/>
        <v>221109.82999999929</v>
      </c>
      <c r="BT114" s="162">
        <v>0</v>
      </c>
      <c r="BU114" s="162">
        <v>0</v>
      </c>
      <c r="BV114" s="162">
        <v>0</v>
      </c>
      <c r="BW114" s="162">
        <f t="shared" si="24"/>
        <v>0</v>
      </c>
      <c r="BX114" s="162">
        <v>0</v>
      </c>
      <c r="BY114" s="162">
        <v>0</v>
      </c>
      <c r="BZ114" s="162">
        <v>0</v>
      </c>
      <c r="CA114" s="162">
        <v>0</v>
      </c>
      <c r="CB114" s="162">
        <f t="shared" si="25"/>
        <v>0</v>
      </c>
      <c r="CC114" s="162">
        <f t="shared" si="26"/>
        <v>0</v>
      </c>
      <c r="CD114" s="162">
        <v>0</v>
      </c>
      <c r="CE114" s="162">
        <f t="shared" si="27"/>
        <v>0</v>
      </c>
    </row>
    <row r="115" spans="1:83" ht="13.8">
      <c r="A115" s="312">
        <v>2001</v>
      </c>
      <c r="B115" s="305" t="s">
        <v>488</v>
      </c>
      <c r="C115" s="25" t="s">
        <v>264</v>
      </c>
      <c r="D115" s="162">
        <v>2474329.0499999998</v>
      </c>
      <c r="E115" s="162">
        <v>0</v>
      </c>
      <c r="F115" s="162">
        <v>132910.54999999999</v>
      </c>
      <c r="G115" s="162">
        <v>0</v>
      </c>
      <c r="H115" s="162">
        <v>149232</v>
      </c>
      <c r="I115" s="162">
        <v>744</v>
      </c>
      <c r="J115" s="162">
        <v>0</v>
      </c>
      <c r="K115" s="162">
        <v>16369.5</v>
      </c>
      <c r="L115" s="162">
        <v>68111.289999999994</v>
      </c>
      <c r="M115" s="162">
        <v>40735.83</v>
      </c>
      <c r="N115" s="162">
        <v>33108.22</v>
      </c>
      <c r="O115" s="162">
        <v>0</v>
      </c>
      <c r="P115" s="162">
        <v>48596.4</v>
      </c>
      <c r="Q115" s="162">
        <v>29126.400000000001</v>
      </c>
      <c r="R115" s="162">
        <v>0</v>
      </c>
      <c r="S115" s="162">
        <v>0</v>
      </c>
      <c r="T115" s="162">
        <v>0</v>
      </c>
      <c r="U115" s="162">
        <v>-293.75</v>
      </c>
      <c r="V115" s="162">
        <v>90648</v>
      </c>
      <c r="W115" s="162">
        <f t="shared" si="15"/>
        <v>3083617.4899999998</v>
      </c>
      <c r="X115" s="162">
        <v>1655758.06</v>
      </c>
      <c r="Y115" s="162">
        <v>26522.13</v>
      </c>
      <c r="Z115" s="162">
        <v>655447.86</v>
      </c>
      <c r="AA115" s="162">
        <v>95108.62</v>
      </c>
      <c r="AB115" s="162">
        <v>144693.5</v>
      </c>
      <c r="AC115" s="162">
        <v>0</v>
      </c>
      <c r="AD115" s="162">
        <v>103678.99</v>
      </c>
      <c r="AE115" s="162">
        <v>12950.6</v>
      </c>
      <c r="AF115" s="162">
        <v>7502.68</v>
      </c>
      <c r="AG115" s="162">
        <v>12525</v>
      </c>
      <c r="AH115" s="162">
        <v>372.5</v>
      </c>
      <c r="AI115" s="162">
        <v>38283.19</v>
      </c>
      <c r="AJ115" s="162">
        <v>5747.5</v>
      </c>
      <c r="AK115" s="162">
        <v>6801.75</v>
      </c>
      <c r="AL115" s="162">
        <v>11996.29</v>
      </c>
      <c r="AM115" s="162">
        <v>99980.95</v>
      </c>
      <c r="AN115" s="162">
        <v>36036</v>
      </c>
      <c r="AO115" s="162">
        <v>13792.4</v>
      </c>
      <c r="AP115" s="162">
        <v>154384.57999999999</v>
      </c>
      <c r="AQ115" s="162">
        <v>20494.560000000001</v>
      </c>
      <c r="AR115" s="162">
        <v>0</v>
      </c>
      <c r="AS115" s="162">
        <v>7831.22</v>
      </c>
      <c r="AT115" s="162">
        <v>10201.969999999999</v>
      </c>
      <c r="AU115" s="162">
        <v>1847.05</v>
      </c>
      <c r="AV115" s="162">
        <v>125804.45</v>
      </c>
      <c r="AW115" s="162">
        <v>13830.72</v>
      </c>
      <c r="AX115" s="162">
        <v>15680</v>
      </c>
      <c r="AY115" s="162">
        <v>24017.33</v>
      </c>
      <c r="AZ115" s="162">
        <v>0</v>
      </c>
      <c r="BA115" s="162">
        <v>0</v>
      </c>
      <c r="BB115" s="162">
        <v>0</v>
      </c>
      <c r="BC115" s="162">
        <f t="shared" si="16"/>
        <v>3301289.9000000013</v>
      </c>
      <c r="BD115" s="162">
        <f t="shared" si="17"/>
        <v>-217672.41000000155</v>
      </c>
      <c r="BE115" s="162">
        <v>74433.2</v>
      </c>
      <c r="BF115" s="162">
        <f t="shared" si="18"/>
        <v>-143239.21000000153</v>
      </c>
      <c r="BG115" s="162">
        <v>190592.12</v>
      </c>
      <c r="BH115" s="162">
        <v>10663.53</v>
      </c>
      <c r="BI115" s="162">
        <f t="shared" si="19"/>
        <v>201255.65</v>
      </c>
      <c r="BJ115" s="162">
        <v>198933.38</v>
      </c>
      <c r="BK115" s="162">
        <v>13707.7</v>
      </c>
      <c r="BL115" s="162">
        <f t="shared" si="20"/>
        <v>212641.08000000002</v>
      </c>
      <c r="BM115" s="162">
        <f t="shared" si="21"/>
        <v>-11385.430000000022</v>
      </c>
      <c r="BN115" s="162">
        <v>51276.18</v>
      </c>
      <c r="BO115" s="162">
        <f t="shared" si="22"/>
        <v>39890.749999999978</v>
      </c>
      <c r="BP115" s="162">
        <v>5737.33</v>
      </c>
      <c r="BQ115" s="162">
        <v>-152045.84000000134</v>
      </c>
      <c r="BR115" s="162">
        <v>42960.049999999967</v>
      </c>
      <c r="BS115" s="162">
        <f t="shared" si="23"/>
        <v>-103348.46000000137</v>
      </c>
      <c r="BT115" s="162">
        <v>9810.6299999999992</v>
      </c>
      <c r="BU115" s="162">
        <v>0</v>
      </c>
      <c r="BV115" s="162">
        <v>0</v>
      </c>
      <c r="BW115" s="162">
        <f t="shared" si="24"/>
        <v>9810.6299999999992</v>
      </c>
      <c r="BX115" s="162">
        <v>0</v>
      </c>
      <c r="BY115" s="162">
        <v>18160.439999999999</v>
      </c>
      <c r="BZ115" s="162">
        <v>0</v>
      </c>
      <c r="CA115" s="162">
        <v>2380</v>
      </c>
      <c r="CB115" s="162">
        <f t="shared" si="25"/>
        <v>20540.439999999999</v>
      </c>
      <c r="CC115" s="162">
        <f t="shared" si="26"/>
        <v>-10729.81</v>
      </c>
      <c r="CD115" s="162">
        <v>44003.27</v>
      </c>
      <c r="CE115" s="162">
        <f t="shared" si="27"/>
        <v>33273.46</v>
      </c>
    </row>
    <row r="116" spans="1:83" ht="13.8">
      <c r="A116" s="310">
        <v>2064</v>
      </c>
      <c r="B116" s="303" t="s">
        <v>490</v>
      </c>
      <c r="C116" s="25" t="s">
        <v>264</v>
      </c>
      <c r="D116" s="162">
        <v>773566.47</v>
      </c>
      <c r="E116" s="162">
        <v>0</v>
      </c>
      <c r="F116" s="162">
        <v>96990.76</v>
      </c>
      <c r="G116" s="162">
        <v>0</v>
      </c>
      <c r="H116" s="162">
        <v>34614</v>
      </c>
      <c r="I116" s="162">
        <v>1200</v>
      </c>
      <c r="J116" s="162">
        <v>10000</v>
      </c>
      <c r="K116" s="162">
        <v>0</v>
      </c>
      <c r="L116" s="162">
        <v>30242.98</v>
      </c>
      <c r="M116" s="162">
        <v>18.62</v>
      </c>
      <c r="N116" s="162">
        <v>1859.5</v>
      </c>
      <c r="O116" s="162">
        <v>0</v>
      </c>
      <c r="P116" s="162">
        <v>7045.03</v>
      </c>
      <c r="Q116" s="162">
        <v>0</v>
      </c>
      <c r="R116" s="162">
        <v>0</v>
      </c>
      <c r="S116" s="162">
        <v>0</v>
      </c>
      <c r="T116" s="162">
        <v>0</v>
      </c>
      <c r="U116" s="162">
        <v>951.88</v>
      </c>
      <c r="V116" s="162">
        <v>27579</v>
      </c>
      <c r="W116" s="162">
        <f t="shared" si="15"/>
        <v>984068.24</v>
      </c>
      <c r="X116" s="162">
        <v>358534.14</v>
      </c>
      <c r="Y116" s="162">
        <v>29167.06</v>
      </c>
      <c r="Z116" s="162">
        <v>320160.59999999998</v>
      </c>
      <c r="AA116" s="162">
        <v>22830.97</v>
      </c>
      <c r="AB116" s="162">
        <v>37181.94</v>
      </c>
      <c r="AC116" s="162">
        <v>0</v>
      </c>
      <c r="AD116" s="162">
        <v>10739.4</v>
      </c>
      <c r="AE116" s="162">
        <v>3337.5</v>
      </c>
      <c r="AF116" s="162">
        <v>8936.73</v>
      </c>
      <c r="AG116" s="162">
        <v>2150</v>
      </c>
      <c r="AH116" s="162">
        <v>1815</v>
      </c>
      <c r="AI116" s="162">
        <v>6817.31</v>
      </c>
      <c r="AJ116" s="162">
        <v>3062.5</v>
      </c>
      <c r="AK116" s="162">
        <v>2976.93</v>
      </c>
      <c r="AL116" s="162">
        <v>951.88</v>
      </c>
      <c r="AM116" s="162">
        <v>24189.360000000001</v>
      </c>
      <c r="AN116" s="162">
        <v>17839.25</v>
      </c>
      <c r="AO116" s="162">
        <v>1021.7</v>
      </c>
      <c r="AP116" s="162">
        <v>22629.34</v>
      </c>
      <c r="AQ116" s="162">
        <v>20259.910000000003</v>
      </c>
      <c r="AR116" s="162">
        <v>0</v>
      </c>
      <c r="AS116" s="162">
        <v>8246.91</v>
      </c>
      <c r="AT116" s="162">
        <v>2385.31</v>
      </c>
      <c r="AU116" s="162">
        <v>430.01</v>
      </c>
      <c r="AV116" s="162">
        <v>26281.45</v>
      </c>
      <c r="AW116" s="162">
        <v>0</v>
      </c>
      <c r="AX116" s="162">
        <v>1263.9000000000001</v>
      </c>
      <c r="AY116" s="162">
        <v>11489.56</v>
      </c>
      <c r="AZ116" s="162">
        <v>0</v>
      </c>
      <c r="BA116" s="162">
        <v>0</v>
      </c>
      <c r="BB116" s="162">
        <v>0</v>
      </c>
      <c r="BC116" s="162">
        <f t="shared" si="16"/>
        <v>944698.66000000015</v>
      </c>
      <c r="BD116" s="162">
        <f t="shared" si="17"/>
        <v>39369.579999999842</v>
      </c>
      <c r="BE116" s="162">
        <v>127469.59</v>
      </c>
      <c r="BF116" s="162">
        <f t="shared" si="18"/>
        <v>166839.16999999984</v>
      </c>
      <c r="BG116" s="162">
        <v>0</v>
      </c>
      <c r="BH116" s="162">
        <v>0</v>
      </c>
      <c r="BI116" s="162">
        <f t="shared" si="19"/>
        <v>0</v>
      </c>
      <c r="BJ116" s="162">
        <v>0</v>
      </c>
      <c r="BK116" s="162">
        <v>0</v>
      </c>
      <c r="BL116" s="162">
        <f t="shared" si="20"/>
        <v>0</v>
      </c>
      <c r="BM116" s="162">
        <f t="shared" si="21"/>
        <v>0</v>
      </c>
      <c r="BN116" s="162">
        <v>0</v>
      </c>
      <c r="BO116" s="162">
        <f t="shared" si="22"/>
        <v>0</v>
      </c>
      <c r="BP116" s="162">
        <v>29157.760000000002</v>
      </c>
      <c r="BQ116" s="162">
        <v>137681.40999999983</v>
      </c>
      <c r="BR116" s="162">
        <v>0</v>
      </c>
      <c r="BS116" s="162">
        <f t="shared" si="23"/>
        <v>166839.16999999984</v>
      </c>
      <c r="BT116" s="162">
        <v>262228.15999999997</v>
      </c>
      <c r="BU116" s="162">
        <v>0</v>
      </c>
      <c r="BV116" s="162">
        <v>0</v>
      </c>
      <c r="BW116" s="162">
        <f t="shared" si="24"/>
        <v>262228.15999999997</v>
      </c>
      <c r="BX116" s="162">
        <v>0</v>
      </c>
      <c r="BY116" s="162">
        <v>16171.33</v>
      </c>
      <c r="BZ116" s="162">
        <v>0</v>
      </c>
      <c r="CA116" s="162">
        <v>0</v>
      </c>
      <c r="CB116" s="162">
        <f t="shared" si="25"/>
        <v>16171.33</v>
      </c>
      <c r="CC116" s="162">
        <f t="shared" si="26"/>
        <v>246056.83</v>
      </c>
      <c r="CD116" s="162">
        <v>24931.69</v>
      </c>
      <c r="CE116" s="162">
        <f t="shared" si="27"/>
        <v>270988.51999999996</v>
      </c>
    </row>
    <row r="117" spans="1:83" ht="13.8">
      <c r="A117" s="312">
        <v>2000</v>
      </c>
      <c r="B117" s="305" t="s">
        <v>492</v>
      </c>
      <c r="C117" s="25" t="s">
        <v>264</v>
      </c>
      <c r="D117" s="162">
        <v>1382317.94</v>
      </c>
      <c r="E117" s="162">
        <v>0</v>
      </c>
      <c r="F117" s="162">
        <v>80164.75</v>
      </c>
      <c r="G117" s="162">
        <v>0</v>
      </c>
      <c r="H117" s="162">
        <v>170617</v>
      </c>
      <c r="I117" s="162">
        <v>2660.5</v>
      </c>
      <c r="J117" s="162">
        <v>0</v>
      </c>
      <c r="K117" s="162">
        <v>27500</v>
      </c>
      <c r="L117" s="162">
        <v>139080.82</v>
      </c>
      <c r="M117" s="162">
        <v>13719.67</v>
      </c>
      <c r="N117" s="162">
        <v>3630</v>
      </c>
      <c r="O117" s="162">
        <v>12938.51</v>
      </c>
      <c r="P117" s="162">
        <v>0</v>
      </c>
      <c r="Q117" s="162">
        <v>837.25</v>
      </c>
      <c r="R117" s="162">
        <v>0</v>
      </c>
      <c r="S117" s="162">
        <v>0</v>
      </c>
      <c r="T117" s="162">
        <v>0</v>
      </c>
      <c r="U117" s="162">
        <v>-398.75</v>
      </c>
      <c r="V117" s="162">
        <v>40824</v>
      </c>
      <c r="W117" s="162">
        <f t="shared" si="15"/>
        <v>1873891.69</v>
      </c>
      <c r="X117" s="162">
        <v>860697.66</v>
      </c>
      <c r="Y117" s="162">
        <v>0</v>
      </c>
      <c r="Z117" s="162">
        <v>340498.68</v>
      </c>
      <c r="AA117" s="162">
        <v>34090.699999999997</v>
      </c>
      <c r="AB117" s="162">
        <v>143989.57</v>
      </c>
      <c r="AC117" s="162">
        <v>0</v>
      </c>
      <c r="AD117" s="162">
        <v>47432.33</v>
      </c>
      <c r="AE117" s="162">
        <v>422.7</v>
      </c>
      <c r="AF117" s="162">
        <v>3423.97</v>
      </c>
      <c r="AG117" s="162">
        <v>6525</v>
      </c>
      <c r="AH117" s="162">
        <v>2042.5</v>
      </c>
      <c r="AI117" s="162">
        <v>27745.16</v>
      </c>
      <c r="AJ117" s="162">
        <v>4299.96</v>
      </c>
      <c r="AK117" s="162">
        <v>34987.660000000003</v>
      </c>
      <c r="AL117" s="162">
        <v>3239.3</v>
      </c>
      <c r="AM117" s="162">
        <v>74725.62</v>
      </c>
      <c r="AN117" s="162">
        <v>11568.89</v>
      </c>
      <c r="AO117" s="162">
        <v>4583.63</v>
      </c>
      <c r="AP117" s="162">
        <v>33988.22</v>
      </c>
      <c r="AQ117" s="162">
        <v>31696.89</v>
      </c>
      <c r="AR117" s="162">
        <v>0</v>
      </c>
      <c r="AS117" s="162">
        <v>8177.38</v>
      </c>
      <c r="AT117" s="162">
        <v>5459.89</v>
      </c>
      <c r="AU117" s="162">
        <v>672.92</v>
      </c>
      <c r="AV117" s="162">
        <v>74834.960000000006</v>
      </c>
      <c r="AW117" s="162">
        <v>47029.88</v>
      </c>
      <c r="AX117" s="162">
        <v>13965.95</v>
      </c>
      <c r="AY117" s="162">
        <v>12401.81</v>
      </c>
      <c r="AZ117" s="162">
        <v>0</v>
      </c>
      <c r="BA117" s="162">
        <v>1380.63</v>
      </c>
      <c r="BB117" s="162">
        <v>4545.42</v>
      </c>
      <c r="BC117" s="162">
        <f t="shared" si="16"/>
        <v>1834427.2799999991</v>
      </c>
      <c r="BD117" s="162">
        <f t="shared" si="17"/>
        <v>39464.410000000848</v>
      </c>
      <c r="BE117" s="162">
        <v>-4160.6400000002704</v>
      </c>
      <c r="BF117" s="162">
        <f t="shared" si="18"/>
        <v>35303.770000000579</v>
      </c>
      <c r="BG117" s="162">
        <v>0</v>
      </c>
      <c r="BH117" s="162">
        <v>0</v>
      </c>
      <c r="BI117" s="162">
        <f t="shared" si="19"/>
        <v>0</v>
      </c>
      <c r="BJ117" s="162">
        <v>0</v>
      </c>
      <c r="BK117" s="162">
        <v>0</v>
      </c>
      <c r="BL117" s="162">
        <f t="shared" si="20"/>
        <v>0</v>
      </c>
      <c r="BM117" s="162">
        <f t="shared" si="21"/>
        <v>0</v>
      </c>
      <c r="BN117" s="162">
        <v>107560.72</v>
      </c>
      <c r="BO117" s="162">
        <f t="shared" si="22"/>
        <v>107560.72</v>
      </c>
      <c r="BP117" s="162">
        <v>69030</v>
      </c>
      <c r="BQ117" s="162">
        <v>-33726.229999999385</v>
      </c>
      <c r="BR117" s="162">
        <v>99920.549999999988</v>
      </c>
      <c r="BS117" s="162">
        <f t="shared" si="23"/>
        <v>135224.32000000059</v>
      </c>
      <c r="BT117" s="162">
        <v>7134.25</v>
      </c>
      <c r="BU117" s="162">
        <v>0</v>
      </c>
      <c r="BV117" s="162">
        <v>0</v>
      </c>
      <c r="BW117" s="162">
        <f t="shared" si="24"/>
        <v>7134.25</v>
      </c>
      <c r="BX117" s="162">
        <v>0</v>
      </c>
      <c r="BY117" s="162">
        <v>19369.25</v>
      </c>
      <c r="BZ117" s="162">
        <v>0</v>
      </c>
      <c r="CA117" s="162">
        <v>0</v>
      </c>
      <c r="CB117" s="162">
        <f t="shared" si="25"/>
        <v>19369.25</v>
      </c>
      <c r="CC117" s="162">
        <f t="shared" si="26"/>
        <v>-12235</v>
      </c>
      <c r="CD117" s="162">
        <v>18702.009999999998</v>
      </c>
      <c r="CE117" s="162">
        <f t="shared" si="27"/>
        <v>6467.0099999999984</v>
      </c>
    </row>
    <row r="118" spans="1:83" ht="13.8">
      <c r="A118" s="310">
        <v>2048</v>
      </c>
      <c r="B118" s="303" t="s">
        <v>494</v>
      </c>
      <c r="C118" s="25" t="s">
        <v>264</v>
      </c>
      <c r="D118" s="162">
        <v>2683522.67</v>
      </c>
      <c r="E118" s="162">
        <v>0</v>
      </c>
      <c r="F118" s="162">
        <v>101236.85</v>
      </c>
      <c r="G118" s="162">
        <v>0</v>
      </c>
      <c r="H118" s="162">
        <v>154715</v>
      </c>
      <c r="I118" s="162">
        <v>1737.93</v>
      </c>
      <c r="J118" s="162">
        <v>0</v>
      </c>
      <c r="K118" s="162">
        <v>35356.730000000003</v>
      </c>
      <c r="L118" s="162">
        <v>21106.799999999999</v>
      </c>
      <c r="M118" s="162">
        <v>43704.83</v>
      </c>
      <c r="N118" s="162">
        <v>13040</v>
      </c>
      <c r="O118" s="162">
        <v>2473.94</v>
      </c>
      <c r="P118" s="162">
        <v>66912</v>
      </c>
      <c r="Q118" s="162">
        <v>8082</v>
      </c>
      <c r="R118" s="162">
        <v>0</v>
      </c>
      <c r="S118" s="162">
        <v>0</v>
      </c>
      <c r="T118" s="162">
        <v>0</v>
      </c>
      <c r="U118" s="162">
        <v>435.63</v>
      </c>
      <c r="V118" s="162">
        <v>112892</v>
      </c>
      <c r="W118" s="162">
        <f t="shared" si="15"/>
        <v>3245216.38</v>
      </c>
      <c r="X118" s="162">
        <v>1407619.9</v>
      </c>
      <c r="Y118" s="162">
        <v>43244.98</v>
      </c>
      <c r="Z118" s="162">
        <v>579590.18000000005</v>
      </c>
      <c r="AA118" s="162">
        <v>79752.5</v>
      </c>
      <c r="AB118" s="162">
        <v>148302.21</v>
      </c>
      <c r="AC118" s="162">
        <v>0</v>
      </c>
      <c r="AD118" s="162">
        <v>69185.53</v>
      </c>
      <c r="AE118" s="162">
        <v>10582.24</v>
      </c>
      <c r="AF118" s="162">
        <v>7325.7</v>
      </c>
      <c r="AG118" s="162">
        <v>12925</v>
      </c>
      <c r="AH118" s="162">
        <v>1224.3800000000001</v>
      </c>
      <c r="AI118" s="162">
        <v>19511.66</v>
      </c>
      <c r="AJ118" s="162">
        <v>11090.3</v>
      </c>
      <c r="AK118" s="162">
        <v>61255.55</v>
      </c>
      <c r="AL118" s="162">
        <v>7897.94</v>
      </c>
      <c r="AM118" s="162">
        <v>58846.41</v>
      </c>
      <c r="AN118" s="162">
        <v>103740</v>
      </c>
      <c r="AO118" s="162">
        <v>13950.94</v>
      </c>
      <c r="AP118" s="162">
        <v>132942.17000000001</v>
      </c>
      <c r="AQ118" s="162">
        <v>63528.7</v>
      </c>
      <c r="AR118" s="162">
        <v>0</v>
      </c>
      <c r="AS118" s="162">
        <v>17364.509999999998</v>
      </c>
      <c r="AT118" s="162">
        <v>10938.73</v>
      </c>
      <c r="AU118" s="162">
        <v>2341.08</v>
      </c>
      <c r="AV118" s="162">
        <v>151901.23000000001</v>
      </c>
      <c r="AW118" s="162">
        <v>136108.07</v>
      </c>
      <c r="AX118" s="162">
        <v>41208.129999999997</v>
      </c>
      <c r="AY118" s="162">
        <v>23253.360000000001</v>
      </c>
      <c r="AZ118" s="162">
        <v>0</v>
      </c>
      <c r="BA118" s="162">
        <v>0</v>
      </c>
      <c r="BB118" s="162">
        <v>0</v>
      </c>
      <c r="BC118" s="162">
        <f t="shared" si="16"/>
        <v>3215631.3999999994</v>
      </c>
      <c r="BD118" s="162">
        <f t="shared" si="17"/>
        <v>29584.980000000447</v>
      </c>
      <c r="BE118" s="162">
        <v>19740.55</v>
      </c>
      <c r="BF118" s="162">
        <f t="shared" si="18"/>
        <v>49325.53000000045</v>
      </c>
      <c r="BG118" s="162">
        <v>0</v>
      </c>
      <c r="BH118" s="162">
        <v>0</v>
      </c>
      <c r="BI118" s="162">
        <f t="shared" si="19"/>
        <v>0</v>
      </c>
      <c r="BJ118" s="162">
        <v>0</v>
      </c>
      <c r="BK118" s="162">
        <v>0</v>
      </c>
      <c r="BL118" s="162">
        <f t="shared" si="20"/>
        <v>0</v>
      </c>
      <c r="BM118" s="162">
        <f t="shared" si="21"/>
        <v>0</v>
      </c>
      <c r="BN118" s="162">
        <v>0</v>
      </c>
      <c r="BO118" s="162">
        <f t="shared" si="22"/>
        <v>0</v>
      </c>
      <c r="BP118" s="162">
        <v>4394.26</v>
      </c>
      <c r="BQ118" s="162">
        <v>44931.270000000914</v>
      </c>
      <c r="BR118" s="162">
        <v>0</v>
      </c>
      <c r="BS118" s="162">
        <f t="shared" si="23"/>
        <v>49325.530000000916</v>
      </c>
      <c r="BT118" s="162">
        <v>9512.5</v>
      </c>
      <c r="BU118" s="162">
        <v>0</v>
      </c>
      <c r="BV118" s="162">
        <v>0</v>
      </c>
      <c r="BW118" s="162">
        <f t="shared" si="24"/>
        <v>9512.5</v>
      </c>
      <c r="BX118" s="162">
        <v>0</v>
      </c>
      <c r="BY118" s="162">
        <v>9179.74</v>
      </c>
      <c r="BZ118" s="162">
        <v>0</v>
      </c>
      <c r="CA118" s="162">
        <v>0</v>
      </c>
      <c r="CB118" s="162">
        <f t="shared" si="25"/>
        <v>9179.74</v>
      </c>
      <c r="CC118" s="162">
        <f t="shared" si="26"/>
        <v>332.76000000000022</v>
      </c>
      <c r="CD118" s="162">
        <v>1271.78</v>
      </c>
      <c r="CE118" s="162">
        <f t="shared" si="27"/>
        <v>1604.5400000000002</v>
      </c>
    </row>
    <row r="119" spans="1:83" ht="13.8">
      <c r="A119" s="310">
        <v>2232</v>
      </c>
      <c r="B119" s="303" t="s">
        <v>496</v>
      </c>
      <c r="C119" s="25" t="s">
        <v>264</v>
      </c>
      <c r="D119" s="162">
        <v>1273556.3999999999</v>
      </c>
      <c r="E119" s="162">
        <v>0</v>
      </c>
      <c r="F119" s="162">
        <v>97938.91</v>
      </c>
      <c r="G119" s="162">
        <v>0</v>
      </c>
      <c r="H119" s="162">
        <v>79137</v>
      </c>
      <c r="I119" s="162">
        <v>330</v>
      </c>
      <c r="J119" s="162">
        <v>0</v>
      </c>
      <c r="K119" s="162">
        <v>24532.25</v>
      </c>
      <c r="L119" s="162">
        <v>24158.12</v>
      </c>
      <c r="M119" s="162">
        <v>51694.51</v>
      </c>
      <c r="N119" s="162">
        <v>3450</v>
      </c>
      <c r="O119" s="162">
        <v>153.4</v>
      </c>
      <c r="P119" s="162">
        <v>46887</v>
      </c>
      <c r="Q119" s="162">
        <v>1278.5</v>
      </c>
      <c r="R119" s="162">
        <v>0</v>
      </c>
      <c r="S119" s="162">
        <v>0</v>
      </c>
      <c r="T119" s="162">
        <v>0</v>
      </c>
      <c r="U119" s="162">
        <v>-441.25</v>
      </c>
      <c r="V119" s="162">
        <v>18611</v>
      </c>
      <c r="W119" s="162">
        <f t="shared" si="15"/>
        <v>1621285.8399999999</v>
      </c>
      <c r="X119" s="162">
        <v>878905.14</v>
      </c>
      <c r="Y119" s="162">
        <v>11902.45</v>
      </c>
      <c r="Z119" s="162">
        <v>296242.02</v>
      </c>
      <c r="AA119" s="162">
        <v>42101.56</v>
      </c>
      <c r="AB119" s="162">
        <v>63504.98</v>
      </c>
      <c r="AC119" s="162">
        <v>52625.279999999999</v>
      </c>
      <c r="AD119" s="162">
        <v>39354.15</v>
      </c>
      <c r="AE119" s="162">
        <v>7194.47</v>
      </c>
      <c r="AF119" s="162">
        <v>6387.33</v>
      </c>
      <c r="AG119" s="162">
        <v>6200</v>
      </c>
      <c r="AH119" s="162">
        <v>2155</v>
      </c>
      <c r="AI119" s="162">
        <v>3196.37</v>
      </c>
      <c r="AJ119" s="162">
        <v>4164.67</v>
      </c>
      <c r="AK119" s="162">
        <v>1331.61</v>
      </c>
      <c r="AL119" s="162">
        <v>2483</v>
      </c>
      <c r="AM119" s="162">
        <v>27963.5</v>
      </c>
      <c r="AN119" s="162">
        <v>23078.75</v>
      </c>
      <c r="AO119" s="162">
        <v>7316.64</v>
      </c>
      <c r="AP119" s="162">
        <v>73996.19</v>
      </c>
      <c r="AQ119" s="162">
        <v>24197.42</v>
      </c>
      <c r="AR119" s="162">
        <v>0</v>
      </c>
      <c r="AS119" s="162">
        <v>8889.2999999999993</v>
      </c>
      <c r="AT119" s="162">
        <v>5049.07</v>
      </c>
      <c r="AU119" s="162">
        <v>0</v>
      </c>
      <c r="AV119" s="162">
        <v>31077.02</v>
      </c>
      <c r="AW119" s="162">
        <v>0</v>
      </c>
      <c r="AX119" s="162">
        <v>0</v>
      </c>
      <c r="AY119" s="162">
        <v>10377.19</v>
      </c>
      <c r="AZ119" s="162">
        <v>0</v>
      </c>
      <c r="BA119" s="162">
        <v>719.46</v>
      </c>
      <c r="BB119" s="162">
        <v>5470.8</v>
      </c>
      <c r="BC119" s="162">
        <f t="shared" si="16"/>
        <v>1635883.3699999999</v>
      </c>
      <c r="BD119" s="162">
        <f t="shared" si="17"/>
        <v>-14597.530000000028</v>
      </c>
      <c r="BE119" s="162">
        <v>1802.27</v>
      </c>
      <c r="BF119" s="162">
        <f t="shared" si="18"/>
        <v>-12795.260000000028</v>
      </c>
      <c r="BG119" s="162">
        <v>0</v>
      </c>
      <c r="BH119" s="162">
        <v>0</v>
      </c>
      <c r="BI119" s="162">
        <f t="shared" si="19"/>
        <v>0</v>
      </c>
      <c r="BJ119" s="162">
        <v>0</v>
      </c>
      <c r="BK119" s="162">
        <v>0</v>
      </c>
      <c r="BL119" s="162">
        <f t="shared" si="20"/>
        <v>0</v>
      </c>
      <c r="BM119" s="162">
        <f t="shared" si="21"/>
        <v>0</v>
      </c>
      <c r="BN119" s="162">
        <v>0</v>
      </c>
      <c r="BO119" s="162">
        <f t="shared" si="22"/>
        <v>0</v>
      </c>
      <c r="BP119" s="162">
        <v>7621.32</v>
      </c>
      <c r="BQ119" s="162">
        <v>-20416.58000000026</v>
      </c>
      <c r="BR119" s="162">
        <v>0</v>
      </c>
      <c r="BS119" s="162">
        <f t="shared" si="23"/>
        <v>-12795.26000000026</v>
      </c>
      <c r="BT119" s="162">
        <v>7048.75</v>
      </c>
      <c r="BU119" s="162">
        <v>0</v>
      </c>
      <c r="BV119" s="162">
        <v>0</v>
      </c>
      <c r="BW119" s="162">
        <f t="shared" si="24"/>
        <v>7048.75</v>
      </c>
      <c r="BX119" s="162">
        <v>0</v>
      </c>
      <c r="BY119" s="162">
        <v>314.97000000000003</v>
      </c>
      <c r="BZ119" s="162">
        <v>0</v>
      </c>
      <c r="CA119" s="162">
        <v>11632.2</v>
      </c>
      <c r="CB119" s="162">
        <f t="shared" si="25"/>
        <v>11947.17</v>
      </c>
      <c r="CC119" s="162">
        <f t="shared" si="26"/>
        <v>-4898.42</v>
      </c>
      <c r="CD119" s="162">
        <v>21672.799999999999</v>
      </c>
      <c r="CE119" s="162">
        <f t="shared" si="27"/>
        <v>16774.379999999997</v>
      </c>
    </row>
    <row r="120" spans="1:83" ht="13.8">
      <c r="A120" s="312">
        <v>3392</v>
      </c>
      <c r="B120" s="305" t="s">
        <v>498</v>
      </c>
      <c r="C120" s="25" t="s">
        <v>264</v>
      </c>
      <c r="D120" s="162">
        <v>1496751.92</v>
      </c>
      <c r="E120" s="162">
        <v>0</v>
      </c>
      <c r="F120" s="162">
        <v>34382.839999999997</v>
      </c>
      <c r="G120" s="162">
        <v>0</v>
      </c>
      <c r="H120" s="162">
        <v>76960</v>
      </c>
      <c r="I120" s="162">
        <v>1021.93</v>
      </c>
      <c r="J120" s="162">
        <v>0</v>
      </c>
      <c r="K120" s="162">
        <v>26028</v>
      </c>
      <c r="L120" s="162">
        <v>97627.7</v>
      </c>
      <c r="M120" s="162">
        <v>40634.68</v>
      </c>
      <c r="N120" s="162">
        <v>0</v>
      </c>
      <c r="O120" s="162">
        <v>0</v>
      </c>
      <c r="P120" s="162">
        <v>28549.33</v>
      </c>
      <c r="Q120" s="162">
        <v>32648.44</v>
      </c>
      <c r="R120" s="162">
        <v>0</v>
      </c>
      <c r="S120" s="162">
        <v>0</v>
      </c>
      <c r="T120" s="162">
        <v>0</v>
      </c>
      <c r="U120" s="162">
        <v>3741.25</v>
      </c>
      <c r="V120" s="162">
        <v>56087</v>
      </c>
      <c r="W120" s="162">
        <f t="shared" si="15"/>
        <v>1894433.0899999999</v>
      </c>
      <c r="X120" s="162">
        <v>920772.17</v>
      </c>
      <c r="Y120" s="162">
        <v>10263.4</v>
      </c>
      <c r="Z120" s="162">
        <v>374676.65</v>
      </c>
      <c r="AA120" s="162">
        <v>79831.38</v>
      </c>
      <c r="AB120" s="162">
        <v>88902.38</v>
      </c>
      <c r="AC120" s="162">
        <v>60894.38</v>
      </c>
      <c r="AD120" s="162">
        <v>86293.16</v>
      </c>
      <c r="AE120" s="162">
        <v>416.2</v>
      </c>
      <c r="AF120" s="162">
        <v>8649.1200000000008</v>
      </c>
      <c r="AG120" s="162">
        <v>7525</v>
      </c>
      <c r="AH120" s="162">
        <v>0</v>
      </c>
      <c r="AI120" s="162">
        <v>18237.580000000002</v>
      </c>
      <c r="AJ120" s="162">
        <v>8957</v>
      </c>
      <c r="AK120" s="162">
        <v>7133.61</v>
      </c>
      <c r="AL120" s="162">
        <v>6453.87</v>
      </c>
      <c r="AM120" s="162">
        <v>50445.21</v>
      </c>
      <c r="AN120" s="162">
        <v>7480.2</v>
      </c>
      <c r="AO120" s="162">
        <v>33680.25</v>
      </c>
      <c r="AP120" s="162">
        <v>115008.52</v>
      </c>
      <c r="AQ120" s="162">
        <v>20542.260000000002</v>
      </c>
      <c r="AR120" s="162">
        <v>0</v>
      </c>
      <c r="AS120" s="162">
        <v>12991.53</v>
      </c>
      <c r="AT120" s="162">
        <v>6113.1</v>
      </c>
      <c r="AU120" s="162">
        <v>894.2</v>
      </c>
      <c r="AV120" s="162">
        <v>36452.370000000003</v>
      </c>
      <c r="AW120" s="162">
        <v>9267.18</v>
      </c>
      <c r="AX120" s="162">
        <v>0</v>
      </c>
      <c r="AY120" s="162">
        <v>15965.87</v>
      </c>
      <c r="AZ120" s="162">
        <v>0</v>
      </c>
      <c r="BA120" s="162">
        <v>0</v>
      </c>
      <c r="BB120" s="162">
        <v>0</v>
      </c>
      <c r="BC120" s="162">
        <f t="shared" si="16"/>
        <v>1987846.5900000003</v>
      </c>
      <c r="BD120" s="162">
        <f t="shared" si="17"/>
        <v>-93413.500000000466</v>
      </c>
      <c r="BE120" s="162">
        <v>-3406.5399999999972</v>
      </c>
      <c r="BF120" s="162">
        <f t="shared" si="18"/>
        <v>-96820.040000000459</v>
      </c>
      <c r="BG120" s="162">
        <v>110248.33</v>
      </c>
      <c r="BH120" s="162">
        <v>7519.3</v>
      </c>
      <c r="BI120" s="162">
        <f t="shared" si="19"/>
        <v>117767.63</v>
      </c>
      <c r="BJ120" s="162">
        <v>96271.58</v>
      </c>
      <c r="BK120" s="162">
        <v>5342.53</v>
      </c>
      <c r="BL120" s="162">
        <f t="shared" si="20"/>
        <v>101614.11</v>
      </c>
      <c r="BM120" s="162">
        <f t="shared" si="21"/>
        <v>16153.520000000004</v>
      </c>
      <c r="BN120" s="162">
        <v>4481.9399999999996</v>
      </c>
      <c r="BO120" s="162">
        <f t="shared" si="22"/>
        <v>20635.460000000003</v>
      </c>
      <c r="BP120" s="162">
        <v>12204.49</v>
      </c>
      <c r="BQ120" s="162">
        <v>-111871.7000000007</v>
      </c>
      <c r="BR120" s="162">
        <v>23482.630000000005</v>
      </c>
      <c r="BS120" s="162">
        <f t="shared" si="23"/>
        <v>-76184.580000000686</v>
      </c>
      <c r="BT120" s="162">
        <v>7701.25</v>
      </c>
      <c r="BU120" s="162">
        <v>0</v>
      </c>
      <c r="BV120" s="162">
        <v>0</v>
      </c>
      <c r="BW120" s="162">
        <f t="shared" si="24"/>
        <v>7701.25</v>
      </c>
      <c r="BX120" s="162">
        <v>0</v>
      </c>
      <c r="BY120" s="162">
        <v>33883.64</v>
      </c>
      <c r="BZ120" s="162">
        <v>0</v>
      </c>
      <c r="CA120" s="162">
        <v>1350.49</v>
      </c>
      <c r="CB120" s="162">
        <f t="shared" si="25"/>
        <v>35234.129999999997</v>
      </c>
      <c r="CC120" s="162">
        <f t="shared" si="26"/>
        <v>-27532.879999999997</v>
      </c>
      <c r="CD120" s="162">
        <v>43635.28</v>
      </c>
      <c r="CE120" s="162">
        <f t="shared" si="27"/>
        <v>16102.400000000001</v>
      </c>
    </row>
    <row r="121" spans="1:83" ht="13.8">
      <c r="A121" s="310">
        <v>3054</v>
      </c>
      <c r="B121" s="303" t="s">
        <v>500</v>
      </c>
      <c r="C121" s="25" t="s">
        <v>264</v>
      </c>
      <c r="D121" s="162">
        <v>694512.68</v>
      </c>
      <c r="E121" s="162">
        <v>0</v>
      </c>
      <c r="F121" s="162">
        <v>48362.6</v>
      </c>
      <c r="G121" s="162">
        <v>0</v>
      </c>
      <c r="H121" s="162">
        <v>35130</v>
      </c>
      <c r="I121" s="162">
        <v>3993.22</v>
      </c>
      <c r="J121" s="162">
        <v>18469.91</v>
      </c>
      <c r="K121" s="162">
        <v>2200</v>
      </c>
      <c r="L121" s="162">
        <v>18498.98</v>
      </c>
      <c r="M121" s="162">
        <v>11691.91</v>
      </c>
      <c r="N121" s="162">
        <v>0</v>
      </c>
      <c r="O121" s="162">
        <v>570.96</v>
      </c>
      <c r="P121" s="162">
        <v>8641.2999999999993</v>
      </c>
      <c r="Q121" s="162">
        <v>0</v>
      </c>
      <c r="R121" s="162">
        <v>0</v>
      </c>
      <c r="S121" s="162">
        <v>0</v>
      </c>
      <c r="T121" s="162">
        <v>0</v>
      </c>
      <c r="U121" s="162">
        <v>85.63</v>
      </c>
      <c r="V121" s="162">
        <v>27348</v>
      </c>
      <c r="W121" s="162">
        <f t="shared" si="15"/>
        <v>869505.19000000006</v>
      </c>
      <c r="X121" s="162">
        <v>416318.64</v>
      </c>
      <c r="Y121" s="162">
        <v>8879.02</v>
      </c>
      <c r="Z121" s="162">
        <v>189192.27</v>
      </c>
      <c r="AA121" s="162">
        <v>23129.72</v>
      </c>
      <c r="AB121" s="162">
        <v>40367.279999999999</v>
      </c>
      <c r="AC121" s="162">
        <v>26293.03</v>
      </c>
      <c r="AD121" s="162">
        <v>7863.11</v>
      </c>
      <c r="AE121" s="162">
        <v>6646.15</v>
      </c>
      <c r="AF121" s="162">
        <v>4720.3</v>
      </c>
      <c r="AG121" s="162">
        <v>2750</v>
      </c>
      <c r="AH121" s="162">
        <v>856.25</v>
      </c>
      <c r="AI121" s="162">
        <v>7075.44</v>
      </c>
      <c r="AJ121" s="162">
        <v>3000</v>
      </c>
      <c r="AK121" s="162">
        <v>2362.1999999999998</v>
      </c>
      <c r="AL121" s="162">
        <v>3999.17</v>
      </c>
      <c r="AM121" s="162">
        <v>16534.73</v>
      </c>
      <c r="AN121" s="162">
        <v>12849.25</v>
      </c>
      <c r="AO121" s="162">
        <v>6608.84</v>
      </c>
      <c r="AP121" s="162">
        <v>31275.74</v>
      </c>
      <c r="AQ121" s="162">
        <v>17416.32</v>
      </c>
      <c r="AR121" s="162">
        <v>0</v>
      </c>
      <c r="AS121" s="162">
        <v>4245.5200000000004</v>
      </c>
      <c r="AT121" s="162">
        <v>2400.37</v>
      </c>
      <c r="AU121" s="162">
        <v>475.5</v>
      </c>
      <c r="AV121" s="162">
        <v>16244.39</v>
      </c>
      <c r="AW121" s="162">
        <v>6009.29</v>
      </c>
      <c r="AX121" s="162">
        <v>0</v>
      </c>
      <c r="AY121" s="162">
        <v>12383.81</v>
      </c>
      <c r="AZ121" s="162">
        <v>0</v>
      </c>
      <c r="BA121" s="162">
        <v>0</v>
      </c>
      <c r="BB121" s="162">
        <v>0</v>
      </c>
      <c r="BC121" s="162">
        <f t="shared" si="16"/>
        <v>869896.34000000008</v>
      </c>
      <c r="BD121" s="162">
        <f t="shared" si="17"/>
        <v>-391.15000000002328</v>
      </c>
      <c r="BE121" s="162">
        <v>24085.13</v>
      </c>
      <c r="BF121" s="162">
        <f t="shared" si="18"/>
        <v>23693.979999999978</v>
      </c>
      <c r="BG121" s="162">
        <v>0</v>
      </c>
      <c r="BH121" s="162">
        <v>0</v>
      </c>
      <c r="BI121" s="162">
        <f t="shared" si="19"/>
        <v>0</v>
      </c>
      <c r="BJ121" s="162">
        <v>0</v>
      </c>
      <c r="BK121" s="162">
        <v>0</v>
      </c>
      <c r="BL121" s="162">
        <f t="shared" si="20"/>
        <v>0</v>
      </c>
      <c r="BM121" s="162">
        <f t="shared" si="21"/>
        <v>0</v>
      </c>
      <c r="BN121" s="162">
        <v>0</v>
      </c>
      <c r="BO121" s="162">
        <f t="shared" si="22"/>
        <v>0</v>
      </c>
      <c r="BP121" s="162">
        <v>3593</v>
      </c>
      <c r="BQ121" s="162">
        <v>20100.979999999974</v>
      </c>
      <c r="BR121" s="162">
        <v>0</v>
      </c>
      <c r="BS121" s="162">
        <f t="shared" si="23"/>
        <v>23693.979999999974</v>
      </c>
      <c r="BT121" s="162">
        <v>5299.38</v>
      </c>
      <c r="BU121" s="162">
        <v>1000</v>
      </c>
      <c r="BV121" s="162">
        <v>0</v>
      </c>
      <c r="BW121" s="162">
        <f t="shared" si="24"/>
        <v>6299.38</v>
      </c>
      <c r="BX121" s="162">
        <v>0</v>
      </c>
      <c r="BY121" s="162">
        <v>590</v>
      </c>
      <c r="BZ121" s="162">
        <v>0</v>
      </c>
      <c r="CA121" s="162">
        <v>3906.55</v>
      </c>
      <c r="CB121" s="162">
        <f t="shared" si="25"/>
        <v>4496.55</v>
      </c>
      <c r="CC121" s="162">
        <f t="shared" si="26"/>
        <v>1802.83</v>
      </c>
      <c r="CD121" s="162">
        <v>6481.08</v>
      </c>
      <c r="CE121" s="162">
        <f t="shared" si="27"/>
        <v>8283.91</v>
      </c>
    </row>
    <row r="122" spans="1:83" ht="13.8">
      <c r="A122" s="310">
        <v>3032</v>
      </c>
      <c r="B122" s="303" t="s">
        <v>502</v>
      </c>
      <c r="C122" s="25" t="s">
        <v>264</v>
      </c>
      <c r="D122" s="162">
        <v>950579.59</v>
      </c>
      <c r="E122" s="162">
        <v>0</v>
      </c>
      <c r="F122" s="162">
        <v>65173.279999999999</v>
      </c>
      <c r="G122" s="162">
        <v>0</v>
      </c>
      <c r="H122" s="162">
        <v>32560</v>
      </c>
      <c r="I122" s="162">
        <v>4713.93</v>
      </c>
      <c r="J122" s="162">
        <v>0</v>
      </c>
      <c r="K122" s="162">
        <v>11223.62</v>
      </c>
      <c r="L122" s="162">
        <v>7270.3</v>
      </c>
      <c r="M122" s="162">
        <v>28269.59</v>
      </c>
      <c r="N122" s="162">
        <v>7009.2</v>
      </c>
      <c r="O122" s="162">
        <v>235</v>
      </c>
      <c r="P122" s="162">
        <v>24826.41</v>
      </c>
      <c r="Q122" s="162">
        <v>50751.47</v>
      </c>
      <c r="R122" s="162">
        <v>0</v>
      </c>
      <c r="S122" s="162">
        <v>0</v>
      </c>
      <c r="T122" s="162">
        <v>0</v>
      </c>
      <c r="U122" s="162">
        <v>1472.5</v>
      </c>
      <c r="V122" s="162">
        <v>44336</v>
      </c>
      <c r="W122" s="162">
        <f t="shared" si="15"/>
        <v>1228420.8900000001</v>
      </c>
      <c r="X122" s="162">
        <v>604177.22</v>
      </c>
      <c r="Y122" s="162">
        <v>15868.72</v>
      </c>
      <c r="Z122" s="162">
        <v>230751.79</v>
      </c>
      <c r="AA122" s="162">
        <v>31230.65</v>
      </c>
      <c r="AB122" s="162">
        <v>55599.89</v>
      </c>
      <c r="AC122" s="162">
        <v>0</v>
      </c>
      <c r="AD122" s="162">
        <v>11250.47</v>
      </c>
      <c r="AE122" s="162">
        <v>5057.3999999999996</v>
      </c>
      <c r="AF122" s="162">
        <v>9284.5300000000007</v>
      </c>
      <c r="AG122" s="162">
        <v>4625</v>
      </c>
      <c r="AH122" s="162">
        <v>656.25</v>
      </c>
      <c r="AI122" s="162">
        <v>7640.1</v>
      </c>
      <c r="AJ122" s="162">
        <v>3243.75</v>
      </c>
      <c r="AK122" s="162">
        <v>3136.89</v>
      </c>
      <c r="AL122" s="162">
        <v>4394.43</v>
      </c>
      <c r="AM122" s="162">
        <v>21876.74</v>
      </c>
      <c r="AN122" s="162">
        <v>22205.5</v>
      </c>
      <c r="AO122" s="162">
        <v>4541.84</v>
      </c>
      <c r="AP122" s="162">
        <v>65172.18</v>
      </c>
      <c r="AQ122" s="162">
        <v>18788.75</v>
      </c>
      <c r="AR122" s="162">
        <v>0</v>
      </c>
      <c r="AS122" s="162">
        <v>15257.13</v>
      </c>
      <c r="AT122" s="162">
        <v>3757.94</v>
      </c>
      <c r="AU122" s="162">
        <v>3112.57</v>
      </c>
      <c r="AV122" s="162">
        <v>75624.240000000005</v>
      </c>
      <c r="AW122" s="162">
        <v>7964.12</v>
      </c>
      <c r="AX122" s="162">
        <v>13548.59</v>
      </c>
      <c r="AY122" s="162">
        <v>14897.96</v>
      </c>
      <c r="AZ122" s="162">
        <v>0</v>
      </c>
      <c r="BA122" s="162">
        <v>0</v>
      </c>
      <c r="BB122" s="162">
        <v>0</v>
      </c>
      <c r="BC122" s="162">
        <f t="shared" si="16"/>
        <v>1253664.6500000001</v>
      </c>
      <c r="BD122" s="162">
        <f t="shared" si="17"/>
        <v>-25243.760000000009</v>
      </c>
      <c r="BE122" s="162">
        <v>110760.45</v>
      </c>
      <c r="BF122" s="162">
        <f t="shared" si="18"/>
        <v>85516.689999999988</v>
      </c>
      <c r="BG122" s="162">
        <v>0</v>
      </c>
      <c r="BH122" s="162">
        <v>0</v>
      </c>
      <c r="BI122" s="162">
        <f t="shared" si="19"/>
        <v>0</v>
      </c>
      <c r="BJ122" s="162">
        <v>0</v>
      </c>
      <c r="BK122" s="162">
        <v>0</v>
      </c>
      <c r="BL122" s="162">
        <f t="shared" si="20"/>
        <v>0</v>
      </c>
      <c r="BM122" s="162">
        <f t="shared" si="21"/>
        <v>0</v>
      </c>
      <c r="BN122" s="162">
        <v>0</v>
      </c>
      <c r="BO122" s="162">
        <f t="shared" si="22"/>
        <v>0</v>
      </c>
      <c r="BP122" s="162">
        <v>3063.75</v>
      </c>
      <c r="BQ122" s="162">
        <v>82452.939999999988</v>
      </c>
      <c r="BR122" s="162">
        <v>0</v>
      </c>
      <c r="BS122" s="162">
        <f t="shared" si="23"/>
        <v>85516.689999999988</v>
      </c>
      <c r="BT122" s="162">
        <v>6283.75</v>
      </c>
      <c r="BU122" s="162">
        <v>0</v>
      </c>
      <c r="BV122" s="162">
        <v>0</v>
      </c>
      <c r="BW122" s="162">
        <f t="shared" si="24"/>
        <v>6283.75</v>
      </c>
      <c r="BX122" s="162">
        <v>0</v>
      </c>
      <c r="BY122" s="162">
        <v>14942.17</v>
      </c>
      <c r="BZ122" s="162">
        <v>0</v>
      </c>
      <c r="CA122" s="162">
        <v>1283.22</v>
      </c>
      <c r="CB122" s="162">
        <f t="shared" si="25"/>
        <v>16225.39</v>
      </c>
      <c r="CC122" s="162">
        <f t="shared" si="26"/>
        <v>-9941.64</v>
      </c>
      <c r="CD122" s="162">
        <v>19300.47</v>
      </c>
      <c r="CE122" s="162">
        <f t="shared" si="27"/>
        <v>9358.8300000000017</v>
      </c>
    </row>
    <row r="123" spans="1:83" ht="13.8">
      <c r="A123" s="310">
        <v>2054</v>
      </c>
      <c r="B123" s="303" t="s">
        <v>504</v>
      </c>
      <c r="C123" s="25" t="s">
        <v>264</v>
      </c>
      <c r="D123" s="162">
        <v>1728367.75</v>
      </c>
      <c r="E123" s="162">
        <v>0</v>
      </c>
      <c r="F123" s="162">
        <v>105419</v>
      </c>
      <c r="G123" s="162">
        <v>0</v>
      </c>
      <c r="H123" s="162">
        <v>123208.4</v>
      </c>
      <c r="I123" s="162">
        <v>6025.57</v>
      </c>
      <c r="J123" s="162">
        <v>0</v>
      </c>
      <c r="K123" s="162">
        <v>3667.5</v>
      </c>
      <c r="L123" s="162">
        <v>131159.78</v>
      </c>
      <c r="M123" s="162">
        <v>32939.79</v>
      </c>
      <c r="N123" s="162">
        <v>8690</v>
      </c>
      <c r="O123" s="162">
        <v>452.4</v>
      </c>
      <c r="P123" s="162">
        <v>32529.97</v>
      </c>
      <c r="Q123" s="162">
        <v>16173.99</v>
      </c>
      <c r="R123" s="162">
        <v>0</v>
      </c>
      <c r="S123" s="162">
        <v>0</v>
      </c>
      <c r="T123" s="162">
        <v>0</v>
      </c>
      <c r="U123" s="162">
        <v>4888.75</v>
      </c>
      <c r="V123" s="162">
        <v>68832</v>
      </c>
      <c r="W123" s="162">
        <f t="shared" si="15"/>
        <v>2262354.9000000004</v>
      </c>
      <c r="X123" s="162">
        <v>1097590.49</v>
      </c>
      <c r="Y123" s="162">
        <v>34060.080000000002</v>
      </c>
      <c r="Z123" s="162">
        <v>391070.56</v>
      </c>
      <c r="AA123" s="162">
        <v>65351.09</v>
      </c>
      <c r="AB123" s="162">
        <v>127212.99</v>
      </c>
      <c r="AC123" s="162">
        <v>0</v>
      </c>
      <c r="AD123" s="162">
        <v>83571.149999999994</v>
      </c>
      <c r="AE123" s="162">
        <v>8601.27</v>
      </c>
      <c r="AF123" s="162">
        <v>7100</v>
      </c>
      <c r="AG123" s="162">
        <v>8425</v>
      </c>
      <c r="AH123" s="162">
        <v>3028.75</v>
      </c>
      <c r="AI123" s="162">
        <v>22494.86</v>
      </c>
      <c r="AJ123" s="162">
        <v>4317.9399999999996</v>
      </c>
      <c r="AK123" s="162">
        <v>5513.24</v>
      </c>
      <c r="AL123" s="162">
        <v>4530</v>
      </c>
      <c r="AM123" s="162">
        <v>51299.61</v>
      </c>
      <c r="AN123" s="162">
        <v>44772</v>
      </c>
      <c r="AO123" s="162">
        <v>5917.81</v>
      </c>
      <c r="AP123" s="162">
        <v>73141.320000000007</v>
      </c>
      <c r="AQ123" s="162">
        <v>29520.32</v>
      </c>
      <c r="AR123" s="162">
        <v>0</v>
      </c>
      <c r="AS123" s="162">
        <v>10540.3</v>
      </c>
      <c r="AT123" s="162">
        <v>7210.76</v>
      </c>
      <c r="AU123" s="162">
        <v>22830.31</v>
      </c>
      <c r="AV123" s="162">
        <v>112506.09</v>
      </c>
      <c r="AW123" s="162">
        <v>23313.919999999998</v>
      </c>
      <c r="AX123" s="162">
        <v>584.47</v>
      </c>
      <c r="AY123" s="162">
        <v>18194.55</v>
      </c>
      <c r="AZ123" s="162">
        <v>0</v>
      </c>
      <c r="BA123" s="162">
        <v>0</v>
      </c>
      <c r="BB123" s="162">
        <v>0</v>
      </c>
      <c r="BC123" s="162">
        <f t="shared" si="16"/>
        <v>2262698.8800000004</v>
      </c>
      <c r="BD123" s="162">
        <f t="shared" si="17"/>
        <v>-343.97999999998137</v>
      </c>
      <c r="BE123" s="162">
        <v>142029.98000000001</v>
      </c>
      <c r="BF123" s="162">
        <f t="shared" si="18"/>
        <v>141686.00000000003</v>
      </c>
      <c r="BG123" s="162">
        <v>250947.67</v>
      </c>
      <c r="BH123" s="162">
        <v>24785.24</v>
      </c>
      <c r="BI123" s="162">
        <f t="shared" si="19"/>
        <v>275732.91000000003</v>
      </c>
      <c r="BJ123" s="162">
        <v>206554.19</v>
      </c>
      <c r="BK123" s="162">
        <v>50120.15</v>
      </c>
      <c r="BL123" s="162">
        <f t="shared" si="20"/>
        <v>256674.34</v>
      </c>
      <c r="BM123" s="162">
        <f t="shared" si="21"/>
        <v>19058.570000000036</v>
      </c>
      <c r="BN123" s="162">
        <v>46184.04</v>
      </c>
      <c r="BO123" s="162">
        <f t="shared" si="22"/>
        <v>65242.610000000037</v>
      </c>
      <c r="BP123" s="162">
        <v>0</v>
      </c>
      <c r="BQ123" s="162">
        <v>141686.00000000003</v>
      </c>
      <c r="BR123" s="162">
        <v>65242.610000000037</v>
      </c>
      <c r="BS123" s="162">
        <f t="shared" si="23"/>
        <v>206928.61000000007</v>
      </c>
      <c r="BT123" s="162">
        <v>7847.5</v>
      </c>
      <c r="BU123" s="162">
        <v>0</v>
      </c>
      <c r="BV123" s="162">
        <v>0</v>
      </c>
      <c r="BW123" s="162">
        <f t="shared" si="24"/>
        <v>7847.5</v>
      </c>
      <c r="BX123" s="162">
        <v>0</v>
      </c>
      <c r="BY123" s="162">
        <v>9401.5</v>
      </c>
      <c r="BZ123" s="162">
        <v>0</v>
      </c>
      <c r="CA123" s="162">
        <v>0</v>
      </c>
      <c r="CB123" s="162">
        <f t="shared" si="25"/>
        <v>9401.5</v>
      </c>
      <c r="CC123" s="162">
        <f t="shared" si="26"/>
        <v>-1554</v>
      </c>
      <c r="CD123" s="162">
        <v>1554.65</v>
      </c>
      <c r="CE123" s="162">
        <f t="shared" si="27"/>
        <v>0.65000000000009095</v>
      </c>
    </row>
    <row r="124" spans="1:83" ht="13.8">
      <c r="A124" s="310">
        <v>2240</v>
      </c>
      <c r="B124" s="303" t="s">
        <v>506</v>
      </c>
      <c r="C124" s="25" t="s">
        <v>264</v>
      </c>
      <c r="D124" s="162">
        <v>845401.06</v>
      </c>
      <c r="E124" s="162">
        <v>0</v>
      </c>
      <c r="F124" s="162">
        <v>36603.83</v>
      </c>
      <c r="G124" s="162">
        <v>0</v>
      </c>
      <c r="H124" s="162">
        <v>59340</v>
      </c>
      <c r="I124" s="162">
        <v>0</v>
      </c>
      <c r="J124" s="162">
        <v>0</v>
      </c>
      <c r="K124" s="162">
        <v>12116</v>
      </c>
      <c r="L124" s="162">
        <v>44482.400000000001</v>
      </c>
      <c r="M124" s="162">
        <v>17614.650000000001</v>
      </c>
      <c r="N124" s="162">
        <v>17520</v>
      </c>
      <c r="O124" s="162">
        <v>0</v>
      </c>
      <c r="P124" s="162">
        <v>7225.6</v>
      </c>
      <c r="Q124" s="162">
        <v>18830.259999999998</v>
      </c>
      <c r="R124" s="162">
        <v>0</v>
      </c>
      <c r="S124" s="162">
        <v>0</v>
      </c>
      <c r="T124" s="162">
        <v>0</v>
      </c>
      <c r="U124" s="162">
        <v>6747.3</v>
      </c>
      <c r="V124" s="162">
        <v>43107</v>
      </c>
      <c r="W124" s="162">
        <f t="shared" si="15"/>
        <v>1108988.1000000001</v>
      </c>
      <c r="X124" s="162">
        <v>437018.32</v>
      </c>
      <c r="Y124" s="162">
        <v>19171.060000000001</v>
      </c>
      <c r="Z124" s="162">
        <v>195050.66</v>
      </c>
      <c r="AA124" s="162">
        <v>37413.360000000001</v>
      </c>
      <c r="AB124" s="162">
        <v>42332.44</v>
      </c>
      <c r="AC124" s="162">
        <v>30555.5</v>
      </c>
      <c r="AD124" s="162">
        <v>52685.73</v>
      </c>
      <c r="AE124" s="162">
        <v>3383</v>
      </c>
      <c r="AF124" s="162">
        <v>3924.15</v>
      </c>
      <c r="AG124" s="162">
        <v>10442.01</v>
      </c>
      <c r="AH124" s="162">
        <v>0</v>
      </c>
      <c r="AI124" s="162">
        <v>15037.98</v>
      </c>
      <c r="AJ124" s="162">
        <v>2594.96</v>
      </c>
      <c r="AK124" s="162">
        <v>3259.48</v>
      </c>
      <c r="AL124" s="162">
        <v>4135</v>
      </c>
      <c r="AM124" s="162">
        <v>32829.620000000003</v>
      </c>
      <c r="AN124" s="162">
        <v>17340.25</v>
      </c>
      <c r="AO124" s="162">
        <v>8366.2800000000007</v>
      </c>
      <c r="AP124" s="162">
        <v>35641.85</v>
      </c>
      <c r="AQ124" s="162">
        <v>16855.52</v>
      </c>
      <c r="AR124" s="162">
        <v>0</v>
      </c>
      <c r="AS124" s="162">
        <v>6664.81</v>
      </c>
      <c r="AT124" s="162">
        <v>4193.8599999999997</v>
      </c>
      <c r="AU124" s="162">
        <v>7355.14</v>
      </c>
      <c r="AV124" s="162">
        <v>20185.98</v>
      </c>
      <c r="AW124" s="162">
        <v>0</v>
      </c>
      <c r="AX124" s="162">
        <v>10192.9</v>
      </c>
      <c r="AY124" s="162">
        <v>18867.45</v>
      </c>
      <c r="AZ124" s="162">
        <v>0</v>
      </c>
      <c r="BA124" s="162">
        <v>0</v>
      </c>
      <c r="BB124" s="162">
        <v>0</v>
      </c>
      <c r="BC124" s="162">
        <f t="shared" si="16"/>
        <v>1035497.31</v>
      </c>
      <c r="BD124" s="162">
        <f t="shared" si="17"/>
        <v>73490.790000000037</v>
      </c>
      <c r="BE124" s="162">
        <v>-61988.09</v>
      </c>
      <c r="BF124" s="162">
        <f t="shared" si="18"/>
        <v>11502.700000000041</v>
      </c>
      <c r="BG124" s="162">
        <v>90763.08</v>
      </c>
      <c r="BH124" s="162">
        <v>12957.68</v>
      </c>
      <c r="BI124" s="162">
        <f t="shared" si="19"/>
        <v>103720.76000000001</v>
      </c>
      <c r="BJ124" s="162">
        <v>101356.79</v>
      </c>
      <c r="BK124" s="162">
        <v>2655.8</v>
      </c>
      <c r="BL124" s="162">
        <f t="shared" si="20"/>
        <v>104012.59</v>
      </c>
      <c r="BM124" s="162">
        <f t="shared" si="21"/>
        <v>-291.82999999998719</v>
      </c>
      <c r="BN124" s="162">
        <v>1065.1199999999999</v>
      </c>
      <c r="BO124" s="162">
        <f t="shared" si="22"/>
        <v>773.2900000000127</v>
      </c>
      <c r="BP124" s="162">
        <v>0</v>
      </c>
      <c r="BQ124" s="162">
        <v>11502.700000000041</v>
      </c>
      <c r="BR124" s="162">
        <v>773.28999999999814</v>
      </c>
      <c r="BS124" s="162">
        <f t="shared" si="23"/>
        <v>12275.990000000038</v>
      </c>
      <c r="BT124" s="162">
        <v>5968.75</v>
      </c>
      <c r="BU124" s="162">
        <v>0</v>
      </c>
      <c r="BV124" s="162">
        <v>0</v>
      </c>
      <c r="BW124" s="162">
        <f t="shared" si="24"/>
        <v>5968.75</v>
      </c>
      <c r="BX124" s="162">
        <v>0</v>
      </c>
      <c r="BY124" s="162">
        <v>9211.19</v>
      </c>
      <c r="BZ124" s="162">
        <v>0</v>
      </c>
      <c r="CA124" s="162">
        <v>7362.92</v>
      </c>
      <c r="CB124" s="162">
        <f t="shared" si="25"/>
        <v>16574.11</v>
      </c>
      <c r="CC124" s="162">
        <f t="shared" si="26"/>
        <v>-10605.36</v>
      </c>
      <c r="CD124" s="162">
        <v>12037.8</v>
      </c>
      <c r="CE124" s="162">
        <f t="shared" si="27"/>
        <v>1432.4399999999987</v>
      </c>
    </row>
    <row r="125" spans="1:83" ht="13.8">
      <c r="A125" s="310">
        <v>2254</v>
      </c>
      <c r="B125" s="303" t="s">
        <v>508</v>
      </c>
      <c r="C125" s="25" t="s">
        <v>264</v>
      </c>
      <c r="D125" s="162">
        <v>853206.54</v>
      </c>
      <c r="E125" s="162">
        <v>0</v>
      </c>
      <c r="F125" s="162">
        <v>78586.929999999993</v>
      </c>
      <c r="G125" s="162">
        <v>0</v>
      </c>
      <c r="H125" s="162">
        <v>56210</v>
      </c>
      <c r="I125" s="162">
        <v>1200</v>
      </c>
      <c r="J125" s="162">
        <v>0</v>
      </c>
      <c r="K125" s="162">
        <v>0</v>
      </c>
      <c r="L125" s="162">
        <v>3556.09</v>
      </c>
      <c r="M125" s="162">
        <v>0</v>
      </c>
      <c r="N125" s="162">
        <v>19793</v>
      </c>
      <c r="O125" s="162">
        <v>96.35</v>
      </c>
      <c r="P125" s="162">
        <v>2046</v>
      </c>
      <c r="Q125" s="162">
        <v>2596.0500000000002</v>
      </c>
      <c r="R125" s="162">
        <v>0</v>
      </c>
      <c r="S125" s="162">
        <v>0</v>
      </c>
      <c r="T125" s="162">
        <v>0</v>
      </c>
      <c r="U125" s="162">
        <v>1775</v>
      </c>
      <c r="V125" s="162">
        <v>76546</v>
      </c>
      <c r="W125" s="162">
        <f t="shared" si="15"/>
        <v>1095611.96</v>
      </c>
      <c r="X125" s="162">
        <v>478241.05</v>
      </c>
      <c r="Y125" s="162">
        <v>15816.49</v>
      </c>
      <c r="Z125" s="162">
        <v>319402.78999999998</v>
      </c>
      <c r="AA125" s="162">
        <v>21936.36</v>
      </c>
      <c r="AB125" s="162">
        <v>31018.07</v>
      </c>
      <c r="AC125" s="162">
        <v>33196.410000000003</v>
      </c>
      <c r="AD125" s="162">
        <v>13491.85</v>
      </c>
      <c r="AE125" s="162">
        <v>3983</v>
      </c>
      <c r="AF125" s="162">
        <v>2552.89</v>
      </c>
      <c r="AG125" s="162">
        <v>3775</v>
      </c>
      <c r="AH125" s="162">
        <v>143.75</v>
      </c>
      <c r="AI125" s="162">
        <v>5045.24</v>
      </c>
      <c r="AJ125" s="162">
        <v>1474.97</v>
      </c>
      <c r="AK125" s="162">
        <v>1981.52</v>
      </c>
      <c r="AL125" s="162">
        <v>2517.2800000000002</v>
      </c>
      <c r="AM125" s="162">
        <v>16599.25</v>
      </c>
      <c r="AN125" s="162">
        <v>18463</v>
      </c>
      <c r="AO125" s="162">
        <v>1664.77</v>
      </c>
      <c r="AP125" s="162">
        <v>20692.12</v>
      </c>
      <c r="AQ125" s="162">
        <v>17908.38</v>
      </c>
      <c r="AR125" s="162">
        <v>0</v>
      </c>
      <c r="AS125" s="162">
        <v>11868.2</v>
      </c>
      <c r="AT125" s="162">
        <v>3158.82</v>
      </c>
      <c r="AU125" s="162">
        <v>55</v>
      </c>
      <c r="AV125" s="162">
        <v>16249.5</v>
      </c>
      <c r="AW125" s="162">
        <v>0</v>
      </c>
      <c r="AX125" s="162">
        <v>8475</v>
      </c>
      <c r="AY125" s="162">
        <v>15258.21</v>
      </c>
      <c r="AZ125" s="162">
        <v>0</v>
      </c>
      <c r="BA125" s="162">
        <v>0</v>
      </c>
      <c r="BB125" s="162">
        <v>0</v>
      </c>
      <c r="BC125" s="162">
        <f t="shared" si="16"/>
        <v>1064968.92</v>
      </c>
      <c r="BD125" s="162">
        <f t="shared" si="17"/>
        <v>30643.040000000037</v>
      </c>
      <c r="BE125" s="162">
        <v>20832</v>
      </c>
      <c r="BF125" s="162">
        <f t="shared" si="18"/>
        <v>51475.040000000037</v>
      </c>
      <c r="BG125" s="162">
        <v>0</v>
      </c>
      <c r="BH125" s="162">
        <v>0</v>
      </c>
      <c r="BI125" s="162">
        <f t="shared" si="19"/>
        <v>0</v>
      </c>
      <c r="BJ125" s="162">
        <v>0</v>
      </c>
      <c r="BK125" s="162">
        <v>0</v>
      </c>
      <c r="BL125" s="162">
        <f t="shared" si="20"/>
        <v>0</v>
      </c>
      <c r="BM125" s="162">
        <f t="shared" si="21"/>
        <v>0</v>
      </c>
      <c r="BN125" s="162">
        <v>0</v>
      </c>
      <c r="BO125" s="162">
        <f t="shared" si="22"/>
        <v>0</v>
      </c>
      <c r="BP125" s="162">
        <v>0</v>
      </c>
      <c r="BQ125" s="162">
        <v>51475.040000000037</v>
      </c>
      <c r="BR125" s="162">
        <v>0</v>
      </c>
      <c r="BS125" s="162">
        <f t="shared" si="23"/>
        <v>51475.040000000037</v>
      </c>
      <c r="BT125" s="162">
        <v>5473.75</v>
      </c>
      <c r="BU125" s="162">
        <v>0</v>
      </c>
      <c r="BV125" s="162">
        <v>0</v>
      </c>
      <c r="BW125" s="162">
        <f t="shared" si="24"/>
        <v>5473.75</v>
      </c>
      <c r="BX125" s="162">
        <v>0</v>
      </c>
      <c r="BY125" s="162">
        <v>6475.77</v>
      </c>
      <c r="BZ125" s="162">
        <v>0</v>
      </c>
      <c r="CA125" s="162">
        <v>2430</v>
      </c>
      <c r="CB125" s="162">
        <f t="shared" si="25"/>
        <v>8905.77</v>
      </c>
      <c r="CC125" s="162">
        <f t="shared" si="26"/>
        <v>-3432.0200000000004</v>
      </c>
      <c r="CD125" s="162">
        <v>12842.53</v>
      </c>
      <c r="CE125" s="162">
        <f t="shared" si="27"/>
        <v>9410.51</v>
      </c>
    </row>
  </sheetData>
  <phoneticPr fontId="1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26"/>
    <pageSetUpPr fitToPage="1"/>
  </sheetPr>
  <dimension ref="B1:N51"/>
  <sheetViews>
    <sheetView showGridLines="0" workbookViewId="0">
      <selection activeCell="R12" sqref="R12"/>
    </sheetView>
  </sheetViews>
  <sheetFormatPr defaultRowHeight="13.2"/>
  <sheetData>
    <row r="1" spans="2:14">
      <c r="B1" s="14"/>
      <c r="C1" s="14"/>
      <c r="D1" s="14"/>
      <c r="E1" s="14"/>
      <c r="F1" s="14"/>
      <c r="G1" s="14"/>
      <c r="H1" s="14"/>
      <c r="I1" s="14"/>
      <c r="J1" s="14"/>
      <c r="K1" s="14"/>
      <c r="L1" s="14"/>
      <c r="M1" s="14"/>
      <c r="N1" s="14"/>
    </row>
    <row r="2" spans="2:14">
      <c r="B2" s="14"/>
      <c r="C2" s="14"/>
      <c r="D2" s="14"/>
      <c r="E2" s="14"/>
      <c r="F2" s="14"/>
      <c r="G2" s="14"/>
      <c r="H2" s="14"/>
      <c r="I2" s="14"/>
      <c r="J2" s="14"/>
      <c r="K2" s="14"/>
      <c r="L2" s="14"/>
      <c r="M2" s="14"/>
      <c r="N2" s="14"/>
    </row>
    <row r="3" spans="2:14">
      <c r="B3" s="14"/>
      <c r="C3" s="14"/>
      <c r="D3" s="14"/>
      <c r="E3" s="14"/>
      <c r="F3" s="14"/>
      <c r="G3" s="14"/>
      <c r="H3" s="14"/>
      <c r="I3" s="14"/>
      <c r="J3" s="14"/>
      <c r="K3" s="14"/>
      <c r="L3" s="14"/>
      <c r="M3" s="14"/>
      <c r="N3" s="14"/>
    </row>
    <row r="4" spans="2:14">
      <c r="B4" s="14"/>
      <c r="C4" s="14"/>
      <c r="D4" s="14"/>
      <c r="E4" s="14"/>
      <c r="F4" s="14"/>
      <c r="G4" s="14"/>
      <c r="H4" s="14"/>
      <c r="I4" s="14"/>
      <c r="J4" s="14"/>
      <c r="K4" s="14"/>
      <c r="L4" s="14"/>
      <c r="M4" s="14"/>
      <c r="N4" s="14"/>
    </row>
    <row r="5" spans="2:14">
      <c r="B5" s="14"/>
      <c r="C5" s="14"/>
      <c r="D5" s="14"/>
      <c r="E5" s="14"/>
      <c r="F5" s="14"/>
      <c r="G5" s="14"/>
      <c r="H5" s="14"/>
      <c r="I5" s="14"/>
      <c r="J5" s="14"/>
      <c r="K5" s="14"/>
      <c r="L5" s="14"/>
      <c r="M5" s="14"/>
      <c r="N5" s="14"/>
    </row>
    <row r="6" spans="2:14">
      <c r="B6" s="14"/>
      <c r="C6" s="14"/>
      <c r="D6" s="14"/>
      <c r="E6" s="14"/>
      <c r="F6" s="14"/>
      <c r="G6" s="14"/>
      <c r="H6" s="14"/>
      <c r="I6" s="14"/>
      <c r="J6" s="14"/>
      <c r="K6" s="14"/>
      <c r="L6" s="14"/>
      <c r="M6" s="14"/>
      <c r="N6" s="14"/>
    </row>
    <row r="7" spans="2:14">
      <c r="B7" s="14"/>
      <c r="C7" s="14"/>
      <c r="D7" s="14"/>
      <c r="E7" s="14"/>
      <c r="F7" s="14"/>
      <c r="G7" s="14"/>
      <c r="H7" s="14"/>
      <c r="I7" s="14"/>
      <c r="J7" s="14"/>
      <c r="K7" s="14"/>
      <c r="L7" s="14"/>
      <c r="M7" s="14"/>
      <c r="N7" s="14"/>
    </row>
    <row r="8" spans="2:14">
      <c r="B8" s="14"/>
      <c r="C8" s="14"/>
      <c r="D8" s="14"/>
      <c r="E8" s="14"/>
      <c r="F8" s="14"/>
      <c r="G8" s="14"/>
      <c r="H8" s="14"/>
      <c r="I8" s="14"/>
      <c r="J8" s="14"/>
      <c r="K8" s="14"/>
      <c r="L8" s="14"/>
      <c r="M8" s="14"/>
      <c r="N8" s="14"/>
    </row>
    <row r="9" spans="2:14">
      <c r="B9" s="14"/>
      <c r="C9" s="14"/>
      <c r="D9" s="14"/>
      <c r="E9" s="14"/>
      <c r="F9" s="14"/>
      <c r="G9" s="14"/>
      <c r="H9" s="14"/>
      <c r="I9" s="14"/>
      <c r="J9" s="14"/>
      <c r="K9" s="14"/>
      <c r="L9" s="14"/>
      <c r="M9" s="14"/>
      <c r="N9" s="14"/>
    </row>
    <row r="10" spans="2:14">
      <c r="B10" s="14"/>
      <c r="C10" s="14"/>
      <c r="D10" s="14"/>
      <c r="E10" s="14"/>
      <c r="F10" s="14"/>
      <c r="G10" s="14"/>
      <c r="H10" s="14"/>
      <c r="I10" s="14"/>
      <c r="J10" s="14"/>
      <c r="K10" s="14"/>
      <c r="L10" s="14"/>
      <c r="M10" s="14"/>
      <c r="N10" s="14"/>
    </row>
    <row r="11" spans="2:14">
      <c r="B11" s="14"/>
      <c r="C11" s="14"/>
      <c r="D11" s="14"/>
      <c r="E11" s="14"/>
      <c r="F11" s="14"/>
      <c r="G11" s="14"/>
      <c r="H11" s="14"/>
      <c r="I11" s="14"/>
      <c r="J11" s="14"/>
      <c r="K11" s="14"/>
      <c r="L11" s="14"/>
      <c r="M11" s="14"/>
      <c r="N11" s="14"/>
    </row>
    <row r="12" spans="2:14">
      <c r="B12" s="14"/>
      <c r="C12" s="14"/>
      <c r="D12" s="14"/>
      <c r="E12" s="14"/>
      <c r="F12" s="14"/>
      <c r="G12" s="14"/>
      <c r="H12" s="14"/>
      <c r="I12" s="14"/>
      <c r="J12" s="14"/>
      <c r="K12" s="14"/>
      <c r="L12" s="14"/>
      <c r="M12" s="14"/>
      <c r="N12" s="14"/>
    </row>
    <row r="13" spans="2:14">
      <c r="B13" s="14"/>
      <c r="C13" s="14"/>
      <c r="D13" s="14"/>
      <c r="E13" s="14"/>
      <c r="F13" s="14"/>
      <c r="G13" s="14"/>
      <c r="H13" s="14"/>
      <c r="I13" s="14"/>
      <c r="J13" s="14"/>
      <c r="K13" s="14"/>
      <c r="L13" s="14"/>
      <c r="M13" s="14"/>
      <c r="N13" s="14"/>
    </row>
    <row r="14" spans="2:14">
      <c r="B14" s="14"/>
      <c r="C14" s="14"/>
      <c r="D14" s="14"/>
      <c r="E14" s="14"/>
      <c r="F14" s="14"/>
      <c r="G14" s="14"/>
      <c r="H14" s="14"/>
      <c r="I14" s="14"/>
      <c r="J14" s="14"/>
      <c r="K14" s="14"/>
      <c r="L14" s="14"/>
      <c r="M14" s="14"/>
      <c r="N14" s="14"/>
    </row>
    <row r="15" spans="2:14">
      <c r="B15" s="14"/>
      <c r="C15" s="14"/>
      <c r="D15" s="14"/>
      <c r="E15" s="14"/>
      <c r="F15" s="14"/>
      <c r="G15" s="14"/>
      <c r="H15" s="14"/>
      <c r="I15" s="14"/>
      <c r="J15" s="14"/>
      <c r="K15" s="14"/>
      <c r="L15" s="14"/>
      <c r="M15" s="14"/>
      <c r="N15" s="14"/>
    </row>
    <row r="16" spans="2:14">
      <c r="B16" s="14"/>
      <c r="C16" s="14"/>
      <c r="D16" s="14"/>
      <c r="E16" s="14"/>
      <c r="F16" s="14"/>
      <c r="G16" s="14"/>
      <c r="H16" s="14"/>
      <c r="I16" s="14"/>
      <c r="J16" s="14"/>
      <c r="K16" s="14"/>
      <c r="L16" s="14"/>
      <c r="M16" s="14"/>
      <c r="N16" s="14"/>
    </row>
    <row r="17" spans="2:14">
      <c r="B17" s="14"/>
      <c r="C17" s="14"/>
      <c r="D17" s="14"/>
      <c r="E17" s="14"/>
      <c r="F17" s="14"/>
      <c r="G17" s="14"/>
      <c r="H17" s="14"/>
      <c r="I17" s="14"/>
      <c r="J17" s="14"/>
      <c r="K17" s="14"/>
      <c r="L17" s="14"/>
      <c r="M17" s="14"/>
      <c r="N17" s="14"/>
    </row>
    <row r="18" spans="2:14">
      <c r="B18" s="14"/>
      <c r="C18" s="14"/>
      <c r="D18" s="14"/>
      <c r="E18" s="14"/>
      <c r="F18" s="14"/>
      <c r="G18" s="14"/>
      <c r="H18" s="14"/>
      <c r="I18" s="14"/>
      <c r="J18" s="14"/>
      <c r="K18" s="14"/>
      <c r="L18" s="14"/>
      <c r="M18" s="14"/>
      <c r="N18" s="14"/>
    </row>
    <row r="19" spans="2:14">
      <c r="B19" s="14"/>
      <c r="C19" s="14"/>
      <c r="D19" s="14"/>
      <c r="E19" s="14"/>
      <c r="F19" s="14"/>
      <c r="G19" s="14"/>
      <c r="H19" s="14"/>
      <c r="I19" s="14"/>
      <c r="J19" s="14"/>
      <c r="K19" s="14"/>
      <c r="L19" s="14"/>
      <c r="M19" s="14"/>
      <c r="N19" s="14"/>
    </row>
    <row r="20" spans="2:14">
      <c r="B20" s="14"/>
      <c r="C20" s="14"/>
      <c r="D20" s="14"/>
      <c r="E20" s="14"/>
      <c r="F20" s="14"/>
      <c r="G20" s="14"/>
      <c r="H20" s="14"/>
      <c r="I20" s="14"/>
      <c r="J20" s="14"/>
      <c r="K20" s="14"/>
      <c r="L20" s="14"/>
      <c r="M20" s="14"/>
      <c r="N20" s="14"/>
    </row>
    <row r="21" spans="2:14">
      <c r="B21" s="14"/>
      <c r="C21" s="14"/>
      <c r="D21" s="14"/>
      <c r="E21" s="14"/>
      <c r="F21" s="14"/>
      <c r="G21" s="14"/>
      <c r="H21" s="14"/>
      <c r="I21" s="14"/>
      <c r="J21" s="14"/>
      <c r="K21" s="14"/>
      <c r="L21" s="14"/>
      <c r="M21" s="14"/>
      <c r="N21" s="14"/>
    </row>
    <row r="22" spans="2:14">
      <c r="B22" s="14"/>
      <c r="C22" s="14"/>
      <c r="D22" s="14"/>
      <c r="E22" s="14"/>
      <c r="F22" s="14"/>
      <c r="G22" s="14"/>
      <c r="H22" s="14"/>
      <c r="I22" s="14"/>
      <c r="J22" s="14"/>
      <c r="K22" s="14"/>
      <c r="L22" s="14"/>
      <c r="M22" s="14"/>
      <c r="N22" s="14"/>
    </row>
    <row r="23" spans="2:14">
      <c r="B23" s="14"/>
      <c r="C23" s="14"/>
      <c r="D23" s="14"/>
      <c r="E23" s="14"/>
      <c r="F23" s="14"/>
      <c r="G23" s="14"/>
      <c r="H23" s="14"/>
      <c r="I23" s="14"/>
      <c r="J23" s="14"/>
      <c r="K23" s="14"/>
      <c r="L23" s="14"/>
      <c r="M23" s="14"/>
      <c r="N23" s="14"/>
    </row>
    <row r="24" spans="2:14">
      <c r="B24" s="14"/>
      <c r="C24" s="14"/>
      <c r="D24" s="14"/>
      <c r="E24" s="14"/>
      <c r="F24" s="14"/>
      <c r="G24" s="14"/>
      <c r="H24" s="14"/>
      <c r="I24" s="14"/>
      <c r="J24" s="14"/>
      <c r="K24" s="14"/>
      <c r="L24" s="14"/>
      <c r="M24" s="14"/>
      <c r="N24" s="14"/>
    </row>
    <row r="25" spans="2:14">
      <c r="B25" s="14"/>
      <c r="C25" s="14"/>
      <c r="D25" s="14"/>
      <c r="E25" s="14"/>
      <c r="F25" s="14"/>
      <c r="G25" s="14"/>
      <c r="H25" s="14"/>
      <c r="I25" s="14"/>
      <c r="J25" s="14"/>
      <c r="K25" s="14"/>
      <c r="L25" s="14"/>
      <c r="M25" s="14"/>
      <c r="N25" s="14"/>
    </row>
    <row r="26" spans="2:14">
      <c r="B26" s="14"/>
      <c r="C26" s="14"/>
      <c r="D26" s="14"/>
      <c r="E26" s="14"/>
      <c r="F26" s="14"/>
      <c r="G26" s="14"/>
      <c r="H26" s="14"/>
      <c r="I26" s="14"/>
      <c r="J26" s="14"/>
      <c r="K26" s="14"/>
      <c r="L26" s="14"/>
      <c r="M26" s="14"/>
      <c r="N26" s="14"/>
    </row>
    <row r="27" spans="2:14">
      <c r="B27" s="14"/>
      <c r="C27" s="14"/>
      <c r="D27" s="14"/>
      <c r="E27" s="14"/>
      <c r="F27" s="14"/>
      <c r="G27" s="14"/>
      <c r="H27" s="14"/>
      <c r="I27" s="14"/>
      <c r="J27" s="14"/>
      <c r="K27" s="14"/>
      <c r="L27" s="14"/>
      <c r="M27" s="14"/>
      <c r="N27" s="14"/>
    </row>
    <row r="28" spans="2:14">
      <c r="B28" s="14"/>
      <c r="C28" s="14"/>
      <c r="D28" s="14"/>
      <c r="E28" s="14"/>
      <c r="F28" s="14"/>
      <c r="G28" s="14"/>
      <c r="H28" s="14"/>
      <c r="I28" s="14"/>
      <c r="J28" s="14"/>
      <c r="K28" s="14"/>
      <c r="L28" s="14"/>
      <c r="M28" s="14"/>
      <c r="N28" s="14"/>
    </row>
    <row r="29" spans="2:14">
      <c r="B29" s="14"/>
      <c r="C29" s="14"/>
      <c r="D29" s="14"/>
      <c r="E29" s="14"/>
      <c r="F29" s="14"/>
      <c r="G29" s="14"/>
      <c r="H29" s="14"/>
      <c r="I29" s="14"/>
      <c r="J29" s="14"/>
      <c r="K29" s="14"/>
      <c r="L29" s="14"/>
      <c r="M29" s="14"/>
      <c r="N29" s="14"/>
    </row>
    <row r="30" spans="2:14">
      <c r="B30" s="14"/>
      <c r="C30" s="14"/>
      <c r="D30" s="14"/>
      <c r="E30" s="14"/>
      <c r="F30" s="14"/>
      <c r="G30" s="14"/>
      <c r="H30" s="14"/>
      <c r="I30" s="14"/>
      <c r="J30" s="14"/>
      <c r="K30" s="14"/>
      <c r="L30" s="14"/>
      <c r="M30" s="14"/>
      <c r="N30" s="14"/>
    </row>
    <row r="31" spans="2:14">
      <c r="B31" s="14"/>
      <c r="C31" s="14"/>
      <c r="D31" s="14"/>
      <c r="E31" s="14"/>
      <c r="F31" s="14"/>
      <c r="G31" s="14"/>
      <c r="H31" s="14"/>
      <c r="I31" s="14"/>
      <c r="J31" s="14"/>
      <c r="K31" s="14"/>
      <c r="L31" s="14"/>
      <c r="M31" s="14"/>
      <c r="N31" s="14"/>
    </row>
    <row r="32" spans="2:14">
      <c r="B32" s="14"/>
      <c r="C32" s="14"/>
      <c r="D32" s="14"/>
      <c r="E32" s="14"/>
      <c r="F32" s="14"/>
      <c r="G32" s="14"/>
      <c r="H32" s="14"/>
      <c r="I32" s="14"/>
      <c r="J32" s="14"/>
      <c r="K32" s="14"/>
      <c r="L32" s="14"/>
      <c r="M32" s="14"/>
      <c r="N32" s="14"/>
    </row>
    <row r="33" spans="2:14">
      <c r="B33" s="14"/>
      <c r="C33" s="14"/>
      <c r="D33" s="14"/>
      <c r="E33" s="14"/>
      <c r="F33" s="14"/>
      <c r="G33" s="14"/>
      <c r="H33" s="14"/>
      <c r="I33" s="14"/>
      <c r="J33" s="14"/>
      <c r="K33" s="14"/>
      <c r="L33" s="14"/>
      <c r="M33" s="14"/>
      <c r="N33" s="14"/>
    </row>
    <row r="34" spans="2:14">
      <c r="B34" s="14"/>
      <c r="C34" s="14"/>
      <c r="D34" s="14"/>
      <c r="E34" s="14"/>
      <c r="F34" s="14"/>
      <c r="G34" s="14"/>
      <c r="H34" s="14"/>
      <c r="I34" s="14"/>
      <c r="J34" s="14"/>
      <c r="K34" s="14"/>
      <c r="L34" s="14"/>
      <c r="M34" s="14"/>
      <c r="N34" s="14"/>
    </row>
    <row r="35" spans="2:14">
      <c r="B35" s="14"/>
      <c r="C35" s="14"/>
      <c r="D35" s="14"/>
      <c r="E35" s="14"/>
      <c r="F35" s="14"/>
      <c r="G35" s="14"/>
      <c r="H35" s="14"/>
      <c r="I35" s="14"/>
      <c r="J35" s="14"/>
      <c r="K35" s="14"/>
      <c r="L35" s="14"/>
      <c r="M35" s="14"/>
      <c r="N35" s="14"/>
    </row>
    <row r="36" spans="2:14">
      <c r="B36" s="14"/>
      <c r="C36" s="14"/>
      <c r="D36" s="14"/>
      <c r="E36" s="14"/>
      <c r="F36" s="14"/>
      <c r="G36" s="14"/>
      <c r="H36" s="14"/>
      <c r="I36" s="14"/>
      <c r="J36" s="14"/>
      <c r="K36" s="14"/>
      <c r="L36" s="14"/>
      <c r="M36" s="14"/>
      <c r="N36" s="14"/>
    </row>
    <row r="37" spans="2:14">
      <c r="B37" s="14"/>
      <c r="C37" s="14"/>
      <c r="D37" s="14"/>
      <c r="E37" s="14"/>
      <c r="F37" s="14"/>
      <c r="G37" s="14"/>
      <c r="H37" s="14"/>
      <c r="I37" s="14"/>
      <c r="J37" s="14"/>
      <c r="K37" s="14"/>
      <c r="L37" s="14"/>
      <c r="M37" s="14"/>
      <c r="N37" s="14"/>
    </row>
    <row r="38" spans="2:14">
      <c r="B38" s="14"/>
      <c r="C38" s="14"/>
      <c r="D38" s="14"/>
      <c r="E38" s="14"/>
      <c r="F38" s="14"/>
      <c r="G38" s="14"/>
      <c r="H38" s="14"/>
      <c r="I38" s="14"/>
      <c r="J38" s="14"/>
      <c r="K38" s="14"/>
      <c r="L38" s="14"/>
      <c r="M38" s="14"/>
      <c r="N38" s="14"/>
    </row>
    <row r="39" spans="2:14">
      <c r="B39" s="14"/>
      <c r="C39" s="14"/>
      <c r="D39" s="14"/>
      <c r="E39" s="14"/>
      <c r="F39" s="14"/>
      <c r="G39" s="14"/>
      <c r="H39" s="14"/>
      <c r="I39" s="14"/>
      <c r="J39" s="14"/>
      <c r="K39" s="14"/>
      <c r="L39" s="14"/>
      <c r="M39" s="14"/>
      <c r="N39" s="14"/>
    </row>
    <row r="40" spans="2:14">
      <c r="B40" s="14"/>
      <c r="C40" s="14"/>
      <c r="D40" s="14"/>
      <c r="E40" s="14"/>
      <c r="F40" s="14"/>
      <c r="G40" s="14"/>
      <c r="H40" s="14"/>
      <c r="I40" s="14"/>
      <c r="J40" s="14"/>
      <c r="K40" s="14"/>
      <c r="L40" s="14"/>
      <c r="M40" s="14"/>
      <c r="N40" s="14"/>
    </row>
    <row r="41" spans="2:14">
      <c r="B41" s="14"/>
      <c r="C41" s="14"/>
      <c r="D41" s="14"/>
      <c r="E41" s="14"/>
      <c r="F41" s="14"/>
      <c r="G41" s="14"/>
      <c r="H41" s="14"/>
      <c r="I41" s="14"/>
      <c r="J41" s="14"/>
      <c r="K41" s="14"/>
      <c r="L41" s="14"/>
      <c r="M41" s="14"/>
      <c r="N41" s="14"/>
    </row>
    <row r="42" spans="2:14">
      <c r="B42" s="14"/>
      <c r="C42" s="14"/>
      <c r="D42" s="14"/>
      <c r="E42" s="14"/>
      <c r="F42" s="14"/>
      <c r="G42" s="14"/>
      <c r="H42" s="14"/>
      <c r="I42" s="14"/>
      <c r="J42" s="14"/>
      <c r="K42" s="14"/>
      <c r="L42" s="14"/>
      <c r="M42" s="14"/>
      <c r="N42" s="14"/>
    </row>
    <row r="43" spans="2:14">
      <c r="B43" s="14"/>
      <c r="C43" s="14"/>
      <c r="D43" s="14"/>
      <c r="E43" s="14"/>
      <c r="F43" s="14"/>
      <c r="G43" s="14"/>
      <c r="H43" s="14"/>
      <c r="I43" s="14"/>
      <c r="J43" s="14"/>
      <c r="K43" s="14"/>
      <c r="L43" s="14"/>
      <c r="M43" s="14"/>
      <c r="N43" s="14"/>
    </row>
    <row r="44" spans="2:14">
      <c r="B44" s="14"/>
      <c r="C44" s="14"/>
      <c r="D44" s="14"/>
      <c r="E44" s="14"/>
      <c r="F44" s="14"/>
      <c r="G44" s="14"/>
      <c r="H44" s="14"/>
      <c r="I44" s="14"/>
      <c r="J44" s="14"/>
      <c r="K44" s="14"/>
      <c r="L44" s="14"/>
      <c r="M44" s="14"/>
      <c r="N44" s="14"/>
    </row>
    <row r="45" spans="2:14">
      <c r="B45" s="14"/>
      <c r="C45" s="14"/>
      <c r="D45" s="14"/>
      <c r="E45" s="14"/>
      <c r="F45" s="14"/>
      <c r="G45" s="14"/>
      <c r="H45" s="14"/>
      <c r="I45" s="14"/>
      <c r="J45" s="14"/>
      <c r="K45" s="14"/>
      <c r="L45" s="14"/>
      <c r="M45" s="14"/>
      <c r="N45" s="14"/>
    </row>
    <row r="46" spans="2:14">
      <c r="B46" s="14"/>
      <c r="C46" s="14"/>
      <c r="D46" s="14"/>
      <c r="E46" s="14"/>
      <c r="F46" s="14"/>
      <c r="G46" s="14"/>
      <c r="H46" s="14"/>
      <c r="I46" s="14"/>
      <c r="J46" s="14"/>
      <c r="K46" s="14"/>
      <c r="L46" s="14"/>
      <c r="M46" s="14"/>
      <c r="N46" s="14"/>
    </row>
    <row r="47" spans="2:14">
      <c r="B47" s="14"/>
      <c r="C47" s="14"/>
      <c r="D47" s="14"/>
      <c r="E47" s="14"/>
      <c r="F47" s="14"/>
      <c r="G47" s="14"/>
      <c r="H47" s="14"/>
      <c r="I47" s="14"/>
      <c r="J47" s="14"/>
      <c r="K47" s="14"/>
      <c r="L47" s="14"/>
      <c r="M47" s="14"/>
      <c r="N47" s="14"/>
    </row>
    <row r="48" spans="2:14">
      <c r="B48" s="14"/>
      <c r="C48" s="14"/>
      <c r="D48" s="14"/>
      <c r="E48" s="14"/>
      <c r="F48" s="14"/>
      <c r="G48" s="14"/>
      <c r="H48" s="14"/>
      <c r="I48" s="14"/>
      <c r="J48" s="14"/>
      <c r="K48" s="14"/>
      <c r="L48" s="14"/>
      <c r="M48" s="14"/>
      <c r="N48" s="14"/>
    </row>
    <row r="49" spans="2:14">
      <c r="B49" s="14"/>
      <c r="C49" s="14"/>
      <c r="D49" s="14"/>
      <c r="E49" s="14"/>
      <c r="F49" s="14"/>
      <c r="G49" s="14"/>
      <c r="H49" s="14"/>
      <c r="I49" s="14"/>
      <c r="J49" s="14"/>
      <c r="K49" s="14"/>
      <c r="L49" s="14"/>
      <c r="M49" s="14"/>
      <c r="N49" s="14"/>
    </row>
    <row r="50" spans="2:14">
      <c r="B50" s="14"/>
      <c r="C50" s="14"/>
      <c r="D50" s="14"/>
      <c r="E50" s="14"/>
      <c r="F50" s="14"/>
      <c r="G50" s="14"/>
      <c r="H50" s="14"/>
      <c r="I50" s="14"/>
      <c r="J50" s="14"/>
      <c r="K50" s="14"/>
      <c r="L50" s="14"/>
      <c r="M50" s="14"/>
      <c r="N50" s="14"/>
    </row>
    <row r="51" spans="2:14">
      <c r="B51" s="14"/>
      <c r="C51" s="14"/>
      <c r="D51" s="14"/>
      <c r="E51" s="14"/>
      <c r="F51" s="14"/>
      <c r="G51" s="14"/>
      <c r="H51" s="14"/>
      <c r="I51" s="14"/>
      <c r="J51" s="14"/>
      <c r="K51" s="14"/>
      <c r="L51" s="14"/>
      <c r="M51" s="14"/>
      <c r="N51" s="14"/>
    </row>
  </sheetData>
  <sheetProtection sheet="1" objects="1" scenarios="1"/>
  <phoneticPr fontId="11" type="noConversion"/>
  <pageMargins left="0.75" right="0.75" top="1" bottom="1" header="0.5" footer="0.5"/>
  <pageSetup paperSize="9" scale="68" orientation="portrait" r:id="rId1"/>
  <headerFooter alignWithMargins="0"/>
  <drawing r:id="rId2"/>
  <legacyDrawing r:id="rId3"/>
  <oleObjects>
    <mc:AlternateContent xmlns:mc="http://schemas.openxmlformats.org/markup-compatibility/2006">
      <mc:Choice Requires="x14">
        <oleObject progId="Word.Document.8" shapeId="2053" r:id="rId4">
          <objectPr defaultSize="0" r:id="rId5">
            <anchor moveWithCells="1">
              <from>
                <xdr:col>1</xdr:col>
                <xdr:colOff>0</xdr:colOff>
                <xdr:row>0</xdr:row>
                <xdr:rowOff>0</xdr:rowOff>
              </from>
              <to>
                <xdr:col>14</xdr:col>
                <xdr:colOff>327660</xdr:colOff>
                <xdr:row>54</xdr:row>
                <xdr:rowOff>144780</xdr:rowOff>
              </to>
            </anchor>
          </objectPr>
        </oleObject>
      </mc:Choice>
      <mc:Fallback>
        <oleObject progId="Word.Document.8" shapeId="20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9"/>
    <pageSetUpPr fitToPage="1"/>
  </sheetPr>
  <dimension ref="A1:I115"/>
  <sheetViews>
    <sheetView showGridLines="0" view="pageBreakPreview" zoomScale="115" zoomScaleNormal="100" zoomScaleSheetLayoutView="115" workbookViewId="0">
      <selection activeCell="G54" sqref="G54"/>
    </sheetView>
  </sheetViews>
  <sheetFormatPr defaultColWidth="9.109375" defaultRowHeight="13.2"/>
  <cols>
    <col min="1" max="1" width="13.6640625" style="18" customWidth="1"/>
    <col min="2" max="2" width="24.6640625" style="18" customWidth="1"/>
    <col min="3" max="3" width="13.6640625" style="18" customWidth="1"/>
    <col min="4" max="4" width="14.6640625" style="18" customWidth="1"/>
    <col min="5" max="5" width="25.6640625" style="18" customWidth="1"/>
    <col min="6" max="8" width="12.6640625" style="18" customWidth="1"/>
    <col min="9" max="16384" width="9.109375" style="18"/>
  </cols>
  <sheetData>
    <row r="1" spans="1:9" ht="15.75" customHeight="1">
      <c r="A1" s="357" t="s">
        <v>6</v>
      </c>
      <c r="B1" s="357"/>
      <c r="C1" s="357"/>
      <c r="D1" s="357"/>
      <c r="E1" s="357"/>
      <c r="F1" s="357"/>
      <c r="G1" s="357"/>
      <c r="H1" s="357"/>
    </row>
    <row r="2" spans="1:9" ht="20.25" customHeight="1">
      <c r="A2" s="358" t="s">
        <v>7</v>
      </c>
      <c r="B2" s="358"/>
      <c r="C2" s="358"/>
      <c r="D2" s="358"/>
      <c r="E2" s="358"/>
      <c r="F2" s="358"/>
      <c r="G2" s="358"/>
      <c r="H2" s="358"/>
    </row>
    <row r="3" spans="1:9">
      <c r="A3" s="196"/>
      <c r="B3" s="196"/>
      <c r="C3" s="196"/>
      <c r="D3" s="196"/>
      <c r="E3" s="196"/>
      <c r="F3" s="196"/>
      <c r="G3" s="196"/>
      <c r="H3" s="196"/>
    </row>
    <row r="4" spans="1:9" ht="21">
      <c r="A4" s="359" t="str">
        <f>'b) Budget Template'!A1</f>
        <v>Deficit Recovery Planner 2025-2028</v>
      </c>
      <c r="B4" s="359"/>
      <c r="C4" s="359"/>
      <c r="D4" s="359"/>
      <c r="E4" s="359"/>
      <c r="F4" s="359"/>
      <c r="G4" s="359"/>
      <c r="H4" s="359"/>
      <c r="I4" s="19"/>
    </row>
    <row r="5" spans="1:9" ht="15.6">
      <c r="A5" s="20"/>
      <c r="B5" s="20"/>
      <c r="C5" s="20"/>
      <c r="D5" s="20"/>
      <c r="E5" s="20"/>
      <c r="F5" s="20"/>
      <c r="G5" s="20"/>
      <c r="H5" s="20"/>
      <c r="I5" s="20"/>
    </row>
    <row r="7" spans="1:9">
      <c r="A7" s="21" t="s">
        <v>8</v>
      </c>
      <c r="B7" s="22" t="str">
        <f>IF(H7=0,"please choose your school in the Budget Template sheet",'b) Budget Template'!B3)</f>
        <v>please choose your school in the Budget Template sheet</v>
      </c>
      <c r="G7" s="23" t="s">
        <v>9</v>
      </c>
      <c r="H7" s="24">
        <f>'b) Budget Template'!I3</f>
        <v>0</v>
      </c>
    </row>
    <row r="9" spans="1:9" s="25" customFormat="1" ht="13.8" thickBot="1">
      <c r="A9" s="10"/>
      <c r="B9" s="10"/>
      <c r="C9" s="10"/>
      <c r="D9" s="10"/>
    </row>
    <row r="10" spans="1:9" s="25" customFormat="1" ht="26.25" customHeight="1" thickBot="1">
      <c r="A10" s="13" t="s">
        <v>10</v>
      </c>
      <c r="B10" s="10"/>
      <c r="C10" s="10"/>
      <c r="D10" s="10"/>
      <c r="E10" s="322" t="s">
        <v>11</v>
      </c>
      <c r="F10" s="362"/>
      <c r="G10" s="363"/>
      <c r="H10" s="363"/>
    </row>
    <row r="11" spans="1:9" s="25" customFormat="1">
      <c r="A11" s="10"/>
      <c r="B11" s="10"/>
      <c r="C11" s="10"/>
      <c r="D11" s="10"/>
    </row>
    <row r="12" spans="1:9" s="25" customFormat="1" ht="13.8" hidden="1" thickBot="1">
      <c r="A12" s="10"/>
      <c r="B12" s="10"/>
      <c r="C12" s="10"/>
      <c r="D12" s="10"/>
    </row>
    <row r="13" spans="1:9" s="25" customFormat="1" ht="21.6" hidden="1" thickBot="1">
      <c r="A13" s="13" t="s">
        <v>12</v>
      </c>
      <c r="B13" s="10"/>
      <c r="C13" s="10"/>
      <c r="D13" s="10"/>
      <c r="E13" s="12" t="s">
        <v>13</v>
      </c>
    </row>
    <row r="14" spans="1:9" s="25" customFormat="1" ht="12.75" hidden="1" customHeight="1">
      <c r="A14" s="10" t="s">
        <v>14</v>
      </c>
      <c r="B14" s="10"/>
      <c r="C14" s="10"/>
      <c r="D14" s="10"/>
      <c r="E14" s="125"/>
    </row>
    <row r="15" spans="1:9" s="25" customFormat="1" ht="13.8" thickBot="1">
      <c r="A15" s="10"/>
      <c r="B15" s="10"/>
      <c r="C15" s="10"/>
      <c r="D15" s="10"/>
    </row>
    <row r="16" spans="1:9" s="25" customFormat="1" ht="21.6" thickBot="1">
      <c r="A16" s="13" t="s">
        <v>15</v>
      </c>
      <c r="B16" s="10"/>
      <c r="D16" s="10"/>
      <c r="E16" s="12" t="s">
        <v>13</v>
      </c>
    </row>
    <row r="17" spans="1:8" s="25" customFormat="1">
      <c r="A17" s="11" t="s">
        <v>16</v>
      </c>
      <c r="B17" s="10"/>
      <c r="C17" s="10"/>
      <c r="D17" s="10"/>
    </row>
    <row r="18" spans="1:8" s="25" customFormat="1">
      <c r="A18" s="11" t="s">
        <v>17</v>
      </c>
      <c r="B18" s="10"/>
      <c r="C18" s="10"/>
      <c r="D18" s="10"/>
      <c r="E18" s="26"/>
      <c r="F18" s="26"/>
      <c r="G18" s="26"/>
      <c r="H18" s="26"/>
    </row>
    <row r="19" spans="1:8" s="25" customFormat="1">
      <c r="A19" s="37" t="s">
        <v>18</v>
      </c>
      <c r="B19" s="10"/>
      <c r="C19" s="10"/>
      <c r="D19" s="10"/>
      <c r="E19" s="26"/>
      <c r="F19" s="26"/>
      <c r="G19" s="26"/>
      <c r="H19" s="26"/>
    </row>
    <row r="20" spans="1:8" s="25" customFormat="1">
      <c r="A20" s="11"/>
      <c r="B20" s="10"/>
      <c r="C20" s="10"/>
      <c r="D20" s="10"/>
      <c r="E20" s="26"/>
      <c r="F20" s="26"/>
      <c r="G20" s="26"/>
      <c r="H20" s="26"/>
    </row>
    <row r="21" spans="1:8" s="25" customFormat="1">
      <c r="A21" s="11" t="s">
        <v>19</v>
      </c>
      <c r="B21" s="10"/>
      <c r="C21" s="364"/>
      <c r="D21" s="364"/>
      <c r="E21" s="26"/>
      <c r="F21" s="26"/>
      <c r="G21" s="26"/>
      <c r="H21" s="26"/>
    </row>
    <row r="22" spans="1:8" s="25" customFormat="1">
      <c r="A22" s="11"/>
      <c r="B22" s="10"/>
      <c r="C22" s="10"/>
      <c r="D22" s="10"/>
      <c r="E22" s="26"/>
      <c r="F22" s="26"/>
      <c r="G22" s="26"/>
      <c r="H22" s="26"/>
    </row>
    <row r="23" spans="1:8">
      <c r="A23" s="11" t="s">
        <v>20</v>
      </c>
      <c r="B23" s="10"/>
      <c r="C23" s="364"/>
      <c r="D23" s="364"/>
      <c r="E23" s="27"/>
      <c r="F23" s="21"/>
      <c r="G23" s="21"/>
      <c r="H23" s="21"/>
    </row>
    <row r="24" spans="1:8">
      <c r="A24" s="11"/>
      <c r="B24" s="10"/>
      <c r="C24" s="10"/>
      <c r="D24" s="10"/>
    </row>
    <row r="25" spans="1:8">
      <c r="A25" s="11" t="s">
        <v>21</v>
      </c>
      <c r="B25" s="10"/>
      <c r="C25" s="365"/>
      <c r="D25" s="364"/>
    </row>
    <row r="28" spans="1:8">
      <c r="A28" s="28" t="s">
        <v>22</v>
      </c>
    </row>
    <row r="30" spans="1:8">
      <c r="A30" s="38" t="s">
        <v>23</v>
      </c>
      <c r="B30" s="39"/>
      <c r="C30" s="39"/>
      <c r="D30" s="39"/>
      <c r="E30" s="40"/>
      <c r="F30" s="9" t="s">
        <v>24</v>
      </c>
      <c r="G30" s="9" t="s">
        <v>25</v>
      </c>
      <c r="H30" s="9" t="s">
        <v>26</v>
      </c>
    </row>
    <row r="31" spans="1:8">
      <c r="A31" s="29" t="s">
        <v>27</v>
      </c>
      <c r="B31" s="30"/>
      <c r="C31" s="30"/>
      <c r="D31" s="30"/>
      <c r="E31" s="31"/>
      <c r="F31" s="333">
        <f>'b) Budget Template'!E31</f>
        <v>0</v>
      </c>
      <c r="G31" s="333">
        <f>'b) Budget Template'!G31</f>
        <v>0</v>
      </c>
      <c r="H31" s="333">
        <f>'b) Budget Template'!I31</f>
        <v>0</v>
      </c>
    </row>
    <row r="32" spans="1:8">
      <c r="A32" s="29" t="s">
        <v>28</v>
      </c>
      <c r="B32" s="30"/>
      <c r="C32" s="30"/>
      <c r="D32" s="30"/>
      <c r="E32" s="31"/>
      <c r="F32" s="334">
        <f>'b) Budget Template'!E66</f>
        <v>0</v>
      </c>
      <c r="G32" s="334">
        <f>'b) Budget Template'!G66</f>
        <v>0</v>
      </c>
      <c r="H32" s="334">
        <f>'b) Budget Template'!I66</f>
        <v>0</v>
      </c>
    </row>
    <row r="33" spans="1:8">
      <c r="A33" s="29" t="s">
        <v>29</v>
      </c>
      <c r="B33" s="30"/>
      <c r="C33" s="30"/>
      <c r="D33" s="30"/>
      <c r="E33" s="31"/>
      <c r="F33" s="334">
        <f>'b) Budget Template'!E70</f>
        <v>0</v>
      </c>
      <c r="G33" s="334">
        <f>'b) Budget Template'!G70</f>
        <v>0</v>
      </c>
      <c r="H33" s="334">
        <f>'b) Budget Template'!I70</f>
        <v>0</v>
      </c>
    </row>
    <row r="34" spans="1:8">
      <c r="A34" s="29" t="s">
        <v>30</v>
      </c>
      <c r="B34" s="30"/>
      <c r="C34" s="30"/>
      <c r="D34" s="30"/>
      <c r="E34" s="31"/>
      <c r="F34" s="334">
        <f>_xlfn.IFNA('b) Budget Template'!E71,)</f>
        <v>0</v>
      </c>
      <c r="G34" s="334">
        <f>_xlfn.IFNA('b) Budget Template'!G71,)</f>
        <v>0</v>
      </c>
      <c r="H34" s="334">
        <f>_xlfn.IFNA('b) Budget Template'!I71,)</f>
        <v>0</v>
      </c>
    </row>
    <row r="35" spans="1:8">
      <c r="A35" s="32" t="s">
        <v>31</v>
      </c>
      <c r="B35" s="30"/>
      <c r="C35" s="30"/>
      <c r="D35" s="30"/>
      <c r="E35" s="31"/>
      <c r="F35" s="41">
        <f>_xlfn.IFNA('b) Budget Template'!E72,)</f>
        <v>0</v>
      </c>
      <c r="G35" s="41">
        <f>_xlfn.IFNA('b) Budget Template'!G72,)</f>
        <v>0</v>
      </c>
      <c r="H35" s="41">
        <f>_xlfn.IFNA('b) Budget Template'!I72,)</f>
        <v>0</v>
      </c>
    </row>
    <row r="36" spans="1:8">
      <c r="A36" s="21"/>
      <c r="F36" s="335"/>
      <c r="G36" s="33"/>
      <c r="H36" s="33"/>
    </row>
    <row r="37" spans="1:8">
      <c r="A37" s="38" t="s">
        <v>32</v>
      </c>
      <c r="B37" s="39"/>
      <c r="C37" s="39"/>
      <c r="D37" s="39"/>
      <c r="E37" s="40"/>
      <c r="F37" s="9" t="str">
        <f>F30</f>
        <v>2025/26</v>
      </c>
      <c r="G37" s="9" t="str">
        <f t="shared" ref="G37:H37" si="0">G30</f>
        <v>2026/27</v>
      </c>
      <c r="H37" s="9" t="str">
        <f t="shared" si="0"/>
        <v>2027/28</v>
      </c>
    </row>
    <row r="38" spans="1:8">
      <c r="A38" s="35" t="s">
        <v>27</v>
      </c>
      <c r="B38" s="34"/>
      <c r="C38" s="34"/>
      <c r="D38" s="34"/>
      <c r="E38" s="36"/>
      <c r="F38" s="333">
        <f>'b) Budget Template'!E79</f>
        <v>0</v>
      </c>
      <c r="G38" s="333">
        <f>'b) Budget Template'!G79</f>
        <v>0</v>
      </c>
      <c r="H38" s="333">
        <f>'b) Budget Template'!I79</f>
        <v>0</v>
      </c>
    </row>
    <row r="39" spans="1:8">
      <c r="A39" s="29" t="s">
        <v>28</v>
      </c>
      <c r="B39" s="30"/>
      <c r="C39" s="30"/>
      <c r="D39" s="30"/>
      <c r="E39" s="31"/>
      <c r="F39" s="334">
        <f>'b) Budget Template'!E85</f>
        <v>0</v>
      </c>
      <c r="G39" s="334">
        <f>'b) Budget Template'!G85</f>
        <v>0</v>
      </c>
      <c r="H39" s="334">
        <f>'b) Budget Template'!I85</f>
        <v>0</v>
      </c>
    </row>
    <row r="40" spans="1:8">
      <c r="A40" s="29" t="s">
        <v>33</v>
      </c>
      <c r="B40" s="30"/>
      <c r="C40" s="30"/>
      <c r="D40" s="30"/>
      <c r="E40" s="31"/>
      <c r="F40" s="334">
        <f>'b) Budget Template'!E89</f>
        <v>0</v>
      </c>
      <c r="G40" s="334">
        <f>'b) Budget Template'!G89</f>
        <v>0</v>
      </c>
      <c r="H40" s="334">
        <f>'b) Budget Template'!I89</f>
        <v>0</v>
      </c>
    </row>
    <row r="41" spans="1:8">
      <c r="A41" s="29" t="s">
        <v>30</v>
      </c>
      <c r="B41" s="30"/>
      <c r="C41" s="30"/>
      <c r="D41" s="30"/>
      <c r="E41" s="31"/>
      <c r="F41" s="334">
        <f>_xlfn.IFNA('b) Budget Template'!E90,)</f>
        <v>0</v>
      </c>
      <c r="G41" s="334">
        <f>_xlfn.IFNA('b) Budget Template'!G90,)</f>
        <v>0</v>
      </c>
      <c r="H41" s="334">
        <f>_xlfn.IFNA('b) Budget Template'!I90,)</f>
        <v>0</v>
      </c>
    </row>
    <row r="42" spans="1:8">
      <c r="A42" s="32" t="s">
        <v>34</v>
      </c>
      <c r="B42" s="30"/>
      <c r="C42" s="30"/>
      <c r="D42" s="30"/>
      <c r="E42" s="31"/>
      <c r="F42" s="41">
        <f>_xlfn.IFNA('b) Budget Template'!E91,)</f>
        <v>0</v>
      </c>
      <c r="G42" s="41">
        <f>_xlfn.IFNA('b) Budget Template'!G91,)</f>
        <v>0</v>
      </c>
      <c r="H42" s="41">
        <f>_xlfn.IFNA('b) Budget Template'!I91,)</f>
        <v>0</v>
      </c>
    </row>
    <row r="43" spans="1:8">
      <c r="A43" s="21"/>
      <c r="F43" s="336"/>
      <c r="G43" s="336"/>
      <c r="H43" s="336"/>
    </row>
    <row r="44" spans="1:8">
      <c r="A44" s="366" t="s">
        <v>35</v>
      </c>
      <c r="B44" s="367"/>
      <c r="C44" s="367"/>
      <c r="D44" s="367"/>
      <c r="E44" s="368"/>
      <c r="F44" s="360">
        <f>F35+F42</f>
        <v>0</v>
      </c>
      <c r="G44" s="360">
        <f>G35+G42</f>
        <v>0</v>
      </c>
      <c r="H44" s="360">
        <f>H35+H42</f>
        <v>0</v>
      </c>
    </row>
    <row r="45" spans="1:8">
      <c r="A45" s="369"/>
      <c r="B45" s="370"/>
      <c r="C45" s="370"/>
      <c r="D45" s="370"/>
      <c r="E45" s="371"/>
      <c r="F45" s="361"/>
      <c r="G45" s="361"/>
      <c r="H45" s="361"/>
    </row>
    <row r="48" spans="1:8">
      <c r="A48" s="38" t="s">
        <v>36</v>
      </c>
      <c r="B48" s="39"/>
      <c r="C48" s="39"/>
      <c r="D48" s="39"/>
      <c r="E48" s="40"/>
      <c r="F48" s="9" t="str">
        <f>F30</f>
        <v>2025/26</v>
      </c>
      <c r="G48" s="9" t="str">
        <f>G30</f>
        <v>2026/27</v>
      </c>
      <c r="H48" s="9" t="str">
        <f>H30</f>
        <v>2027/28</v>
      </c>
    </row>
    <row r="49" spans="1:8">
      <c r="A49" s="35" t="s">
        <v>37</v>
      </c>
      <c r="B49" s="34"/>
      <c r="C49" s="34"/>
      <c r="D49" s="34"/>
      <c r="E49" s="36"/>
      <c r="F49" s="333">
        <f>'b) Budget Template'!E117</f>
        <v>0</v>
      </c>
      <c r="G49" s="333">
        <f>'b) Budget Template'!G117</f>
        <v>0</v>
      </c>
      <c r="H49" s="333">
        <f>'b) Budget Template'!I117</f>
        <v>0</v>
      </c>
    </row>
    <row r="50" spans="1:8">
      <c r="A50" s="29" t="s">
        <v>38</v>
      </c>
      <c r="B50" s="30"/>
      <c r="C50" s="30"/>
      <c r="D50" s="30"/>
      <c r="E50" s="31"/>
      <c r="F50" s="334">
        <f>'b) Budget Template'!E125</f>
        <v>0</v>
      </c>
      <c r="G50" s="334">
        <f>'b) Budget Template'!G125</f>
        <v>0</v>
      </c>
      <c r="H50" s="334">
        <f>'b) Budget Template'!I125</f>
        <v>0</v>
      </c>
    </row>
    <row r="51" spans="1:8">
      <c r="A51" s="29" t="s">
        <v>39</v>
      </c>
      <c r="B51" s="30"/>
      <c r="C51" s="30"/>
      <c r="D51" s="30"/>
      <c r="E51" s="31"/>
      <c r="F51" s="334">
        <f>'b) Budget Template'!E127</f>
        <v>0</v>
      </c>
      <c r="G51" s="334">
        <f>'b) Budget Template'!G127</f>
        <v>0</v>
      </c>
      <c r="H51" s="334">
        <f>'b) Budget Template'!I127</f>
        <v>0</v>
      </c>
    </row>
    <row r="52" spans="1:8">
      <c r="A52" s="29" t="s">
        <v>40</v>
      </c>
      <c r="B52" s="30"/>
      <c r="C52" s="30"/>
      <c r="D52" s="30"/>
      <c r="E52" s="31"/>
      <c r="F52" s="334">
        <f>_xlfn.IFNA('b) Budget Template'!E128,)</f>
        <v>0</v>
      </c>
      <c r="G52" s="334">
        <f>_xlfn.IFNA('b) Budget Template'!G128,)</f>
        <v>0</v>
      </c>
      <c r="H52" s="334">
        <f>_xlfn.IFNA('b) Budget Template'!I128,)</f>
        <v>0</v>
      </c>
    </row>
    <row r="53" spans="1:8">
      <c r="A53" s="32" t="s">
        <v>41</v>
      </c>
      <c r="B53" s="30"/>
      <c r="C53" s="30"/>
      <c r="D53" s="30"/>
      <c r="E53" s="31"/>
      <c r="F53" s="41">
        <f>_xlfn.IFNA('b) Budget Template'!E130,)</f>
        <v>0</v>
      </c>
      <c r="G53" s="41">
        <f>_xlfn.IFNA('b) Budget Template'!G130,)</f>
        <v>0</v>
      </c>
      <c r="H53" s="41">
        <f>_xlfn.IFNA('b) Budget Template'!I130,)</f>
        <v>0</v>
      </c>
    </row>
    <row r="97" spans="1:1" hidden="1">
      <c r="A97" s="18" t="s">
        <v>42</v>
      </c>
    </row>
    <row r="98" spans="1:1" hidden="1">
      <c r="A98" s="18" t="s">
        <v>11</v>
      </c>
    </row>
    <row r="99" spans="1:1" hidden="1"/>
    <row r="100" spans="1:1" hidden="1"/>
    <row r="101" spans="1:1" hidden="1"/>
    <row r="102" spans="1:1" hidden="1"/>
    <row r="103" spans="1:1" hidden="1"/>
    <row r="104" spans="1:1" hidden="1"/>
    <row r="105" spans="1:1" hidden="1"/>
    <row r="106" spans="1:1" hidden="1">
      <c r="A106" s="18" t="s">
        <v>13</v>
      </c>
    </row>
    <row r="107" spans="1:1" hidden="1">
      <c r="A107" s="18" t="s">
        <v>43</v>
      </c>
    </row>
    <row r="108" spans="1:1" hidden="1">
      <c r="A108" s="18" t="s">
        <v>44</v>
      </c>
    </row>
    <row r="109" spans="1:1" hidden="1"/>
    <row r="110" spans="1:1" hidden="1"/>
    <row r="111" spans="1:1" hidden="1"/>
    <row r="112" spans="1:1" hidden="1">
      <c r="A112" s="18" t="s">
        <v>13</v>
      </c>
    </row>
    <row r="113" spans="1:1" hidden="1">
      <c r="A113" s="18" t="s">
        <v>45</v>
      </c>
    </row>
    <row r="114" spans="1:1" hidden="1">
      <c r="A114" s="18" t="s">
        <v>46</v>
      </c>
    </row>
    <row r="115" spans="1:1" hidden="1"/>
  </sheetData>
  <sheetProtection sheet="1" objects="1" scenarios="1"/>
  <mergeCells count="11">
    <mergeCell ref="A1:H1"/>
    <mergeCell ref="A2:H2"/>
    <mergeCell ref="A4:H4"/>
    <mergeCell ref="F44:F45"/>
    <mergeCell ref="G44:G45"/>
    <mergeCell ref="H44:H45"/>
    <mergeCell ref="F10:H10"/>
    <mergeCell ref="C21:D21"/>
    <mergeCell ref="C23:D23"/>
    <mergeCell ref="C25:D25"/>
    <mergeCell ref="A44:E45"/>
  </mergeCells>
  <phoneticPr fontId="11" type="noConversion"/>
  <conditionalFormatting sqref="C21:D21 C23:D23 C25:D25">
    <cfRule type="cellIs" dxfId="14" priority="1" stopIfTrue="1" operator="equal">
      <formula>"please fill in before submitting"</formula>
    </cfRule>
  </conditionalFormatting>
  <conditionalFormatting sqref="E13:E14 E16">
    <cfRule type="cellIs" dxfId="13" priority="2" stopIfTrue="1" operator="equal">
      <formula>"CHOOSE"</formula>
    </cfRule>
  </conditionalFormatting>
  <conditionalFormatting sqref="F10:H10">
    <cfRule type="cellIs" dxfId="12" priority="3" stopIfTrue="1" operator="equal">
      <formula>"3 year return required by 30th June 2014"</formula>
    </cfRule>
  </conditionalFormatting>
  <dataValidations count="2">
    <dataValidation type="list" allowBlank="1" showInputMessage="1" showErrorMessage="1" sqref="E16 E13" xr:uid="{00000000-0002-0000-0100-000000000000}">
      <formula1>$A$106:$A$108</formula1>
    </dataValidation>
    <dataValidation type="list" allowBlank="1" showInputMessage="1" showErrorMessage="1" sqref="E10" xr:uid="{00000000-0002-0000-0100-000001000000}">
      <formula1>A$98</formula1>
    </dataValidation>
  </dataValidations>
  <pageMargins left="0.15748031496062992" right="0.15748031496062992" top="0.39370078740157483" bottom="0.39370078740157483"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7"/>
    <pageSetUpPr fitToPage="1"/>
  </sheetPr>
  <dimension ref="A1:IV795"/>
  <sheetViews>
    <sheetView showGridLines="0" tabSelected="1" zoomScale="85" zoomScaleNormal="85" workbookViewId="0">
      <selection activeCell="B3" sqref="B3"/>
    </sheetView>
  </sheetViews>
  <sheetFormatPr defaultColWidth="9.109375" defaultRowHeight="15"/>
  <cols>
    <col min="1" max="1" width="8.33203125" style="108" customWidth="1"/>
    <col min="2" max="2" width="67.33203125" style="107" customWidth="1"/>
    <col min="3" max="3" width="16.33203125" style="106" customWidth="1"/>
    <col min="4" max="4" width="6.6640625" style="107" customWidth="1"/>
    <col min="5" max="5" width="16.33203125" style="106" customWidth="1"/>
    <col min="6" max="6" width="1.5546875" style="25" customWidth="1"/>
    <col min="7" max="7" width="16.33203125" style="106" customWidth="1"/>
    <col min="8" max="8" width="1.5546875" style="25" customWidth="1"/>
    <col min="9" max="9" width="16.33203125" style="106" customWidth="1"/>
    <col min="10" max="10" width="1.6640625" style="25" customWidth="1"/>
    <col min="11" max="11" width="38" style="25" customWidth="1"/>
    <col min="12" max="16384" width="9.109375" style="25"/>
  </cols>
  <sheetData>
    <row r="1" spans="1:12" s="26" customFormat="1" ht="25.5" customHeight="1">
      <c r="A1" s="380" t="s">
        <v>806</v>
      </c>
      <c r="B1" s="380"/>
      <c r="C1" s="380"/>
      <c r="D1" s="380"/>
      <c r="E1" s="380"/>
      <c r="F1" s="380"/>
      <c r="G1" s="380"/>
      <c r="H1" s="380"/>
      <c r="I1" s="380"/>
      <c r="J1" s="380"/>
    </row>
    <row r="2" spans="1:12" s="26" customFormat="1" ht="9" customHeight="1" thickBot="1">
      <c r="A2" s="43"/>
      <c r="B2" s="42"/>
      <c r="C2" s="42"/>
      <c r="D2" s="42"/>
      <c r="E2" s="42"/>
      <c r="F2" s="42"/>
      <c r="G2" s="42"/>
      <c r="H2" s="42"/>
      <c r="I2" s="42"/>
      <c r="J2" s="42"/>
    </row>
    <row r="3" spans="1:12" s="249" customFormat="1" ht="41.25" customHeight="1" thickBot="1">
      <c r="A3" s="246" t="s">
        <v>8</v>
      </c>
      <c r="B3" s="302" t="s">
        <v>47</v>
      </c>
      <c r="C3" s="247">
        <f>VLOOKUP($B$3,$A$191:$D$2570,2,FALSE)</f>
        <v>0</v>
      </c>
      <c r="D3" s="375" t="s">
        <v>9</v>
      </c>
      <c r="E3" s="378"/>
      <c r="F3" s="378"/>
      <c r="G3" s="378"/>
      <c r="H3" s="379"/>
      <c r="I3" s="248">
        <f>VLOOKUP($B$3,$A$191:$D$2570,4,FALSE)</f>
        <v>0</v>
      </c>
      <c r="J3" s="337"/>
      <c r="L3" s="250"/>
    </row>
    <row r="4" spans="1:12" s="249" customFormat="1" ht="26.25" customHeight="1" thickBot="1">
      <c r="A4" s="251"/>
      <c r="B4" s="46"/>
      <c r="C4" s="252"/>
      <c r="D4" s="375" t="s">
        <v>48</v>
      </c>
      <c r="E4" s="376"/>
      <c r="F4" s="376"/>
      <c r="G4" s="376"/>
      <c r="H4" s="377"/>
      <c r="I4" s="253">
        <f>VLOOKUP($B$3,$A$191:$F$2571,5,FALSE)</f>
        <v>0</v>
      </c>
      <c r="J4" s="337"/>
      <c r="L4" s="250"/>
    </row>
    <row r="5" spans="1:12" s="49" customFormat="1" ht="14.25" customHeight="1">
      <c r="A5" s="45"/>
      <c r="B5" s="46"/>
      <c r="C5" s="47" t="s">
        <v>49</v>
      </c>
      <c r="D5" s="46"/>
      <c r="E5" s="47" t="s">
        <v>24</v>
      </c>
      <c r="F5" s="48"/>
      <c r="G5" s="47" t="s">
        <v>25</v>
      </c>
      <c r="H5" s="48"/>
      <c r="I5" s="47" t="s">
        <v>26</v>
      </c>
      <c r="J5" s="338"/>
      <c r="K5" s="107"/>
      <c r="L5" s="107"/>
    </row>
    <row r="6" spans="1:12" s="49" customFormat="1" ht="23.25" customHeight="1">
      <c r="A6" s="384" t="s">
        <v>23</v>
      </c>
      <c r="B6" s="385"/>
      <c r="C6" s="385"/>
      <c r="D6" s="385"/>
      <c r="E6" s="386"/>
      <c r="F6" s="386"/>
      <c r="G6" s="386"/>
      <c r="H6" s="386"/>
      <c r="I6" s="386"/>
      <c r="J6" s="387"/>
      <c r="K6" s="107"/>
      <c r="L6" s="107"/>
    </row>
    <row r="7" spans="1:12" s="49" customFormat="1" ht="33" customHeight="1">
      <c r="A7" s="50"/>
      <c r="B7" s="51"/>
      <c r="C7" s="52" t="s">
        <v>807</v>
      </c>
      <c r="D7" s="51"/>
      <c r="E7" s="53" t="str">
        <f>E5</f>
        <v>2025/26</v>
      </c>
      <c r="F7" s="54"/>
      <c r="G7" s="53" t="str">
        <f>G5</f>
        <v>2026/27</v>
      </c>
      <c r="H7" s="54"/>
      <c r="I7" s="53" t="str">
        <f>I5</f>
        <v>2027/28</v>
      </c>
      <c r="J7" s="55"/>
      <c r="K7" s="107"/>
      <c r="L7" s="107"/>
    </row>
    <row r="8" spans="1:12" s="49" customFormat="1" ht="18.75" customHeight="1" thickBot="1">
      <c r="A8" s="50"/>
      <c r="B8" s="51"/>
      <c r="C8" s="52"/>
      <c r="D8" s="51"/>
      <c r="E8" s="53"/>
      <c r="F8" s="54"/>
      <c r="G8" s="53"/>
      <c r="H8" s="54"/>
      <c r="I8" s="53"/>
      <c r="J8" s="55"/>
      <c r="K8" s="107"/>
      <c r="L8" s="107"/>
    </row>
    <row r="9" spans="1:12" s="49" customFormat="1" ht="33" customHeight="1" thickBot="1">
      <c r="A9" s="50"/>
      <c r="B9" s="316" t="s">
        <v>51</v>
      </c>
      <c r="C9" s="52"/>
      <c r="D9" s="51"/>
      <c r="E9" s="327">
        <f>_xlfn.IFNA(VLOOKUP($I$3,'Pupil Nos'!B4:D125,3,0),)</f>
        <v>0</v>
      </c>
      <c r="F9" s="54"/>
      <c r="G9" s="324"/>
      <c r="H9" s="54"/>
      <c r="I9" s="324"/>
      <c r="J9" s="55"/>
      <c r="K9" s="107"/>
      <c r="L9" s="107"/>
    </row>
    <row r="10" spans="1:12" s="49" customFormat="1" ht="23.25" customHeight="1">
      <c r="A10" s="50"/>
      <c r="B10" s="51"/>
      <c r="C10" s="52"/>
      <c r="D10" s="51"/>
      <c r="E10" s="53"/>
      <c r="F10" s="54"/>
      <c r="G10" s="53"/>
      <c r="H10" s="54"/>
      <c r="I10" s="53"/>
      <c r="J10" s="55"/>
      <c r="K10" s="107"/>
      <c r="L10" s="107"/>
    </row>
    <row r="11" spans="1:12" s="26" customFormat="1" ht="19.5" customHeight="1">
      <c r="A11" s="56" t="s">
        <v>52</v>
      </c>
      <c r="B11" s="57" t="s">
        <v>53</v>
      </c>
      <c r="C11" s="58" t="s">
        <v>54</v>
      </c>
      <c r="D11" s="59"/>
      <c r="E11" s="58" t="s">
        <v>54</v>
      </c>
      <c r="G11" s="58" t="s">
        <v>54</v>
      </c>
      <c r="I11" s="58" t="s">
        <v>54</v>
      </c>
      <c r="J11" s="60"/>
      <c r="L11" s="44"/>
    </row>
    <row r="12" spans="1:12" s="26" customFormat="1" ht="19.5" customHeight="1">
      <c r="A12" s="61" t="s">
        <v>55</v>
      </c>
      <c r="B12" s="62" t="s">
        <v>56</v>
      </c>
      <c r="C12" s="339" t="e">
        <f>VLOOKUP($I$3,'Data - CFR2425'!$A$4:$CE$129,4,FALSE)</f>
        <v>#N/A</v>
      </c>
      <c r="D12" s="328" t="s">
        <v>57</v>
      </c>
      <c r="E12" s="325">
        <f>_xlfn.IFNA(VLOOKUP(CONCATENATE($A12,$D12),'Budget Analysis Report (Table)'!$A:$F,4,0),0)</f>
        <v>0</v>
      </c>
      <c r="F12" s="63"/>
      <c r="G12" s="325">
        <f>_xlfn.IFNA(VLOOKUP(CONCATENATE($A12,$D12),'Budget Analysis Report (Table)'!$A:$F,5,0),0)</f>
        <v>0</v>
      </c>
      <c r="H12" s="63"/>
      <c r="I12" s="325">
        <f>_xlfn.IFNA(VLOOKUP(CONCATENATE($A12,$D12),'Budget Analysis Report (Table)'!$A:$F,6,0),0)</f>
        <v>0</v>
      </c>
      <c r="J12" s="63"/>
    </row>
    <row r="13" spans="1:12" s="26" customFormat="1" ht="19.5" customHeight="1">
      <c r="A13" s="61" t="s">
        <v>58</v>
      </c>
      <c r="B13" s="62" t="s">
        <v>59</v>
      </c>
      <c r="C13" s="339" t="e">
        <f>VLOOKUP($I$3,'Data - CFR2425'!$A$4:$CE$129,5,FALSE)</f>
        <v>#N/A</v>
      </c>
      <c r="D13" s="328" t="s">
        <v>60</v>
      </c>
      <c r="E13" s="325">
        <f>_xlfn.IFNA(VLOOKUP(CONCATENATE($A13,$D13),'Budget Analysis Report (Table)'!$A:$F,4,0),0)</f>
        <v>0</v>
      </c>
      <c r="F13" s="63"/>
      <c r="G13" s="325">
        <f>_xlfn.IFNA(VLOOKUP(CONCATENATE($A13,$D13),'Budget Analysis Report (Table)'!$A:$F,5,0),0)</f>
        <v>0</v>
      </c>
      <c r="H13" s="63"/>
      <c r="I13" s="325">
        <f>_xlfn.IFNA(VLOOKUP(CONCATENATE($A13,$D13),'Budget Analysis Report (Table)'!$A:$F,6,0),0)</f>
        <v>0</v>
      </c>
      <c r="J13" s="63"/>
    </row>
    <row r="14" spans="1:12" s="26" customFormat="1" ht="19.5" customHeight="1">
      <c r="A14" s="61" t="s">
        <v>61</v>
      </c>
      <c r="B14" s="62" t="s">
        <v>62</v>
      </c>
      <c r="C14" s="339" t="e">
        <f>VLOOKUP($I$3,'Data - CFR2425'!$A$4:$CE$129,6,FALSE)</f>
        <v>#N/A</v>
      </c>
      <c r="D14" s="328" t="s">
        <v>63</v>
      </c>
      <c r="E14" s="325">
        <f>_xlfn.IFNA(VLOOKUP(CONCATENATE($A14,$D14),'Budget Analysis Report (Table)'!$A:$F,4,0),0)</f>
        <v>0</v>
      </c>
      <c r="F14" s="63"/>
      <c r="G14" s="325">
        <f>_xlfn.IFNA(VLOOKUP(CONCATENATE($A14,$D14),'Budget Analysis Report (Table)'!$A:$F,5,0),0)</f>
        <v>0</v>
      </c>
      <c r="H14" s="63"/>
      <c r="I14" s="325">
        <f>_xlfn.IFNA(VLOOKUP(CONCATENATE($A14,$D14),'Budget Analysis Report (Table)'!$A:$F,6,0),0)</f>
        <v>0</v>
      </c>
      <c r="J14" s="63"/>
    </row>
    <row r="15" spans="1:12" s="26" customFormat="1" ht="19.5" customHeight="1">
      <c r="A15" s="61" t="s">
        <v>64</v>
      </c>
      <c r="B15" s="62" t="s">
        <v>65</v>
      </c>
      <c r="C15" s="339" t="e">
        <f>VLOOKUP($I$3,'Data - CFR2425'!$A$4:$CE$129,7,FALSE)</f>
        <v>#N/A</v>
      </c>
      <c r="D15" s="328" t="s">
        <v>66</v>
      </c>
      <c r="E15" s="325">
        <f>_xlfn.IFNA(VLOOKUP(CONCATENATE($A15,$D15),'Budget Analysis Report (Table)'!$A:$F,4,0),0)</f>
        <v>0</v>
      </c>
      <c r="F15" s="63"/>
      <c r="G15" s="325">
        <f>_xlfn.IFNA(VLOOKUP(CONCATENATE($A15,$D15),'Budget Analysis Report (Table)'!$A:$F,5,0),0)</f>
        <v>0</v>
      </c>
      <c r="H15" s="63"/>
      <c r="I15" s="325">
        <f>_xlfn.IFNA(VLOOKUP(CONCATENATE($A15,$D15),'Budget Analysis Report (Table)'!$A:$F,6,0),0)</f>
        <v>0</v>
      </c>
      <c r="J15" s="63"/>
    </row>
    <row r="16" spans="1:12" s="26" customFormat="1" ht="19.5" customHeight="1">
      <c r="A16" s="61" t="s">
        <v>67</v>
      </c>
      <c r="B16" s="62" t="s">
        <v>68</v>
      </c>
      <c r="C16" s="339" t="e">
        <f>VLOOKUP($I$3,'Data - CFR2425'!$A$4:$CE$129,8,FALSE)</f>
        <v>#N/A</v>
      </c>
      <c r="D16" s="328" t="s">
        <v>69</v>
      </c>
      <c r="E16" s="325">
        <f>_xlfn.IFNA(VLOOKUP(CONCATENATE($A16,$D16),'Budget Analysis Report (Table)'!$A:$F,4,0),0)</f>
        <v>0</v>
      </c>
      <c r="F16" s="63"/>
      <c r="G16" s="325">
        <f>_xlfn.IFNA(VLOOKUP(CONCATENATE($A16,$D16),'Budget Analysis Report (Table)'!$A:$F,5,0),0)</f>
        <v>0</v>
      </c>
      <c r="H16" s="63"/>
      <c r="I16" s="325">
        <f>_xlfn.IFNA(VLOOKUP(CONCATENATE($A16,$D16),'Budget Analysis Report (Table)'!$A:$F,6,0),0)</f>
        <v>0</v>
      </c>
      <c r="J16" s="63"/>
    </row>
    <row r="17" spans="1:10" s="26" customFormat="1" ht="19.5" customHeight="1">
      <c r="A17" s="61" t="s">
        <v>70</v>
      </c>
      <c r="B17" s="62" t="s">
        <v>71</v>
      </c>
      <c r="C17" s="339" t="e">
        <f>VLOOKUP($I$3,'Data - CFR2425'!$A$4:$CE$129,9,FALSE)</f>
        <v>#N/A</v>
      </c>
      <c r="D17" s="328" t="s">
        <v>72</v>
      </c>
      <c r="E17" s="325">
        <f>_xlfn.IFNA(VLOOKUP(CONCATENATE($A17,$D17),'Budget Analysis Report (Table)'!$A:$F,4,0),0)</f>
        <v>0</v>
      </c>
      <c r="F17" s="63"/>
      <c r="G17" s="325">
        <f>_xlfn.IFNA(VLOOKUP(CONCATENATE($A17,$D17),'Budget Analysis Report (Table)'!$A:$F,5,0),0)</f>
        <v>0</v>
      </c>
      <c r="H17" s="63"/>
      <c r="I17" s="325">
        <f>_xlfn.IFNA(VLOOKUP(CONCATENATE($A17,$D17),'Budget Analysis Report (Table)'!$A:$F,6,0),0)</f>
        <v>0</v>
      </c>
      <c r="J17" s="63"/>
    </row>
    <row r="18" spans="1:10" s="26" customFormat="1" ht="19.5" customHeight="1">
      <c r="A18" s="61" t="s">
        <v>73</v>
      </c>
      <c r="B18" s="62" t="s">
        <v>74</v>
      </c>
      <c r="C18" s="339" t="e">
        <f>VLOOKUP($I$3,'Data - CFR2425'!$A$4:$CE$129,10,FALSE)</f>
        <v>#N/A</v>
      </c>
      <c r="D18" s="328" t="s">
        <v>75</v>
      </c>
      <c r="E18" s="325">
        <f>_xlfn.IFNA(VLOOKUP(CONCATENATE($A18,$D18),'Budget Analysis Report (Table)'!$A:$F,4,0),0)</f>
        <v>0</v>
      </c>
      <c r="F18" s="63"/>
      <c r="G18" s="325">
        <f>_xlfn.IFNA(VLOOKUP(CONCATENATE($A18,$D18),'Budget Analysis Report (Table)'!$A:$F,5,0),0)</f>
        <v>0</v>
      </c>
      <c r="H18" s="63"/>
      <c r="I18" s="325">
        <f>_xlfn.IFNA(VLOOKUP(CONCATENATE($A18,$D18),'Budget Analysis Report (Table)'!$A:$F,6,0),0)</f>
        <v>0</v>
      </c>
      <c r="J18" s="63"/>
    </row>
    <row r="19" spans="1:10" s="26" customFormat="1" ht="19.5" customHeight="1">
      <c r="A19" s="61" t="s">
        <v>76</v>
      </c>
      <c r="B19" s="62" t="s">
        <v>77</v>
      </c>
      <c r="C19" s="339" t="e">
        <f>VLOOKUP($I$3,'Data - CFR2425'!$A$4:$CE$129,11,FALSE)</f>
        <v>#N/A</v>
      </c>
      <c r="D19" s="328" t="s">
        <v>78</v>
      </c>
      <c r="E19" s="325">
        <f>_xlfn.IFNA(VLOOKUP(CONCATENATE($A19,$D19),'Budget Analysis Report (Table)'!$A:$F,4,0),0)</f>
        <v>0</v>
      </c>
      <c r="F19" s="63"/>
      <c r="G19" s="325">
        <f>_xlfn.IFNA(VLOOKUP(CONCATENATE($A19,$D19),'Budget Analysis Report (Table)'!$A:$F,5,0),0)</f>
        <v>0</v>
      </c>
      <c r="H19" s="63"/>
      <c r="I19" s="325">
        <f>_xlfn.IFNA(VLOOKUP(CONCATENATE($A19,$D19),'Budget Analysis Report (Table)'!$A:$F,6,0),0)</f>
        <v>0</v>
      </c>
      <c r="J19" s="63"/>
    </row>
    <row r="20" spans="1:10" s="26" customFormat="1" ht="19.5" customHeight="1">
      <c r="A20" s="61" t="s">
        <v>79</v>
      </c>
      <c r="B20" s="62" t="s">
        <v>80</v>
      </c>
      <c r="C20" s="339" t="e">
        <f>VLOOKUP($I$3,'Data - CFR2425'!$A$4:$CE$129,12,FALSE)</f>
        <v>#N/A</v>
      </c>
      <c r="D20" s="328" t="s">
        <v>81</v>
      </c>
      <c r="E20" s="325">
        <f>_xlfn.IFNA(VLOOKUP(CONCATENATE($A20,$D20),'Budget Analysis Report (Table)'!$A:$F,4,0),0)</f>
        <v>0</v>
      </c>
      <c r="F20" s="63"/>
      <c r="G20" s="325">
        <f>_xlfn.IFNA(VLOOKUP(CONCATENATE($A20,$D20),'Budget Analysis Report (Table)'!$A:$F,5,0),0)</f>
        <v>0</v>
      </c>
      <c r="H20" s="63"/>
      <c r="I20" s="325">
        <f>_xlfn.IFNA(VLOOKUP(CONCATENATE($A20,$D20),'Budget Analysis Report (Table)'!$A:$F,6,0),0)</f>
        <v>0</v>
      </c>
      <c r="J20" s="63"/>
    </row>
    <row r="21" spans="1:10" s="26" customFormat="1" ht="19.5" customHeight="1">
      <c r="A21" s="61" t="s">
        <v>82</v>
      </c>
      <c r="B21" s="62" t="s">
        <v>83</v>
      </c>
      <c r="C21" s="339" t="e">
        <f>VLOOKUP($I$3,'Data - CFR2425'!$A$4:$CE$129,13,FALSE)</f>
        <v>#N/A</v>
      </c>
      <c r="D21" s="328" t="s">
        <v>84</v>
      </c>
      <c r="E21" s="325">
        <f>_xlfn.IFNA(VLOOKUP(CONCATENATE($A21,$D21),'Budget Analysis Report (Table)'!$A:$F,4,0),0)</f>
        <v>0</v>
      </c>
      <c r="F21" s="63"/>
      <c r="G21" s="325">
        <f>_xlfn.IFNA(VLOOKUP(CONCATENATE($A21,$D21),'Budget Analysis Report (Table)'!$A:$F,5,0),0)</f>
        <v>0</v>
      </c>
      <c r="H21" s="63"/>
      <c r="I21" s="325">
        <f>_xlfn.IFNA(VLOOKUP(CONCATENATE($A21,$D21),'Budget Analysis Report (Table)'!$A:$F,6,0),0)</f>
        <v>0</v>
      </c>
      <c r="J21" s="63"/>
    </row>
    <row r="22" spans="1:10" s="26" customFormat="1" ht="19.5" customHeight="1">
      <c r="A22" s="61" t="s">
        <v>85</v>
      </c>
      <c r="B22" s="62" t="s">
        <v>86</v>
      </c>
      <c r="C22" s="339" t="e">
        <f>VLOOKUP($I$3,'Data - CFR2425'!$A$4:$CE$129,14,FALSE)</f>
        <v>#N/A</v>
      </c>
      <c r="D22" s="328" t="s">
        <v>87</v>
      </c>
      <c r="E22" s="325">
        <f>_xlfn.IFNA(VLOOKUP(CONCATENATE($A22,$D22),'Budget Analysis Report (Table)'!$A:$F,4,0),0)</f>
        <v>0</v>
      </c>
      <c r="F22" s="63"/>
      <c r="G22" s="325">
        <f>_xlfn.IFNA(VLOOKUP(CONCATENATE($A22,$D22),'Budget Analysis Report (Table)'!$A:$F,5,0),0)</f>
        <v>0</v>
      </c>
      <c r="H22" s="63"/>
      <c r="I22" s="325">
        <f>_xlfn.IFNA(VLOOKUP(CONCATENATE($A22,$D22),'Budget Analysis Report (Table)'!$A:$F,6,0),0)</f>
        <v>0</v>
      </c>
      <c r="J22" s="63"/>
    </row>
    <row r="23" spans="1:10" s="26" customFormat="1" ht="19.5" customHeight="1">
      <c r="A23" s="61" t="s">
        <v>88</v>
      </c>
      <c r="B23" s="62" t="s">
        <v>89</v>
      </c>
      <c r="C23" s="339" t="e">
        <f>VLOOKUP($I$3,'Data - CFR2425'!$A$4:$CE$129,15,FALSE)</f>
        <v>#N/A</v>
      </c>
      <c r="D23" s="328" t="s">
        <v>90</v>
      </c>
      <c r="E23" s="325">
        <f>_xlfn.IFNA(VLOOKUP(CONCATENATE($A23,$D23),'Budget Analysis Report (Table)'!$A:$F,4,0),0)</f>
        <v>0</v>
      </c>
      <c r="F23" s="63"/>
      <c r="G23" s="325">
        <f>_xlfn.IFNA(VLOOKUP(CONCATENATE($A23,$D23),'Budget Analysis Report (Table)'!$A:$F,5,0),0)</f>
        <v>0</v>
      </c>
      <c r="H23" s="63"/>
      <c r="I23" s="325">
        <f>_xlfn.IFNA(VLOOKUP(CONCATENATE($A23,$D23),'Budget Analysis Report (Table)'!$A:$F,6,0),0)</f>
        <v>0</v>
      </c>
      <c r="J23" s="63"/>
    </row>
    <row r="24" spans="1:10" s="26" customFormat="1" ht="19.5" customHeight="1">
      <c r="A24" s="61" t="s">
        <v>91</v>
      </c>
      <c r="B24" s="62" t="s">
        <v>92</v>
      </c>
      <c r="C24" s="339" t="e">
        <f>VLOOKUP($I$3,'Data - CFR2425'!$A$4:$CE$129,16,FALSE)</f>
        <v>#N/A</v>
      </c>
      <c r="D24" s="328" t="s">
        <v>93</v>
      </c>
      <c r="E24" s="325">
        <f>_xlfn.IFNA(VLOOKUP(CONCATENATE($A24,$D24),'Budget Analysis Report (Table)'!$A:$F,4,0),0)</f>
        <v>0</v>
      </c>
      <c r="F24" s="63"/>
      <c r="G24" s="325">
        <f>_xlfn.IFNA(VLOOKUP(CONCATENATE($A24,$D24),'Budget Analysis Report (Table)'!$A:$F,5,0),0)</f>
        <v>0</v>
      </c>
      <c r="H24" s="63"/>
      <c r="I24" s="325">
        <f>_xlfn.IFNA(VLOOKUP(CONCATENATE($A24,$D24),'Budget Analysis Report (Table)'!$A:$F,6,0),0)</f>
        <v>0</v>
      </c>
      <c r="J24" s="63"/>
    </row>
    <row r="25" spans="1:10" s="26" customFormat="1" ht="19.5" customHeight="1">
      <c r="A25" s="61" t="s">
        <v>94</v>
      </c>
      <c r="B25" s="62" t="s">
        <v>95</v>
      </c>
      <c r="C25" s="339" t="e">
        <f>VLOOKUP($I$3,'Data - CFR2425'!$A$4:$CE$129,17,FALSE)</f>
        <v>#N/A</v>
      </c>
      <c r="D25" s="328" t="s">
        <v>805</v>
      </c>
      <c r="E25" s="325">
        <f>_xlfn.IFNA(VLOOKUP(CONCATENATE($A25,$D25),'Budget Analysis Report (Table)'!$A:$F,4,0),0)</f>
        <v>0</v>
      </c>
      <c r="F25" s="63"/>
      <c r="G25" s="325">
        <f>_xlfn.IFNA(VLOOKUP(CONCATENATE($A25,$D25),'Budget Analysis Report (Table)'!$A:$F,5,0),0)</f>
        <v>0</v>
      </c>
      <c r="H25" s="63"/>
      <c r="I25" s="325">
        <f>_xlfn.IFNA(VLOOKUP(CONCATENATE($A25,$D25),'Budget Analysis Report (Table)'!$A:$F,6,0),0)</f>
        <v>0</v>
      </c>
      <c r="J25" s="63"/>
    </row>
    <row r="26" spans="1:10" s="26" customFormat="1" ht="19.5" customHeight="1">
      <c r="A26" s="61" t="s">
        <v>96</v>
      </c>
      <c r="B26" s="62" t="s">
        <v>97</v>
      </c>
      <c r="C26" s="339" t="e">
        <f>VLOOKUP($I$3,'Data - CFR2425'!$A$4:$CE$129,18,FALSE)</f>
        <v>#N/A</v>
      </c>
      <c r="D26" s="328"/>
      <c r="E26" s="325">
        <f>_xlfn.IFNA(VLOOKUP(CONCATENATE($A26,$D26),'Budget Analysis Report (Table)'!$A:$F,4,0),0)</f>
        <v>0</v>
      </c>
      <c r="F26" s="63"/>
      <c r="G26" s="325">
        <f>_xlfn.IFNA(VLOOKUP(CONCATENATE($A26,$D26),'Budget Analysis Report (Table)'!$A:$F,5,0),0)</f>
        <v>0</v>
      </c>
      <c r="H26" s="63"/>
      <c r="I26" s="325">
        <f>_xlfn.IFNA(VLOOKUP(CONCATENATE($A26,$D26),'Budget Analysis Report (Table)'!$A:$F,6,0),0)</f>
        <v>0</v>
      </c>
      <c r="J26" s="63"/>
    </row>
    <row r="27" spans="1:10" s="26" customFormat="1" ht="19.5" customHeight="1">
      <c r="A27" s="61" t="s">
        <v>98</v>
      </c>
      <c r="B27" s="62" t="s">
        <v>809</v>
      </c>
      <c r="C27" s="339" t="e">
        <f>VLOOKUP($I$3,'Data - CFR2425'!$A$4:$CE$129,19,FALSE)</f>
        <v>#N/A</v>
      </c>
      <c r="D27" s="328" t="s">
        <v>99</v>
      </c>
      <c r="E27" s="325">
        <f>_xlfn.IFNA(VLOOKUP(CONCATENATE($A27,$D27),'Budget Analysis Report (Table)'!$A:$F,4,0),0)</f>
        <v>0</v>
      </c>
      <c r="F27" s="63"/>
      <c r="G27" s="325">
        <f>_xlfn.IFNA(VLOOKUP(CONCATENATE($A27,$D27),'Budget Analysis Report (Table)'!$A:$F,5,0),0)</f>
        <v>0</v>
      </c>
      <c r="H27" s="63"/>
      <c r="I27" s="325">
        <f>_xlfn.IFNA(VLOOKUP(CONCATENATE($A27,$D27),'Budget Analysis Report (Table)'!$A:$F,6,0),0)</f>
        <v>0</v>
      </c>
      <c r="J27" s="63"/>
    </row>
    <row r="28" spans="1:10" s="26" customFormat="1" ht="19.5" customHeight="1">
      <c r="A28" s="61" t="s">
        <v>100</v>
      </c>
      <c r="B28" s="62" t="s">
        <v>808</v>
      </c>
      <c r="C28" s="339" t="e">
        <f>VLOOKUP($I$3,'Data - CFR2425'!$A$4:$CE$129,20,FALSE)</f>
        <v>#N/A</v>
      </c>
      <c r="D28" s="328" t="s">
        <v>101</v>
      </c>
      <c r="E28" s="325">
        <f>_xlfn.IFNA(VLOOKUP(CONCATENATE($A28,$D28),'Budget Analysis Report (Table)'!$A:$F,4,0),0)</f>
        <v>0</v>
      </c>
      <c r="F28" s="63"/>
      <c r="G28" s="325">
        <f>_xlfn.IFNA(VLOOKUP(CONCATENATE($A28,$D28),'Budget Analysis Report (Table)'!$A:$F,5,0),0)</f>
        <v>0</v>
      </c>
      <c r="H28" s="63"/>
      <c r="I28" s="325">
        <f>_xlfn.IFNA(VLOOKUP(CONCATENATE($A28,$D28),'Budget Analysis Report (Table)'!$A:$F,6,0),0)</f>
        <v>0</v>
      </c>
      <c r="J28" s="63"/>
    </row>
    <row r="29" spans="1:10" s="26" customFormat="1" ht="19.5" customHeight="1">
      <c r="A29" s="61" t="s">
        <v>102</v>
      </c>
      <c r="B29" s="62" t="s">
        <v>810</v>
      </c>
      <c r="C29" s="339" t="e">
        <f>VLOOKUP($I$3,'Data - CFR2425'!$A$4:$CE$129,21,FALSE)</f>
        <v>#N/A</v>
      </c>
      <c r="D29" s="328" t="s">
        <v>103</v>
      </c>
      <c r="E29" s="325">
        <f>_xlfn.IFNA(VLOOKUP(CONCATENATE($A29,$D29),'Budget Analysis Report (Table)'!$A:$F,4,0),0)</f>
        <v>0</v>
      </c>
      <c r="F29" s="63"/>
      <c r="G29" s="325">
        <f>_xlfn.IFNA(VLOOKUP(CONCATENATE($A29,$D29),'Budget Analysis Report (Table)'!$A:$F,5,0),0)</f>
        <v>0</v>
      </c>
      <c r="H29" s="63"/>
      <c r="I29" s="325">
        <f>_xlfn.IFNA(VLOOKUP(CONCATENATE($A29,$D29),'Budget Analysis Report (Table)'!$A:$F,6,0),0)</f>
        <v>0</v>
      </c>
      <c r="J29" s="63"/>
    </row>
    <row r="30" spans="1:10" s="26" customFormat="1" ht="19.5" customHeight="1" thickBot="1">
      <c r="A30" s="64" t="s">
        <v>104</v>
      </c>
      <c r="B30" s="65" t="s">
        <v>811</v>
      </c>
      <c r="C30" s="339" t="e">
        <f>VLOOKUP($I$3,'Data - CFR2425'!$A$4:$CE$129,22,FALSE)</f>
        <v>#N/A</v>
      </c>
      <c r="D30" s="328" t="s">
        <v>105</v>
      </c>
      <c r="E30" s="325">
        <f>_xlfn.IFNA(VLOOKUP(CONCATENATE($A30,$D30),'Budget Analysis Report (Table)'!$A:$F,4,0),0)</f>
        <v>0</v>
      </c>
      <c r="F30" s="63"/>
      <c r="G30" s="325">
        <f>_xlfn.IFNA(VLOOKUP(CONCATENATE($A30,$D30),'Budget Analysis Report (Table)'!$A:$F,5,0),0)</f>
        <v>0</v>
      </c>
      <c r="H30" s="63"/>
      <c r="I30" s="325">
        <f>_xlfn.IFNA(VLOOKUP(CONCATENATE($A30,$D30),'Budget Analysis Report (Table)'!$A:$F,6,0),0)</f>
        <v>0</v>
      </c>
      <c r="J30" s="63"/>
    </row>
    <row r="31" spans="1:10" s="26" customFormat="1" ht="19.5" customHeight="1" thickBot="1">
      <c r="A31" s="61"/>
      <c r="B31" s="66" t="s">
        <v>27</v>
      </c>
      <c r="C31" s="156" t="e">
        <f>SUM(C12:C30)</f>
        <v>#N/A</v>
      </c>
      <c r="D31" s="59"/>
      <c r="E31" s="1">
        <f>SUM(E12:E30)</f>
        <v>0</v>
      </c>
      <c r="F31" s="63"/>
      <c r="G31" s="1">
        <f>SUM(G12:G30)</f>
        <v>0</v>
      </c>
      <c r="H31" s="63"/>
      <c r="I31" s="1">
        <f>SUM(I12:I30)</f>
        <v>0</v>
      </c>
      <c r="J31" s="63"/>
    </row>
    <row r="32" spans="1:10" s="26" customFormat="1" ht="12" customHeight="1">
      <c r="A32" s="61"/>
      <c r="B32" s="66"/>
      <c r="C32" s="7"/>
      <c r="D32" s="59"/>
      <c r="E32" s="7"/>
      <c r="G32" s="7"/>
      <c r="I32" s="7"/>
      <c r="J32" s="60"/>
    </row>
    <row r="33" spans="1:12" s="26" customFormat="1" ht="33" customHeight="1">
      <c r="A33" s="61"/>
      <c r="B33" s="66"/>
      <c r="C33" s="52" t="s">
        <v>50</v>
      </c>
      <c r="D33" s="59"/>
      <c r="E33" s="67" t="str">
        <f>E5</f>
        <v>2025/26</v>
      </c>
      <c r="F33" s="68"/>
      <c r="G33" s="67" t="str">
        <f>G5</f>
        <v>2026/27</v>
      </c>
      <c r="H33" s="68"/>
      <c r="I33" s="67" t="str">
        <f>I5</f>
        <v>2027/28</v>
      </c>
      <c r="J33" s="60"/>
    </row>
    <row r="34" spans="1:12" s="26" customFormat="1" ht="19.5" customHeight="1">
      <c r="A34" s="69" t="s">
        <v>52</v>
      </c>
      <c r="B34" s="57" t="s">
        <v>106</v>
      </c>
      <c r="C34" s="67" t="s">
        <v>54</v>
      </c>
      <c r="D34" s="59"/>
      <c r="E34" s="58" t="s">
        <v>54</v>
      </c>
      <c r="G34" s="58" t="s">
        <v>54</v>
      </c>
      <c r="I34" s="58" t="s">
        <v>54</v>
      </c>
      <c r="J34" s="60"/>
      <c r="L34" s="44"/>
    </row>
    <row r="35" spans="1:12" s="26" customFormat="1" ht="19.5" customHeight="1">
      <c r="A35" s="61" t="s">
        <v>107</v>
      </c>
      <c r="B35" s="62" t="s">
        <v>108</v>
      </c>
      <c r="C35" s="340" t="e">
        <f>VLOOKUP($I$3,'Data - CFR2425'!$A$4:$CE$129,24,FALSE)</f>
        <v>#N/A</v>
      </c>
      <c r="D35" s="328" t="s">
        <v>109</v>
      </c>
      <c r="E35" s="325">
        <f>_xlfn.IFNA(VLOOKUP(CONCATENATE($A35,$D35),'Budget Analysis Report (Table)'!$A:$F,4,0),0)</f>
        <v>0</v>
      </c>
      <c r="F35" s="63"/>
      <c r="G35" s="325">
        <f>_xlfn.IFNA(VLOOKUP(CONCATENATE($A35,$D35),'Budget Analysis Report (Table)'!$A:$F,5,0),0)</f>
        <v>0</v>
      </c>
      <c r="H35" s="63"/>
      <c r="I35" s="325">
        <f>_xlfn.IFNA(VLOOKUP(CONCATENATE($A35,$D35),'Budget Analysis Report (Table)'!$A:$F,6,0),0)</f>
        <v>0</v>
      </c>
      <c r="J35" s="63"/>
    </row>
    <row r="36" spans="1:12" s="26" customFormat="1" ht="19.5" customHeight="1">
      <c r="A36" s="61" t="s">
        <v>110</v>
      </c>
      <c r="B36" s="62" t="s">
        <v>111</v>
      </c>
      <c r="C36" s="340" t="e">
        <f>VLOOKUP($I$3,'Data - CFR2425'!$A$4:$CE$129,25,FALSE)</f>
        <v>#N/A</v>
      </c>
      <c r="D36" s="328" t="s">
        <v>112</v>
      </c>
      <c r="E36" s="325">
        <f>_xlfn.IFNA(VLOOKUP(CONCATENATE($A36,$D36),'Budget Analysis Report (Table)'!$A:$F,4,0),0)</f>
        <v>0</v>
      </c>
      <c r="F36" s="63"/>
      <c r="G36" s="325">
        <f>_xlfn.IFNA(VLOOKUP(CONCATENATE($A36,$D36),'Budget Analysis Report (Table)'!$A:$F,5,0),0)</f>
        <v>0</v>
      </c>
      <c r="H36" s="63"/>
      <c r="I36" s="325">
        <f>_xlfn.IFNA(VLOOKUP(CONCATENATE($A36,$D36),'Budget Analysis Report (Table)'!$A:$F,6,0),0)</f>
        <v>0</v>
      </c>
      <c r="J36" s="63"/>
    </row>
    <row r="37" spans="1:12" s="26" customFormat="1" ht="19.5" customHeight="1">
      <c r="A37" s="61" t="s">
        <v>113</v>
      </c>
      <c r="B37" s="62" t="s">
        <v>114</v>
      </c>
      <c r="C37" s="340" t="e">
        <f>VLOOKUP($I$3,'Data - CFR2425'!$A$4:$CE$129,26,FALSE)</f>
        <v>#N/A</v>
      </c>
      <c r="D37" s="328" t="s">
        <v>115</v>
      </c>
      <c r="E37" s="325">
        <f>_xlfn.IFNA(VLOOKUP(CONCATENATE($A37,$D37),'Budget Analysis Report (Table)'!$A:$F,4,0),0)</f>
        <v>0</v>
      </c>
      <c r="F37" s="63"/>
      <c r="G37" s="325">
        <f>_xlfn.IFNA(VLOOKUP(CONCATENATE($A37,$D37),'Budget Analysis Report (Table)'!$A:$F,5,0),0)</f>
        <v>0</v>
      </c>
      <c r="H37" s="63"/>
      <c r="I37" s="325">
        <f>_xlfn.IFNA(VLOOKUP(CONCATENATE($A37,$D37),'Budget Analysis Report (Table)'!$A:$F,6,0),0)</f>
        <v>0</v>
      </c>
      <c r="J37" s="63"/>
    </row>
    <row r="38" spans="1:12" s="26" customFormat="1" ht="19.5" customHeight="1">
      <c r="A38" s="61" t="s">
        <v>116</v>
      </c>
      <c r="B38" s="62" t="s">
        <v>117</v>
      </c>
      <c r="C38" s="340" t="e">
        <f>VLOOKUP($I$3,'Data - CFR2425'!$A$4:$CE$129,27,FALSE)</f>
        <v>#N/A</v>
      </c>
      <c r="D38" s="328" t="s">
        <v>118</v>
      </c>
      <c r="E38" s="325">
        <f>_xlfn.IFNA(VLOOKUP(CONCATENATE($A38,$D38),'Budget Analysis Report (Table)'!$A:$F,4,0),0)</f>
        <v>0</v>
      </c>
      <c r="F38" s="63"/>
      <c r="G38" s="325">
        <f>_xlfn.IFNA(VLOOKUP(CONCATENATE($A38,$D38),'Budget Analysis Report (Table)'!$A:$F,5,0),0)</f>
        <v>0</v>
      </c>
      <c r="H38" s="63"/>
      <c r="I38" s="325">
        <f>_xlfn.IFNA(VLOOKUP(CONCATENATE($A38,$D38),'Budget Analysis Report (Table)'!$A:$F,6,0),0)</f>
        <v>0</v>
      </c>
      <c r="J38" s="63"/>
    </row>
    <row r="39" spans="1:12" s="26" customFormat="1" ht="19.5" customHeight="1">
      <c r="A39" s="61" t="s">
        <v>119</v>
      </c>
      <c r="B39" s="62" t="s">
        <v>120</v>
      </c>
      <c r="C39" s="340" t="e">
        <f>VLOOKUP($I$3,'Data - CFR2425'!$A$4:$CE$129,28,FALSE)</f>
        <v>#N/A</v>
      </c>
      <c r="D39" s="328" t="s">
        <v>121</v>
      </c>
      <c r="E39" s="325">
        <f>_xlfn.IFNA(VLOOKUP(CONCATENATE($A39,$D39),'Budget Analysis Report (Table)'!$A:$F,4,0),0)</f>
        <v>0</v>
      </c>
      <c r="F39" s="63"/>
      <c r="G39" s="325">
        <f>_xlfn.IFNA(VLOOKUP(CONCATENATE($A39,$D39),'Budget Analysis Report (Table)'!$A:$F,5,0),0)</f>
        <v>0</v>
      </c>
      <c r="H39" s="63"/>
      <c r="I39" s="325">
        <f>_xlfn.IFNA(VLOOKUP(CONCATENATE($A39,$D39),'Budget Analysis Report (Table)'!$A:$F,6,0),0)</f>
        <v>0</v>
      </c>
      <c r="J39" s="63"/>
    </row>
    <row r="40" spans="1:12" s="26" customFormat="1" ht="19.5" customHeight="1">
      <c r="A40" s="61" t="s">
        <v>122</v>
      </c>
      <c r="B40" s="62" t="s">
        <v>123</v>
      </c>
      <c r="C40" s="340" t="e">
        <f>VLOOKUP($I$3,'Data - CFR2425'!$A$4:$CE$129,29,FALSE)</f>
        <v>#N/A</v>
      </c>
      <c r="D40" s="328" t="s">
        <v>124</v>
      </c>
      <c r="E40" s="325">
        <f>_xlfn.IFNA(VLOOKUP(CONCATENATE($A40,$D40),'Budget Analysis Report (Table)'!$A:$F,4,0),0)</f>
        <v>0</v>
      </c>
      <c r="F40" s="63"/>
      <c r="G40" s="325">
        <f>_xlfn.IFNA(VLOOKUP(CONCATENATE($A40,$D40),'Budget Analysis Report (Table)'!$A:$F,5,0),0)</f>
        <v>0</v>
      </c>
      <c r="H40" s="63"/>
      <c r="I40" s="325">
        <f>_xlfn.IFNA(VLOOKUP(CONCATENATE($A40,$D40),'Budget Analysis Report (Table)'!$A:$F,6,0),0)</f>
        <v>0</v>
      </c>
      <c r="J40" s="63"/>
    </row>
    <row r="41" spans="1:12" s="26" customFormat="1" ht="19.5" customHeight="1">
      <c r="A41" s="61" t="s">
        <v>125</v>
      </c>
      <c r="B41" s="62" t="s">
        <v>126</v>
      </c>
      <c r="C41" s="340" t="e">
        <f>VLOOKUP($I$3,'Data - CFR2425'!$A$4:$CE$129,30,FALSE)</f>
        <v>#N/A</v>
      </c>
      <c r="D41" s="328" t="s">
        <v>127</v>
      </c>
      <c r="E41" s="325">
        <f>_xlfn.IFNA(VLOOKUP(CONCATENATE($A41,$D41),'Budget Analysis Report (Table)'!$A:$F,4,0),0)</f>
        <v>0</v>
      </c>
      <c r="F41" s="63"/>
      <c r="G41" s="325">
        <f>_xlfn.IFNA(VLOOKUP(CONCATENATE($A41,$D41),'Budget Analysis Report (Table)'!$A:$F,5,0),0)</f>
        <v>0</v>
      </c>
      <c r="H41" s="63"/>
      <c r="I41" s="325">
        <f>_xlfn.IFNA(VLOOKUP(CONCATENATE($A41,$D41),'Budget Analysis Report (Table)'!$A:$F,6,0),0)</f>
        <v>0</v>
      </c>
      <c r="J41" s="63"/>
    </row>
    <row r="42" spans="1:12" s="26" customFormat="1" ht="19.5" customHeight="1">
      <c r="A42" s="61" t="s">
        <v>128</v>
      </c>
      <c r="B42" s="62" t="s">
        <v>129</v>
      </c>
      <c r="C42" s="340" t="e">
        <f>VLOOKUP($I$3,'Data - CFR2425'!$A$4:$CE$129,31,FALSE)</f>
        <v>#N/A</v>
      </c>
      <c r="D42" s="328" t="s">
        <v>130</v>
      </c>
      <c r="E42" s="325">
        <f>_xlfn.IFNA(VLOOKUP(CONCATENATE($A42,$D42),'Budget Analysis Report (Table)'!$A:$F,4,0),0)</f>
        <v>0</v>
      </c>
      <c r="F42" s="63"/>
      <c r="G42" s="325">
        <f>_xlfn.IFNA(VLOOKUP(CONCATENATE($A42,$D42),'Budget Analysis Report (Table)'!$A:$F,5,0),0)</f>
        <v>0</v>
      </c>
      <c r="H42" s="63"/>
      <c r="I42" s="325">
        <f>_xlfn.IFNA(VLOOKUP(CONCATENATE($A42,$D42),'Budget Analysis Report (Table)'!$A:$F,6,0),0)</f>
        <v>0</v>
      </c>
      <c r="J42" s="63"/>
    </row>
    <row r="43" spans="1:12" s="26" customFormat="1" ht="19.5" customHeight="1">
      <c r="A43" s="61" t="s">
        <v>131</v>
      </c>
      <c r="B43" s="62" t="s">
        <v>132</v>
      </c>
      <c r="C43" s="340" t="e">
        <f>VLOOKUP($I$3,'Data - CFR2425'!$A$4:$CE$129,32,FALSE)</f>
        <v>#N/A</v>
      </c>
      <c r="D43" s="328" t="s">
        <v>133</v>
      </c>
      <c r="E43" s="325">
        <f>_xlfn.IFNA(VLOOKUP(CONCATENATE($A43,$D43),'Budget Analysis Report (Table)'!$A:$F,4,0),0)</f>
        <v>0</v>
      </c>
      <c r="F43" s="63"/>
      <c r="G43" s="325">
        <f>_xlfn.IFNA(VLOOKUP(CONCATENATE($A43,$D43),'Budget Analysis Report (Table)'!$A:$F,5,0),0)</f>
        <v>0</v>
      </c>
      <c r="H43" s="63"/>
      <c r="I43" s="325">
        <f>_xlfn.IFNA(VLOOKUP(CONCATENATE($A43,$D43),'Budget Analysis Report (Table)'!$A:$F,6,0),0)</f>
        <v>0</v>
      </c>
      <c r="J43" s="63"/>
    </row>
    <row r="44" spans="1:12" s="26" customFormat="1" ht="19.5" customHeight="1">
      <c r="A44" s="61" t="s">
        <v>134</v>
      </c>
      <c r="B44" s="62" t="s">
        <v>135</v>
      </c>
      <c r="C44" s="340" t="e">
        <f>VLOOKUP($I$3,'Data - CFR2425'!$A$4:$CE$129,33,FALSE)</f>
        <v>#N/A</v>
      </c>
      <c r="D44" s="328" t="s">
        <v>136</v>
      </c>
      <c r="E44" s="325">
        <f>_xlfn.IFNA(VLOOKUP(CONCATENATE($A44,$D44),'Budget Analysis Report (Table)'!$A:$F,4,0),0)</f>
        <v>0</v>
      </c>
      <c r="F44" s="63"/>
      <c r="G44" s="325">
        <f>_xlfn.IFNA(VLOOKUP(CONCATENATE($A44,$D44),'Budget Analysis Report (Table)'!$A:$F,5,0),0)</f>
        <v>0</v>
      </c>
      <c r="H44" s="63"/>
      <c r="I44" s="325">
        <f>_xlfn.IFNA(VLOOKUP(CONCATENATE($A44,$D44),'Budget Analysis Report (Table)'!$A:$F,6,0),0)</f>
        <v>0</v>
      </c>
      <c r="J44" s="63"/>
    </row>
    <row r="45" spans="1:12" s="26" customFormat="1" ht="19.5" customHeight="1">
      <c r="A45" s="61" t="s">
        <v>137</v>
      </c>
      <c r="B45" s="62" t="s">
        <v>138</v>
      </c>
      <c r="C45" s="340" t="e">
        <f>VLOOKUP($I$3,'Data - CFR2425'!$A$4:$CE$129,34,FALSE)</f>
        <v>#N/A</v>
      </c>
      <c r="D45" s="328" t="s">
        <v>139</v>
      </c>
      <c r="E45" s="325">
        <f>_xlfn.IFNA(VLOOKUP(CONCATENATE($A45,$D45),'Budget Analysis Report (Table)'!$A:$F,4,0),0)</f>
        <v>0</v>
      </c>
      <c r="F45" s="63"/>
      <c r="G45" s="325">
        <f>_xlfn.IFNA(VLOOKUP(CONCATENATE($A45,$D45),'Budget Analysis Report (Table)'!$A:$F,5,0),0)</f>
        <v>0</v>
      </c>
      <c r="H45" s="63"/>
      <c r="I45" s="325">
        <f>_xlfn.IFNA(VLOOKUP(CONCATENATE($A45,$D45),'Budget Analysis Report (Table)'!$A:$F,6,0),0)</f>
        <v>0</v>
      </c>
      <c r="J45" s="63"/>
    </row>
    <row r="46" spans="1:12" s="26" customFormat="1" ht="19.5" customHeight="1">
      <c r="A46" s="61" t="s">
        <v>140</v>
      </c>
      <c r="B46" s="62" t="s">
        <v>141</v>
      </c>
      <c r="C46" s="340" t="e">
        <f>VLOOKUP($I$3,'Data - CFR2425'!$A$4:$CE$129,35,FALSE)</f>
        <v>#N/A</v>
      </c>
      <c r="D46" s="328" t="s">
        <v>142</v>
      </c>
      <c r="E46" s="325">
        <f>_xlfn.IFNA(VLOOKUP(CONCATENATE($A46,$D46),'Budget Analysis Report (Table)'!$A:$F,4,0),0)</f>
        <v>0</v>
      </c>
      <c r="F46" s="63"/>
      <c r="G46" s="325">
        <f>_xlfn.IFNA(VLOOKUP(CONCATENATE($A46,$D46),'Budget Analysis Report (Table)'!$A:$F,5,0),0)</f>
        <v>0</v>
      </c>
      <c r="H46" s="63"/>
      <c r="I46" s="325">
        <f>_xlfn.IFNA(VLOOKUP(CONCATENATE($A46,$D46),'Budget Analysis Report (Table)'!$A:$F,6,0),0)</f>
        <v>0</v>
      </c>
      <c r="J46" s="63"/>
    </row>
    <row r="47" spans="1:12" s="26" customFormat="1" ht="19.5" customHeight="1">
      <c r="A47" s="61" t="s">
        <v>143</v>
      </c>
      <c r="B47" s="62" t="s">
        <v>144</v>
      </c>
      <c r="C47" s="340" t="e">
        <f>VLOOKUP($I$3,'Data - CFR2425'!$A$4:$CE$129,36,FALSE)</f>
        <v>#N/A</v>
      </c>
      <c r="D47" s="328" t="s">
        <v>145</v>
      </c>
      <c r="E47" s="325">
        <f>_xlfn.IFNA(VLOOKUP(CONCATENATE($A47,$D47),'Budget Analysis Report (Table)'!$A:$F,4,0),0)</f>
        <v>0</v>
      </c>
      <c r="F47" s="63"/>
      <c r="G47" s="325">
        <f>_xlfn.IFNA(VLOOKUP(CONCATENATE($A47,$D47),'Budget Analysis Report (Table)'!$A:$F,5,0),0)</f>
        <v>0</v>
      </c>
      <c r="H47" s="63"/>
      <c r="I47" s="325">
        <f>_xlfn.IFNA(VLOOKUP(CONCATENATE($A47,$D47),'Budget Analysis Report (Table)'!$A:$F,6,0),0)</f>
        <v>0</v>
      </c>
      <c r="J47" s="63"/>
    </row>
    <row r="48" spans="1:12" s="26" customFormat="1" ht="19.5" customHeight="1">
      <c r="A48" s="61" t="s">
        <v>146</v>
      </c>
      <c r="B48" s="62" t="s">
        <v>147</v>
      </c>
      <c r="C48" s="340" t="e">
        <f>VLOOKUP($I$3,'Data - CFR2425'!$A$4:$CE$129,37,FALSE)</f>
        <v>#N/A</v>
      </c>
      <c r="D48" s="328" t="s">
        <v>148</v>
      </c>
      <c r="E48" s="325">
        <f>_xlfn.IFNA(VLOOKUP(CONCATENATE($A48,$D48),'Budget Analysis Report (Table)'!$A:$F,4,0),0)</f>
        <v>0</v>
      </c>
      <c r="F48" s="63"/>
      <c r="G48" s="325">
        <f>_xlfn.IFNA(VLOOKUP(CONCATENATE($A48,$D48),'Budget Analysis Report (Table)'!$A:$F,5,0),0)</f>
        <v>0</v>
      </c>
      <c r="H48" s="63"/>
      <c r="I48" s="325">
        <f>_xlfn.IFNA(VLOOKUP(CONCATENATE($A48,$D48),'Budget Analysis Report (Table)'!$A:$F,6,0),0)</f>
        <v>0</v>
      </c>
      <c r="J48" s="63"/>
    </row>
    <row r="49" spans="1:10" s="26" customFormat="1" ht="19.5" customHeight="1">
      <c r="A49" s="61" t="s">
        <v>149</v>
      </c>
      <c r="B49" s="62" t="s">
        <v>150</v>
      </c>
      <c r="C49" s="340" t="e">
        <f>VLOOKUP($I$3,'Data - CFR2425'!$A$4:$CE$129,38,FALSE)</f>
        <v>#N/A</v>
      </c>
      <c r="D49" s="328" t="s">
        <v>151</v>
      </c>
      <c r="E49" s="325">
        <f>_xlfn.IFNA(VLOOKUP(CONCATENATE($A49,$D49),'Budget Analysis Report (Table)'!$A:$F,4,0),0)</f>
        <v>0</v>
      </c>
      <c r="F49" s="63"/>
      <c r="G49" s="325">
        <f>_xlfn.IFNA(VLOOKUP(CONCATENATE($A49,$D49),'Budget Analysis Report (Table)'!$A:$F,5,0),0)</f>
        <v>0</v>
      </c>
      <c r="H49" s="63"/>
      <c r="I49" s="325">
        <f>_xlfn.IFNA(VLOOKUP(CONCATENATE($A49,$D49),'Budget Analysis Report (Table)'!$A:$F,6,0),0)</f>
        <v>0</v>
      </c>
      <c r="J49" s="63"/>
    </row>
    <row r="50" spans="1:10" s="26" customFormat="1" ht="19.5" customHeight="1">
      <c r="A50" s="61" t="s">
        <v>152</v>
      </c>
      <c r="B50" s="62" t="s">
        <v>153</v>
      </c>
      <c r="C50" s="340" t="e">
        <f>VLOOKUP($I$3,'Data - CFR2425'!$A$4:$CE$129,39,FALSE)</f>
        <v>#N/A</v>
      </c>
      <c r="D50" s="328" t="s">
        <v>154</v>
      </c>
      <c r="E50" s="325">
        <f>_xlfn.IFNA(VLOOKUP(CONCATENATE($A50,$D50),'Budget Analysis Report (Table)'!$A:$F,4,0),0)</f>
        <v>0</v>
      </c>
      <c r="F50" s="63"/>
      <c r="G50" s="325">
        <f>_xlfn.IFNA(VLOOKUP(CONCATENATE($A50,$D50),'Budget Analysis Report (Table)'!$A:$F,5,0),0)</f>
        <v>0</v>
      </c>
      <c r="H50" s="63"/>
      <c r="I50" s="325">
        <f>_xlfn.IFNA(VLOOKUP(CONCATENATE($A50,$D50),'Budget Analysis Report (Table)'!$A:$F,6,0),0)</f>
        <v>0</v>
      </c>
      <c r="J50" s="63"/>
    </row>
    <row r="51" spans="1:10" s="26" customFormat="1" ht="19.5" customHeight="1">
      <c r="A51" s="61" t="s">
        <v>155</v>
      </c>
      <c r="B51" s="62" t="s">
        <v>156</v>
      </c>
      <c r="C51" s="340" t="e">
        <f>VLOOKUP($I$3,'Data - CFR2425'!$A$4:$CE$129,40,FALSE)</f>
        <v>#N/A</v>
      </c>
      <c r="D51" s="328" t="s">
        <v>157</v>
      </c>
      <c r="E51" s="325">
        <f>_xlfn.IFNA(VLOOKUP(CONCATENATE($A51,$D51),'Budget Analysis Report (Table)'!$A:$F,4,0),0)</f>
        <v>0</v>
      </c>
      <c r="F51" s="63"/>
      <c r="G51" s="325">
        <f>_xlfn.IFNA(VLOOKUP(CONCATENATE($A51,$D51),'Budget Analysis Report (Table)'!$A:$F,5,0),0)</f>
        <v>0</v>
      </c>
      <c r="H51" s="63"/>
      <c r="I51" s="325">
        <f>_xlfn.IFNA(VLOOKUP(CONCATENATE($A51,$D51),'Budget Analysis Report (Table)'!$A:$F,6,0),0)</f>
        <v>0</v>
      </c>
      <c r="J51" s="63"/>
    </row>
    <row r="52" spans="1:10" s="26" customFormat="1" ht="19.5" customHeight="1">
      <c r="A52" s="61" t="s">
        <v>158</v>
      </c>
      <c r="B52" s="62" t="s">
        <v>159</v>
      </c>
      <c r="C52" s="340" t="e">
        <f>VLOOKUP($I$3,'Data - CFR2425'!$A$4:$CE$129,41,FALSE)</f>
        <v>#N/A</v>
      </c>
      <c r="D52" s="328" t="s">
        <v>160</v>
      </c>
      <c r="E52" s="325">
        <f>_xlfn.IFNA(VLOOKUP(CONCATENATE($A52,$D52),'Budget Analysis Report (Table)'!$A:$F,4,0),0)</f>
        <v>0</v>
      </c>
      <c r="F52" s="63"/>
      <c r="G52" s="325">
        <f>_xlfn.IFNA(VLOOKUP(CONCATENATE($A52,$D52),'Budget Analysis Report (Table)'!$A:$F,5,0),0)</f>
        <v>0</v>
      </c>
      <c r="H52" s="63"/>
      <c r="I52" s="325">
        <f>_xlfn.IFNA(VLOOKUP(CONCATENATE($A52,$D52),'Budget Analysis Report (Table)'!$A:$F,6,0),0)</f>
        <v>0</v>
      </c>
      <c r="J52" s="60"/>
    </row>
    <row r="53" spans="1:10" s="26" customFormat="1" ht="19.5" customHeight="1">
      <c r="A53" s="61" t="s">
        <v>161</v>
      </c>
      <c r="B53" s="62" t="s">
        <v>162</v>
      </c>
      <c r="C53" s="340" t="e">
        <f>VLOOKUP($I$3,'Data - CFR2425'!$A$4:$CE$129,42,FALSE)</f>
        <v>#N/A</v>
      </c>
      <c r="D53" s="328" t="s">
        <v>163</v>
      </c>
      <c r="E53" s="325">
        <f>_xlfn.IFNA(VLOOKUP(CONCATENATE($A53,$D53),'Budget Analysis Report (Table)'!$A:$F,4,0),0)</f>
        <v>0</v>
      </c>
      <c r="F53" s="63"/>
      <c r="G53" s="325">
        <f>_xlfn.IFNA(VLOOKUP(CONCATENATE($A53,$D53),'Budget Analysis Report (Table)'!$A:$F,5,0),0)</f>
        <v>0</v>
      </c>
      <c r="H53" s="63"/>
      <c r="I53" s="325">
        <f>_xlfn.IFNA(VLOOKUP(CONCATENATE($A53,$D53),'Budget Analysis Report (Table)'!$A:$F,6,0),0)</f>
        <v>0</v>
      </c>
      <c r="J53" s="60"/>
    </row>
    <row r="54" spans="1:10" s="26" customFormat="1" ht="19.5" customHeight="1">
      <c r="A54" s="61" t="s">
        <v>164</v>
      </c>
      <c r="B54" s="62" t="s">
        <v>165</v>
      </c>
      <c r="C54" s="340" t="e">
        <f>VLOOKUP($I$3,'Data - CFR2425'!$A$4:$CE$129,43,FALSE)</f>
        <v>#N/A</v>
      </c>
      <c r="D54" s="328"/>
      <c r="E54" s="325">
        <f>SUM(_xlfn.IFNA(VLOOKUP("E20A: Connectivity",'Budget Analysis Report (Table)'!$A:$F,4,0),0),_xlfn.IFNA(VLOOKUP("E20B: Onsite Servers",'Budget Analysis Report (Table)'!$A:$F,4,0),0),_xlfn.IFNA(VLOOKUP("E20C: IT Learning Resources",'Budget Analysis Report (Table)'!$A:$F,4,0),0),_xlfn.IFNA(VLOOKUP("E20D: Administration Software &amp; Systems",'Budget Analysis Report (Table)'!$A:$F,4,0),0),_xlfn.IFNA(VLOOKUP("E20E: Laptops, Desktops &amp; Tablets",'Budget Analysis Report (Table)'!$A:$F,4,0),0),_xlfn.IFNA(VLOOKUP("E20F: Other Hardware",'Budget Analysis Report (Table)'!$A:$F,4,0),0),_xlfn.IFNA(VLOOKUP("E20G: IT Support",'Budget Analysis Report (Table)'!$A:$F,4,0),0))</f>
        <v>0</v>
      </c>
      <c r="F54" s="63"/>
      <c r="G54" s="325">
        <f>SUM(_xlfn.IFNA(VLOOKUP("E20A: Connectivity",'Budget Analysis Report (Table)'!$A:$F,5,0),0),_xlfn.IFNA(VLOOKUP("E20B: Onsite Servers",'Budget Analysis Report (Table)'!$A:$F,5,0),0),_xlfn.IFNA(VLOOKUP("E20C: IT Learning Resources",'Budget Analysis Report (Table)'!$A:$F,5,0),0),_xlfn.IFNA(VLOOKUP("E20D: Administration Software &amp; Systems",'Budget Analysis Report (Table)'!$A:$F,5,0),0),_xlfn.IFNA(VLOOKUP("E20E: Laptops, Desktops &amp; Tablets",'Budget Analysis Report (Table)'!$A:$F,5,0),0),_xlfn.IFNA(VLOOKUP("E20F: Other Hardware",'Budget Analysis Report (Table)'!$A:$F,5,0),0),_xlfn.IFNA(VLOOKUP("E20G: IT Support",'Budget Analysis Report (Table)'!$A:$F,5,0),0))</f>
        <v>0</v>
      </c>
      <c r="H54" s="63"/>
      <c r="I54" s="325">
        <f>SUM(_xlfn.IFNA(VLOOKUP("E20A: Connectivity",'Budget Analysis Report (Table)'!$A:$F,6,0),0),_xlfn.IFNA(VLOOKUP("E20B: Onsite Servers",'Budget Analysis Report (Table)'!$A:$F,6,0),0),_xlfn.IFNA(VLOOKUP("E20C: IT Learning Resources",'Budget Analysis Report (Table)'!$A:$F,6,0),0),_xlfn.IFNA(VLOOKUP("E20D: Administration Software &amp; Systems",'Budget Analysis Report (Table)'!$A:$F,6,0),0),_xlfn.IFNA(VLOOKUP("E20E: Laptops, Desktops &amp; Tablets",'Budget Analysis Report (Table)'!$A:$F,6,0),0),_xlfn.IFNA(VLOOKUP("E20F: Other Hardware",'Budget Analysis Report (Table)'!$A:$F,6,0),0),_xlfn.IFNA(VLOOKUP("E20G: IT Support",'Budget Analysis Report (Table)'!$A:$F,6,0),0))</f>
        <v>0</v>
      </c>
      <c r="J54" s="60"/>
    </row>
    <row r="55" spans="1:10" s="26" customFormat="1" ht="19.5" customHeight="1">
      <c r="A55" s="61" t="s">
        <v>166</v>
      </c>
      <c r="B55" s="62" t="s">
        <v>167</v>
      </c>
      <c r="C55" s="340" t="e">
        <f>VLOOKUP($I$3,'Data - CFR2425'!$A$4:$CE$129,44,FALSE)</f>
        <v>#N/A</v>
      </c>
      <c r="D55" s="328" t="s">
        <v>168</v>
      </c>
      <c r="E55" s="325">
        <f>_xlfn.IFNA(VLOOKUP(CONCATENATE($A55,$D55),'Budget Analysis Report (Table)'!$A:$F,4,0),0)</f>
        <v>0</v>
      </c>
      <c r="F55" s="63"/>
      <c r="G55" s="325">
        <f>_xlfn.IFNA(VLOOKUP(CONCATENATE($A55,$D55),'Budget Analysis Report (Table)'!$A:$F,5,0),0)</f>
        <v>0</v>
      </c>
      <c r="H55" s="63"/>
      <c r="I55" s="325">
        <f>_xlfn.IFNA(VLOOKUP(CONCATENATE($A55,$D55),'Budget Analysis Report (Table)'!$A:$F,6,0),0)</f>
        <v>0</v>
      </c>
      <c r="J55" s="60"/>
    </row>
    <row r="56" spans="1:10" s="26" customFormat="1" ht="19.5" customHeight="1">
      <c r="A56" s="61" t="s">
        <v>169</v>
      </c>
      <c r="B56" s="62" t="s">
        <v>170</v>
      </c>
      <c r="C56" s="340" t="e">
        <f>VLOOKUP($I$3,'Data - CFR2425'!$A$4:$CE$129,45,FALSE)</f>
        <v>#N/A</v>
      </c>
      <c r="D56" s="328" t="s">
        <v>171</v>
      </c>
      <c r="E56" s="325">
        <f>_xlfn.IFNA(VLOOKUP(CONCATENATE($A56,$D56),'Budget Analysis Report (Table)'!$A:$F,4,0),0)</f>
        <v>0</v>
      </c>
      <c r="F56" s="63"/>
      <c r="G56" s="325">
        <f>_xlfn.IFNA(VLOOKUP(CONCATENATE($A56,$D56),'Budget Analysis Report (Table)'!$A:$F,5,0),0)</f>
        <v>0</v>
      </c>
      <c r="H56" s="63"/>
      <c r="I56" s="325">
        <f>_xlfn.IFNA(VLOOKUP(CONCATENATE($A56,$D56),'Budget Analysis Report (Table)'!$A:$F,6,0),0)</f>
        <v>0</v>
      </c>
      <c r="J56" s="60"/>
    </row>
    <row r="57" spans="1:10" s="26" customFormat="1" ht="19.5" customHeight="1">
      <c r="A57" s="61" t="s">
        <v>172</v>
      </c>
      <c r="B57" s="62" t="s">
        <v>173</v>
      </c>
      <c r="C57" s="340" t="e">
        <f>VLOOKUP($I$3,'Data - CFR2425'!$A$4:$CE$129,46,FALSE)</f>
        <v>#N/A</v>
      </c>
      <c r="D57" s="328" t="s">
        <v>174</v>
      </c>
      <c r="E57" s="325">
        <f>_xlfn.IFNA(VLOOKUP(CONCATENATE($A57,$D57),'Budget Analysis Report (Table)'!$A:$F,4,0),0)</f>
        <v>0</v>
      </c>
      <c r="F57" s="63"/>
      <c r="G57" s="325">
        <f>_xlfn.IFNA(VLOOKUP(CONCATENATE($A57,$D57),'Budget Analysis Report (Table)'!$A:$F,5,0),0)</f>
        <v>0</v>
      </c>
      <c r="H57" s="63"/>
      <c r="I57" s="325">
        <f>_xlfn.IFNA(VLOOKUP(CONCATENATE($A57,$D57),'Budget Analysis Report (Table)'!$A:$F,6,0),0)</f>
        <v>0</v>
      </c>
      <c r="J57" s="63"/>
    </row>
    <row r="58" spans="1:10" s="26" customFormat="1" ht="19.5" customHeight="1">
      <c r="A58" s="61" t="s">
        <v>175</v>
      </c>
      <c r="B58" s="62" t="s">
        <v>176</v>
      </c>
      <c r="C58" s="340" t="e">
        <f>VLOOKUP($I$3,'Data - CFR2425'!$A$4:$CE$129,47,FALSE)</f>
        <v>#N/A</v>
      </c>
      <c r="D58" s="328" t="s">
        <v>177</v>
      </c>
      <c r="E58" s="325">
        <f>_xlfn.IFNA(VLOOKUP(CONCATENATE($A58,$D58),'Budget Analysis Report (Table)'!$A:$F,4,0),0)</f>
        <v>0</v>
      </c>
      <c r="F58" s="63"/>
      <c r="G58" s="325">
        <f>_xlfn.IFNA(VLOOKUP(CONCATENATE($A58,$D58),'Budget Analysis Report (Table)'!$A:$F,5,0),0)</f>
        <v>0</v>
      </c>
      <c r="H58" s="63"/>
      <c r="I58" s="325">
        <f>_xlfn.IFNA(VLOOKUP(CONCATENATE($A58,$D58),'Budget Analysis Report (Table)'!$A:$F,6,0),0)</f>
        <v>0</v>
      </c>
      <c r="J58" s="63"/>
    </row>
    <row r="59" spans="1:10" s="26" customFormat="1" ht="19.5" customHeight="1">
      <c r="A59" s="61" t="s">
        <v>178</v>
      </c>
      <c r="B59" s="62" t="s">
        <v>179</v>
      </c>
      <c r="C59" s="340" t="e">
        <f>VLOOKUP($I$3,'Data - CFR2425'!$A$4:$CE$129,48,FALSE)</f>
        <v>#N/A</v>
      </c>
      <c r="D59" s="328" t="s">
        <v>180</v>
      </c>
      <c r="E59" s="325">
        <f>_xlfn.IFNA(VLOOKUP(CONCATENATE($A59,$D59),'Budget Analysis Report (Table)'!$A:$F,4,0),0)</f>
        <v>0</v>
      </c>
      <c r="F59" s="63"/>
      <c r="G59" s="325">
        <f>_xlfn.IFNA(VLOOKUP(CONCATENATE($A59,$D59),'Budget Analysis Report (Table)'!$A:$F,5,0),0)</f>
        <v>0</v>
      </c>
      <c r="H59" s="63"/>
      <c r="I59" s="325">
        <f>_xlfn.IFNA(VLOOKUP(CONCATENATE($A59,$D59),'Budget Analysis Report (Table)'!$A:$F,6,0),0)</f>
        <v>0</v>
      </c>
      <c r="J59" s="63"/>
    </row>
    <row r="60" spans="1:10" s="26" customFormat="1" ht="19.5" customHeight="1">
      <c r="A60" s="61" t="s">
        <v>181</v>
      </c>
      <c r="B60" s="62" t="s">
        <v>182</v>
      </c>
      <c r="C60" s="340" t="e">
        <f>VLOOKUP($I$3,'Data - CFR2425'!$A$4:$CE$129,49,FALSE)</f>
        <v>#N/A</v>
      </c>
      <c r="D60" s="328" t="s">
        <v>183</v>
      </c>
      <c r="E60" s="325">
        <f>_xlfn.IFNA(VLOOKUP(CONCATENATE($A60,$D60),'Budget Analysis Report (Table)'!$A:$F,4,0),0)</f>
        <v>0</v>
      </c>
      <c r="F60" s="63"/>
      <c r="G60" s="325">
        <f>_xlfn.IFNA(VLOOKUP(CONCATENATE($A60,$D60),'Budget Analysis Report (Table)'!$A:$F,5,0),0)</f>
        <v>0</v>
      </c>
      <c r="H60" s="63"/>
      <c r="I60" s="325">
        <f>_xlfn.IFNA(VLOOKUP(CONCATENATE($A60,$D60),'Budget Analysis Report (Table)'!$A:$F,6,0),0)</f>
        <v>0</v>
      </c>
      <c r="J60" s="63"/>
    </row>
    <row r="61" spans="1:10" s="26" customFormat="1" ht="19.5" customHeight="1">
      <c r="A61" s="61" t="s">
        <v>184</v>
      </c>
      <c r="B61" s="62" t="s">
        <v>185</v>
      </c>
      <c r="C61" s="340" t="e">
        <f>VLOOKUP($I$3,'Data - CFR2425'!$A$4:$CE$129,50,FALSE)</f>
        <v>#N/A</v>
      </c>
      <c r="D61" s="328" t="s">
        <v>186</v>
      </c>
      <c r="E61" s="325">
        <f>_xlfn.IFNA(VLOOKUP(CONCATENATE($A61,$D61),'Budget Analysis Report (Table)'!$A:$F,4,0),0)</f>
        <v>0</v>
      </c>
      <c r="F61" s="63"/>
      <c r="G61" s="325">
        <f>_xlfn.IFNA(VLOOKUP(CONCATENATE($A61,$D61),'Budget Analysis Report (Table)'!$A:$F,5,0),0)</f>
        <v>0</v>
      </c>
      <c r="H61" s="63"/>
      <c r="I61" s="325">
        <f>_xlfn.IFNA(VLOOKUP(CONCATENATE($A61,$D61),'Budget Analysis Report (Table)'!$A:$F,6,0),0)</f>
        <v>0</v>
      </c>
      <c r="J61" s="63"/>
    </row>
    <row r="62" spans="1:10" s="26" customFormat="1" ht="19.5" customHeight="1">
      <c r="A62" s="61" t="s">
        <v>187</v>
      </c>
      <c r="B62" s="62" t="s">
        <v>188</v>
      </c>
      <c r="C62" s="340" t="e">
        <f>VLOOKUP($I$3,'Data - CFR2425'!$A$4:$CE$129,51,FALSE)</f>
        <v>#N/A</v>
      </c>
      <c r="D62" s="328" t="s">
        <v>189</v>
      </c>
      <c r="E62" s="325">
        <f>_xlfn.IFNA(VLOOKUP(CONCATENATE($A62,$D62),'Budget Analysis Report (Table)'!$A:$F,4,0),0)</f>
        <v>0</v>
      </c>
      <c r="F62" s="63"/>
      <c r="G62" s="325">
        <f>_xlfn.IFNA(VLOOKUP(CONCATENATE($A62,$D62),'Budget Analysis Report (Table)'!$A:$F,5,0),0)</f>
        <v>0</v>
      </c>
      <c r="H62" s="63"/>
      <c r="I62" s="325">
        <f>_xlfn.IFNA(VLOOKUP(CONCATENATE($A62,$D62),'Budget Analysis Report (Table)'!$A:$F,6,0),0)</f>
        <v>0</v>
      </c>
      <c r="J62" s="63"/>
    </row>
    <row r="63" spans="1:10" s="26" customFormat="1" ht="19.5" customHeight="1">
      <c r="A63" s="61" t="s">
        <v>190</v>
      </c>
      <c r="B63" s="62" t="s">
        <v>191</v>
      </c>
      <c r="C63" s="340" t="e">
        <f>VLOOKUP($I$3,'Data - CFR2425'!$A$4:$CE$129,52,FALSE)</f>
        <v>#N/A</v>
      </c>
      <c r="D63" s="328" t="s">
        <v>192</v>
      </c>
      <c r="E63" s="325">
        <f>_xlfn.IFNA(VLOOKUP(CONCATENATE($A63,$D63),'Budget Analysis Report (Table)'!$A:$F,4,0),0)</f>
        <v>0</v>
      </c>
      <c r="F63" s="63"/>
      <c r="G63" s="325">
        <f>_xlfn.IFNA(VLOOKUP(CONCATENATE($A63,$D63),'Budget Analysis Report (Table)'!$A:$F,5,0),0)</f>
        <v>0</v>
      </c>
      <c r="H63" s="63"/>
      <c r="I63" s="325">
        <f>_xlfn.IFNA(VLOOKUP(CONCATENATE($A63,$D63),'Budget Analysis Report (Table)'!$A:$F,6,0),0)</f>
        <v>0</v>
      </c>
      <c r="J63" s="63"/>
    </row>
    <row r="64" spans="1:10" s="26" customFormat="1" ht="19.5" customHeight="1">
      <c r="A64" s="61" t="s">
        <v>193</v>
      </c>
      <c r="B64" s="62" t="s">
        <v>194</v>
      </c>
      <c r="C64" s="340" t="e">
        <f>VLOOKUP($I$3,'Data - CFR2425'!$A$4:$CE$129,53,FALSE)</f>
        <v>#N/A</v>
      </c>
      <c r="D64" s="328" t="s">
        <v>195</v>
      </c>
      <c r="E64" s="325">
        <f>_xlfn.IFNA(VLOOKUP(CONCATENATE($A64,$D64),'Budget Analysis Report (Table)'!$A:$F,4,0),0)</f>
        <v>0</v>
      </c>
      <c r="F64" s="63"/>
      <c r="G64" s="325">
        <f>_xlfn.IFNA(VLOOKUP(CONCATENATE($A64,$D64),'Budget Analysis Report (Table)'!$A:$F,5,0),0)</f>
        <v>0</v>
      </c>
      <c r="H64" s="63"/>
      <c r="I64" s="325">
        <f>_xlfn.IFNA(VLOOKUP(CONCATENATE($A64,$D64),'Budget Analysis Report (Table)'!$A:$F,6,0),0)</f>
        <v>0</v>
      </c>
      <c r="J64" s="63"/>
    </row>
    <row r="65" spans="1:12" s="26" customFormat="1" ht="19.5" customHeight="1" thickBot="1">
      <c r="A65" s="61" t="s">
        <v>196</v>
      </c>
      <c r="B65" s="62" t="s">
        <v>197</v>
      </c>
      <c r="C65" s="341" t="e">
        <f>VLOOKUP($I$3,'Data - CFR2425'!$A$4:$CE$129,54,FALSE)</f>
        <v>#N/A</v>
      </c>
      <c r="D65" s="328" t="s">
        <v>198</v>
      </c>
      <c r="E65" s="325">
        <f>_xlfn.IFNA(VLOOKUP(CONCATENATE($A65,$D65),'Budget Analysis Report (Table)'!$A:$F,4,0),0)</f>
        <v>0</v>
      </c>
      <c r="F65" s="63"/>
      <c r="G65" s="325">
        <f>_xlfn.IFNA(VLOOKUP(CONCATENATE($A65,$D65),'Budget Analysis Report (Table)'!$A:$F,5,0),0)</f>
        <v>0</v>
      </c>
      <c r="H65" s="63"/>
      <c r="I65" s="325">
        <f>_xlfn.IFNA(VLOOKUP(CONCATENATE($A65,$D65),'Budget Analysis Report (Table)'!$A:$F,6,0),0)</f>
        <v>0</v>
      </c>
      <c r="J65" s="63"/>
    </row>
    <row r="66" spans="1:12" s="26" customFormat="1" ht="19.5" customHeight="1" thickBot="1">
      <c r="A66" s="70"/>
      <c r="B66" s="66" t="s">
        <v>28</v>
      </c>
      <c r="C66" s="156" t="e">
        <f>SUM(C35:C65)</f>
        <v>#N/A</v>
      </c>
      <c r="D66" s="71"/>
      <c r="E66" s="1">
        <f>SUM(E35:E65)</f>
        <v>0</v>
      </c>
      <c r="F66" s="68"/>
      <c r="G66" s="1">
        <f>SUM(G35:G65)</f>
        <v>0</v>
      </c>
      <c r="H66" s="68"/>
      <c r="I66" s="1">
        <f>SUM(I35:I65)</f>
        <v>0</v>
      </c>
      <c r="J66" s="99"/>
    </row>
    <row r="67" spans="1:12" s="26" customFormat="1" ht="36.75" customHeight="1">
      <c r="A67" s="72"/>
      <c r="B67" s="66"/>
      <c r="C67" s="73"/>
      <c r="D67" s="59"/>
      <c r="E67" s="73"/>
      <c r="G67" s="73"/>
      <c r="I67" s="73"/>
      <c r="J67" s="60"/>
    </row>
    <row r="68" spans="1:12" ht="34.5" customHeight="1">
      <c r="A68" s="74" t="s">
        <v>199</v>
      </c>
      <c r="B68" s="62"/>
      <c r="C68" s="52" t="s">
        <v>50</v>
      </c>
      <c r="D68" s="59"/>
      <c r="E68" s="67" t="str">
        <f>E5</f>
        <v>2025/26</v>
      </c>
      <c r="F68" s="221"/>
      <c r="G68" s="67" t="str">
        <f>G5</f>
        <v>2026/27</v>
      </c>
      <c r="H68" s="221"/>
      <c r="I68" s="67" t="str">
        <f>I5</f>
        <v>2027/28</v>
      </c>
      <c r="J68" s="60"/>
    </row>
    <row r="69" spans="1:12" s="26" customFormat="1" ht="19.5" customHeight="1" thickBot="1">
      <c r="A69" s="72"/>
      <c r="B69" s="62"/>
      <c r="C69" s="67" t="s">
        <v>54</v>
      </c>
      <c r="D69" s="59"/>
      <c r="E69" s="67" t="s">
        <v>54</v>
      </c>
      <c r="G69" s="67" t="s">
        <v>54</v>
      </c>
      <c r="I69" s="67" t="s">
        <v>54</v>
      </c>
      <c r="J69" s="60"/>
      <c r="L69" s="44"/>
    </row>
    <row r="70" spans="1:12" ht="19.5" customHeight="1" thickBot="1">
      <c r="A70" s="72"/>
      <c r="B70" s="62" t="s">
        <v>200</v>
      </c>
      <c r="C70" s="156" t="e">
        <f>C31-C66</f>
        <v>#N/A</v>
      </c>
      <c r="D70" s="59"/>
      <c r="E70" s="1">
        <f>E31-E66</f>
        <v>0</v>
      </c>
      <c r="F70" s="63"/>
      <c r="G70" s="1">
        <f>G31-G66</f>
        <v>0</v>
      </c>
      <c r="H70" s="63"/>
      <c r="I70" s="1">
        <f>I31-I66</f>
        <v>0</v>
      </c>
      <c r="J70" s="63"/>
    </row>
    <row r="71" spans="1:12" ht="19.5" customHeight="1" thickBot="1">
      <c r="A71" s="72"/>
      <c r="B71" s="62" t="s">
        <v>201</v>
      </c>
      <c r="C71" s="216" t="e">
        <f>VLOOKUP($I$3,'Data - CFR2425'!$A$4:$CE$129,57,FALSE)</f>
        <v>#N/A</v>
      </c>
      <c r="D71" s="59"/>
      <c r="E71" s="306" t="e">
        <f>IF(C70&lt;&gt;0,C72,)</f>
        <v>#N/A</v>
      </c>
      <c r="F71" s="63"/>
      <c r="G71" s="15" t="e">
        <f>E72</f>
        <v>#N/A</v>
      </c>
      <c r="H71" s="63"/>
      <c r="I71" s="15" t="e">
        <f>G72</f>
        <v>#N/A</v>
      </c>
      <c r="J71" s="63"/>
    </row>
    <row r="72" spans="1:12" s="26" customFormat="1" ht="19.5" customHeight="1" thickBot="1">
      <c r="A72" s="72"/>
      <c r="B72" s="62" t="s">
        <v>202</v>
      </c>
      <c r="C72" s="156" t="e">
        <f>C70+C71</f>
        <v>#N/A</v>
      </c>
      <c r="D72" s="59"/>
      <c r="E72" s="15" t="e">
        <f>E70+E71</f>
        <v>#N/A</v>
      </c>
      <c r="F72" s="63"/>
      <c r="G72" s="15" t="e">
        <f>G70+G71</f>
        <v>#N/A</v>
      </c>
      <c r="H72" s="63"/>
      <c r="I72" s="15" t="e">
        <f>I70+I71</f>
        <v>#N/A</v>
      </c>
      <c r="J72" s="63"/>
    </row>
    <row r="73" spans="1:12" s="26" customFormat="1" ht="19.5" customHeight="1">
      <c r="A73" s="72"/>
      <c r="B73" s="62"/>
      <c r="C73" s="75"/>
      <c r="D73" s="59"/>
      <c r="E73" s="75"/>
      <c r="G73" s="75"/>
      <c r="I73" s="75"/>
      <c r="J73" s="60"/>
    </row>
    <row r="74" spans="1:12" s="26" customFormat="1" ht="21">
      <c r="A74" s="381" t="s">
        <v>32</v>
      </c>
      <c r="B74" s="382"/>
      <c r="C74" s="382"/>
      <c r="D74" s="382"/>
      <c r="E74" s="382"/>
      <c r="F74" s="382"/>
      <c r="G74" s="382"/>
      <c r="H74" s="382"/>
      <c r="I74" s="382"/>
      <c r="J74" s="383"/>
    </row>
    <row r="75" spans="1:12" s="26" customFormat="1" ht="34.5" customHeight="1">
      <c r="A75" s="69"/>
      <c r="B75" s="76"/>
      <c r="C75" s="52" t="s">
        <v>50</v>
      </c>
      <c r="D75" s="59"/>
      <c r="E75" s="67" t="str">
        <f>E5</f>
        <v>2025/26</v>
      </c>
      <c r="F75" s="221"/>
      <c r="G75" s="67" t="str">
        <f>G5</f>
        <v>2026/27</v>
      </c>
      <c r="H75" s="221"/>
      <c r="I75" s="67" t="str">
        <f>I5</f>
        <v>2027/28</v>
      </c>
      <c r="J75" s="60"/>
    </row>
    <row r="76" spans="1:12" s="26" customFormat="1" ht="19.5" customHeight="1" thickBot="1">
      <c r="A76" s="69" t="s">
        <v>52</v>
      </c>
      <c r="B76" s="66" t="s">
        <v>203</v>
      </c>
      <c r="C76" s="67" t="s">
        <v>54</v>
      </c>
      <c r="D76" s="59"/>
      <c r="E76" s="67" t="s">
        <v>54</v>
      </c>
      <c r="G76" s="67" t="s">
        <v>54</v>
      </c>
      <c r="I76" s="67" t="s">
        <v>54</v>
      </c>
      <c r="J76" s="60"/>
    </row>
    <row r="77" spans="1:12" s="26" customFormat="1" ht="19.5" customHeight="1" thickBot="1">
      <c r="A77" s="61" t="s">
        <v>204</v>
      </c>
      <c r="B77" s="62" t="s">
        <v>205</v>
      </c>
      <c r="C77" s="342" t="e">
        <f>VLOOKUP($I$3,'Data - CFR2425'!$A$4:$CE$129,59,FALSE)</f>
        <v>#N/A</v>
      </c>
      <c r="D77" s="328" t="s">
        <v>206</v>
      </c>
      <c r="E77" s="326">
        <f>_xlfn.IFNA(VLOOKUP(CONCATENATE($A77,$D77),'Budget Analysis Report (Table)'!$A:$F,4,0),0)</f>
        <v>0</v>
      </c>
      <c r="F77" s="343"/>
      <c r="G77" s="326">
        <f>_xlfn.IFNA(VLOOKUP(CONCATENATE($A77,$D77),'Budget Analysis Report (Table)'!$A:$F,5,0),0)</f>
        <v>0</v>
      </c>
      <c r="H77" s="343"/>
      <c r="I77" s="326">
        <f>_xlfn.IFNA(VLOOKUP(CONCATENATE($A77,$D77),'Budget Analysis Report (Table)'!$A:$F,6,0),0)</f>
        <v>0</v>
      </c>
      <c r="J77" s="60"/>
    </row>
    <row r="78" spans="1:12" s="26" customFormat="1" ht="19.5" customHeight="1" thickBot="1">
      <c r="A78" s="61" t="s">
        <v>207</v>
      </c>
      <c r="B78" s="62" t="s">
        <v>208</v>
      </c>
      <c r="C78" s="342" t="e">
        <f>VLOOKUP($I$3,'Data - CFR2425'!$A$4:$CE$129,60,FALSE)</f>
        <v>#N/A</v>
      </c>
      <c r="D78" s="328" t="s">
        <v>209</v>
      </c>
      <c r="E78" s="326">
        <f>_xlfn.IFNA(VLOOKUP(CONCATENATE($A78,$D78),'Budget Analysis Report (Table)'!$A:$F,4,0),0)</f>
        <v>0</v>
      </c>
      <c r="F78" s="343"/>
      <c r="G78" s="326">
        <f>_xlfn.IFNA(VLOOKUP(CONCATENATE($A78,$D78),'Budget Analysis Report (Table)'!$A:$F,5,0),0)</f>
        <v>0</v>
      </c>
      <c r="H78" s="343"/>
      <c r="I78" s="326">
        <f>_xlfn.IFNA(VLOOKUP(CONCATENATE($A78,$D78),'Budget Analysis Report (Table)'!$A:$F,6,0),0)</f>
        <v>0</v>
      </c>
      <c r="J78" s="60"/>
    </row>
    <row r="79" spans="1:12" s="26" customFormat="1" ht="19.5" customHeight="1" thickBot="1">
      <c r="A79" s="61"/>
      <c r="B79" s="66" t="s">
        <v>210</v>
      </c>
      <c r="C79" s="156" t="e">
        <f>C77+C78</f>
        <v>#N/A</v>
      </c>
      <c r="D79" s="328"/>
      <c r="E79" s="15">
        <f>E77+E78</f>
        <v>0</v>
      </c>
      <c r="F79" s="63"/>
      <c r="G79" s="15">
        <f>G77+G78</f>
        <v>0</v>
      </c>
      <c r="H79" s="63"/>
      <c r="I79" s="15">
        <f>I77+I78</f>
        <v>0</v>
      </c>
      <c r="J79" s="60"/>
    </row>
    <row r="80" spans="1:12" s="26" customFormat="1" ht="19.5" customHeight="1">
      <c r="A80" s="61"/>
      <c r="B80" s="62"/>
      <c r="C80" s="75"/>
      <c r="D80" s="328"/>
      <c r="E80" s="75"/>
      <c r="G80" s="75"/>
      <c r="I80" s="75"/>
      <c r="J80" s="60"/>
    </row>
    <row r="81" spans="1:12" s="26" customFormat="1" ht="19.5" customHeight="1">
      <c r="A81" s="69"/>
      <c r="B81" s="57"/>
      <c r="C81" s="75"/>
      <c r="D81" s="328"/>
      <c r="E81" s="75"/>
      <c r="G81" s="75"/>
      <c r="I81" s="75"/>
      <c r="J81" s="60"/>
    </row>
    <row r="82" spans="1:12" s="26" customFormat="1" ht="19.5" customHeight="1" thickBot="1">
      <c r="A82" s="69" t="s">
        <v>52</v>
      </c>
      <c r="B82" s="66" t="s">
        <v>211</v>
      </c>
      <c r="C82" s="67" t="s">
        <v>54</v>
      </c>
      <c r="D82" s="328"/>
      <c r="E82" s="67" t="s">
        <v>54</v>
      </c>
      <c r="G82" s="67" t="s">
        <v>54</v>
      </c>
      <c r="I82" s="67" t="s">
        <v>54</v>
      </c>
      <c r="J82" s="60"/>
    </row>
    <row r="83" spans="1:12" s="26" customFormat="1" ht="19.5" customHeight="1" thickBot="1">
      <c r="A83" s="61" t="s">
        <v>212</v>
      </c>
      <c r="B83" s="62" t="s">
        <v>213</v>
      </c>
      <c r="C83" s="342" t="e">
        <f>VLOOKUP($I$3,'Data - CFR2425'!$A$4:$CE$129,62,FALSE)</f>
        <v>#N/A</v>
      </c>
      <c r="D83" s="328" t="s">
        <v>214</v>
      </c>
      <c r="E83" s="326">
        <f>_xlfn.IFNA(VLOOKUP(CONCATENATE($A83,$D83),'Budget Analysis Report (Table)'!$A:$F,4,0),0)</f>
        <v>0</v>
      </c>
      <c r="F83" s="343"/>
      <c r="G83" s="326">
        <f>_xlfn.IFNA(VLOOKUP(CONCATENATE($A83,$D83),'Budget Analysis Report (Table)'!$A:$F,5,0),0)</f>
        <v>0</v>
      </c>
      <c r="H83" s="343"/>
      <c r="I83" s="326">
        <f>_xlfn.IFNA(VLOOKUP(CONCATENATE($A83,$D83),'Budget Analysis Report (Table)'!$A:$F,6,0),0)</f>
        <v>0</v>
      </c>
      <c r="J83" s="60"/>
    </row>
    <row r="84" spans="1:12" s="26" customFormat="1" ht="19.5" customHeight="1" thickBot="1">
      <c r="A84" s="61" t="s">
        <v>215</v>
      </c>
      <c r="B84" s="62" t="s">
        <v>216</v>
      </c>
      <c r="C84" s="342" t="e">
        <f>VLOOKUP($I$3,'Data - CFR2425'!$A$4:$CE$129,63,FALSE)</f>
        <v>#N/A</v>
      </c>
      <c r="D84" s="328" t="s">
        <v>217</v>
      </c>
      <c r="E84" s="326">
        <f>_xlfn.IFNA(VLOOKUP(CONCATENATE($A84,$D84),'Budget Analysis Report (Table)'!$A:$F,4,0),0)</f>
        <v>0</v>
      </c>
      <c r="F84" s="343"/>
      <c r="G84" s="326">
        <f>_xlfn.IFNA(VLOOKUP(CONCATENATE($A84,$D84),'Budget Analysis Report (Table)'!$A:$F,5,0),0)</f>
        <v>0</v>
      </c>
      <c r="H84" s="343"/>
      <c r="I84" s="326">
        <f>_xlfn.IFNA(VLOOKUP(CONCATENATE($A84,$D84),'Budget Analysis Report (Table)'!$A:$F,6,0),0)</f>
        <v>0</v>
      </c>
      <c r="J84" s="60"/>
    </row>
    <row r="85" spans="1:12" s="26" customFormat="1" ht="19.5" customHeight="1" thickBot="1">
      <c r="A85" s="72"/>
      <c r="B85" s="66" t="s">
        <v>218</v>
      </c>
      <c r="C85" s="156" t="e">
        <f>C83+C84</f>
        <v>#N/A</v>
      </c>
      <c r="D85" s="328"/>
      <c r="E85" s="15">
        <f>E83+E84</f>
        <v>0</v>
      </c>
      <c r="F85" s="63"/>
      <c r="G85" s="15">
        <f>G83+G84</f>
        <v>0</v>
      </c>
      <c r="H85" s="63"/>
      <c r="I85" s="15">
        <f>I83+I84</f>
        <v>0</v>
      </c>
      <c r="J85" s="60"/>
    </row>
    <row r="86" spans="1:12" s="26" customFormat="1" ht="19.5" customHeight="1">
      <c r="A86" s="72"/>
      <c r="B86" s="62"/>
      <c r="C86" s="75"/>
      <c r="D86" s="59"/>
      <c r="E86" s="75"/>
      <c r="G86" s="75"/>
      <c r="I86" s="75"/>
      <c r="J86" s="60"/>
    </row>
    <row r="87" spans="1:12" ht="19.5" customHeight="1">
      <c r="A87" s="74" t="s">
        <v>219</v>
      </c>
      <c r="B87" s="62"/>
      <c r="C87" s="75"/>
      <c r="D87" s="59"/>
      <c r="E87" s="75"/>
      <c r="F87" s="26"/>
      <c r="G87" s="75"/>
      <c r="H87" s="26"/>
      <c r="I87" s="75"/>
      <c r="J87" s="60"/>
    </row>
    <row r="88" spans="1:12" s="26" customFormat="1" ht="19.5" customHeight="1" thickBot="1">
      <c r="A88" s="72"/>
      <c r="B88" s="62"/>
      <c r="C88" s="67" t="s">
        <v>54</v>
      </c>
      <c r="D88" s="59"/>
      <c r="E88" s="67" t="s">
        <v>54</v>
      </c>
      <c r="G88" s="67" t="s">
        <v>54</v>
      </c>
      <c r="I88" s="67" t="s">
        <v>54</v>
      </c>
      <c r="J88" s="60"/>
      <c r="L88" s="44"/>
    </row>
    <row r="89" spans="1:12" ht="19.5" customHeight="1" thickBot="1">
      <c r="A89" s="72"/>
      <c r="B89" s="62" t="s">
        <v>200</v>
      </c>
      <c r="C89" s="156" t="e">
        <f>C79-C85</f>
        <v>#N/A</v>
      </c>
      <c r="D89" s="59"/>
      <c r="E89" s="1">
        <f>E79-E85</f>
        <v>0</v>
      </c>
      <c r="F89" s="63"/>
      <c r="G89" s="1">
        <f>G79-G85</f>
        <v>0</v>
      </c>
      <c r="H89" s="63"/>
      <c r="I89" s="1">
        <f>I79-I85</f>
        <v>0</v>
      </c>
      <c r="J89" s="63"/>
    </row>
    <row r="90" spans="1:12" ht="19.5" customHeight="1" thickBot="1">
      <c r="A90" s="72"/>
      <c r="B90" s="62" t="s">
        <v>220</v>
      </c>
      <c r="C90" s="216" t="e">
        <f>VLOOKUP($I$3,'Data - CFR2425'!$A$4:$CE$129,66,FALSE)</f>
        <v>#N/A</v>
      </c>
      <c r="D90" s="59"/>
      <c r="E90" s="306" t="e">
        <f>C91</f>
        <v>#N/A</v>
      </c>
      <c r="F90" s="63"/>
      <c r="G90" s="307" t="e">
        <f>E91</f>
        <v>#N/A</v>
      </c>
      <c r="H90" s="63"/>
      <c r="I90" s="307" t="e">
        <f>G91</f>
        <v>#N/A</v>
      </c>
      <c r="J90" s="63"/>
    </row>
    <row r="91" spans="1:12" s="26" customFormat="1" ht="19.5" customHeight="1" thickBot="1">
      <c r="A91" s="61" t="s">
        <v>221</v>
      </c>
      <c r="B91" s="62" t="s">
        <v>222</v>
      </c>
      <c r="C91" s="156" t="e">
        <f>C89+C90</f>
        <v>#N/A</v>
      </c>
      <c r="D91" s="59"/>
      <c r="E91" s="15" t="e">
        <f>E89+E90</f>
        <v>#N/A</v>
      </c>
      <c r="F91" s="63"/>
      <c r="G91" s="15" t="e">
        <f>G89+G90</f>
        <v>#N/A</v>
      </c>
      <c r="H91" s="63"/>
      <c r="I91" s="15" t="e">
        <f>I89+I90</f>
        <v>#N/A</v>
      </c>
      <c r="J91" s="63"/>
    </row>
    <row r="92" spans="1:12" s="26" customFormat="1" ht="19.5" customHeight="1">
      <c r="A92" s="237"/>
      <c r="B92" s="90"/>
      <c r="C92" s="91"/>
      <c r="D92" s="92"/>
      <c r="E92" s="91"/>
      <c r="F92" s="93"/>
      <c r="G92" s="91"/>
      <c r="H92" s="93"/>
      <c r="I92" s="91"/>
      <c r="J92" s="94"/>
    </row>
    <row r="93" spans="1:12" s="26" customFormat="1" ht="19.5" customHeight="1" thickBot="1">
      <c r="A93" s="78" t="s">
        <v>223</v>
      </c>
      <c r="B93" s="79"/>
      <c r="C93" s="80" t="s">
        <v>54</v>
      </c>
      <c r="D93" s="81"/>
      <c r="E93" s="80" t="s">
        <v>54</v>
      </c>
      <c r="F93" s="82"/>
      <c r="G93" s="80" t="s">
        <v>54</v>
      </c>
      <c r="H93" s="82"/>
      <c r="I93" s="80" t="s">
        <v>54</v>
      </c>
      <c r="J93" s="83"/>
    </row>
    <row r="94" spans="1:12" s="26" customFormat="1" ht="19.5" customHeight="1" thickBot="1">
      <c r="A94" s="61" t="s">
        <v>224</v>
      </c>
      <c r="B94" s="62" t="s">
        <v>225</v>
      </c>
      <c r="C94" s="156">
        <v>0</v>
      </c>
      <c r="D94" s="59"/>
      <c r="E94" s="307"/>
      <c r="F94" s="63"/>
      <c r="G94" s="307"/>
      <c r="H94" s="63"/>
      <c r="I94" s="307"/>
      <c r="J94" s="60"/>
    </row>
    <row r="95" spans="1:12" s="26" customFormat="1" ht="19.5" customHeight="1" thickBot="1">
      <c r="A95" s="61" t="s">
        <v>226</v>
      </c>
      <c r="B95" s="62" t="s">
        <v>227</v>
      </c>
      <c r="C95" s="156" t="e">
        <f>C72-C94</f>
        <v>#N/A</v>
      </c>
      <c r="D95" s="59"/>
      <c r="E95" s="15" t="e">
        <f>E72-E94</f>
        <v>#N/A</v>
      </c>
      <c r="F95" s="63"/>
      <c r="G95" s="15" t="e">
        <f>G72-G94</f>
        <v>#N/A</v>
      </c>
      <c r="H95" s="63"/>
      <c r="I95" s="15" t="e">
        <f>I72-I94</f>
        <v>#N/A</v>
      </c>
      <c r="J95" s="60"/>
    </row>
    <row r="96" spans="1:12" s="26" customFormat="1" ht="19.5" customHeight="1" thickBot="1">
      <c r="A96" s="61" t="s">
        <v>221</v>
      </c>
      <c r="B96" s="62" t="s">
        <v>219</v>
      </c>
      <c r="C96" s="156" t="e">
        <f>C91</f>
        <v>#N/A</v>
      </c>
      <c r="D96" s="59"/>
      <c r="E96" s="15" t="e">
        <f>E91</f>
        <v>#N/A</v>
      </c>
      <c r="F96" s="63"/>
      <c r="G96" s="15" t="e">
        <f>G91</f>
        <v>#N/A</v>
      </c>
      <c r="H96" s="63"/>
      <c r="I96" s="15" t="e">
        <f>I91</f>
        <v>#N/A</v>
      </c>
      <c r="J96" s="60"/>
    </row>
    <row r="97" spans="1:10" s="26" customFormat="1" ht="19.5" customHeight="1" thickBot="1">
      <c r="A97" s="72"/>
      <c r="B97" s="62"/>
      <c r="C97" s="7"/>
      <c r="D97" s="59"/>
      <c r="E97" s="77"/>
      <c r="G97" s="77"/>
      <c r="I97" s="77"/>
      <c r="J97" s="60"/>
    </row>
    <row r="98" spans="1:10" s="26" customFormat="1" ht="27.75" customHeight="1" thickBot="1">
      <c r="A98" s="238" t="s">
        <v>228</v>
      </c>
      <c r="B98" s="84"/>
      <c r="C98" s="157" t="e">
        <f>C96+C94+C95</f>
        <v>#N/A</v>
      </c>
      <c r="D98" s="84"/>
      <c r="E98" s="85" t="e">
        <f>E96+E94+E95</f>
        <v>#N/A</v>
      </c>
      <c r="F98" s="86"/>
      <c r="G98" s="85" t="e">
        <f>G96+G94+G95</f>
        <v>#N/A</v>
      </c>
      <c r="H98" s="86"/>
      <c r="I98" s="85" t="e">
        <f>I96+I94+I95</f>
        <v>#N/A</v>
      </c>
      <c r="J98" s="60"/>
    </row>
    <row r="99" spans="1:10" s="26" customFormat="1" ht="7.5" customHeight="1">
      <c r="A99" s="238"/>
      <c r="B99" s="84"/>
      <c r="C99" s="109"/>
      <c r="D99" s="84"/>
      <c r="E99" s="87"/>
      <c r="F99" s="84"/>
      <c r="G99" s="87"/>
      <c r="H99" s="84"/>
      <c r="I99" s="87"/>
      <c r="J99" s="60"/>
    </row>
    <row r="100" spans="1:10" s="26" customFormat="1" ht="17.399999999999999">
      <c r="A100" s="239" t="s">
        <v>229</v>
      </c>
      <c r="B100" s="84"/>
      <c r="C100" s="158" t="e">
        <f>C98/SUM(C12:C16)</f>
        <v>#N/A</v>
      </c>
      <c r="D100" s="84"/>
      <c r="E100" s="88" t="e">
        <f>E98/SUM(E12:E16)</f>
        <v>#N/A</v>
      </c>
      <c r="F100" s="84"/>
      <c r="G100" s="88" t="e">
        <f>G98/SUM(G12:G16)</f>
        <v>#N/A</v>
      </c>
      <c r="H100" s="84"/>
      <c r="I100" s="88" t="e">
        <f>I98/SUM(I12:I16)</f>
        <v>#N/A</v>
      </c>
      <c r="J100" s="60"/>
    </row>
    <row r="101" spans="1:10" s="26" customFormat="1" ht="17.399999999999999">
      <c r="A101" s="240"/>
      <c r="B101" s="84"/>
      <c r="C101" s="241"/>
      <c r="D101" s="84"/>
      <c r="E101" s="301"/>
      <c r="F101" s="84"/>
      <c r="G101" s="242"/>
      <c r="H101" s="84"/>
      <c r="I101" s="242"/>
      <c r="J101" s="60"/>
    </row>
    <row r="102" spans="1:10" s="26" customFormat="1" ht="19.5" customHeight="1">
      <c r="A102" s="89"/>
      <c r="B102" s="90"/>
      <c r="C102" s="91"/>
      <c r="D102" s="92"/>
      <c r="E102" s="91"/>
      <c r="F102" s="93"/>
      <c r="G102" s="8"/>
      <c r="H102" s="93"/>
      <c r="I102" s="8"/>
      <c r="J102" s="94"/>
    </row>
    <row r="103" spans="1:10" s="26" customFormat="1" ht="21">
      <c r="A103" s="381" t="s">
        <v>36</v>
      </c>
      <c r="B103" s="388"/>
      <c r="C103" s="388"/>
      <c r="D103" s="388"/>
      <c r="E103" s="388"/>
      <c r="F103" s="388"/>
      <c r="G103" s="388"/>
      <c r="H103" s="388"/>
      <c r="I103" s="388"/>
      <c r="J103" s="389"/>
    </row>
    <row r="104" spans="1:10" s="26" customFormat="1" ht="12" customHeight="1">
      <c r="A104" s="95"/>
      <c r="B104" s="96"/>
      <c r="C104" s="96"/>
      <c r="D104" s="96"/>
      <c r="E104" s="96"/>
      <c r="F104" s="96"/>
      <c r="G104" s="96"/>
      <c r="H104" s="96"/>
      <c r="I104" s="96"/>
      <c r="J104" s="97"/>
    </row>
    <row r="105" spans="1:10" s="26" customFormat="1" ht="19.5" hidden="1" customHeight="1">
      <c r="A105" s="372" t="s">
        <v>230</v>
      </c>
      <c r="B105" s="373"/>
      <c r="C105" s="373"/>
      <c r="D105" s="373"/>
      <c r="E105" s="373"/>
      <c r="F105" s="373"/>
      <c r="G105" s="373"/>
      <c r="H105" s="373"/>
      <c r="I105" s="373"/>
      <c r="J105" s="374"/>
    </row>
    <row r="106" spans="1:10" s="26" customFormat="1" ht="19.5" hidden="1" customHeight="1">
      <c r="A106" s="72"/>
      <c r="B106" s="62"/>
      <c r="C106" s="77"/>
      <c r="D106" s="59"/>
      <c r="E106" s="77"/>
      <c r="G106" s="7"/>
      <c r="I106" s="7"/>
      <c r="J106" s="60"/>
    </row>
    <row r="107" spans="1:10" s="26" customFormat="1" ht="15.6" hidden="1">
      <c r="A107" s="72"/>
      <c r="B107" s="62" t="s">
        <v>231</v>
      </c>
      <c r="C107" s="17"/>
      <c r="D107" s="59"/>
      <c r="E107" s="258"/>
      <c r="G107" s="259"/>
      <c r="I107" s="259"/>
      <c r="J107" s="60"/>
    </row>
    <row r="108" spans="1:10" s="26" customFormat="1" ht="19.5" hidden="1" customHeight="1">
      <c r="A108" s="72"/>
      <c r="B108" s="62" t="s">
        <v>232</v>
      </c>
      <c r="C108" s="98"/>
      <c r="D108" s="59"/>
      <c r="E108" s="260"/>
      <c r="G108" s="260"/>
      <c r="I108" s="260"/>
      <c r="J108" s="60"/>
    </row>
    <row r="109" spans="1:10" s="26" customFormat="1" ht="16.5" hidden="1" customHeight="1">
      <c r="A109" s="72"/>
      <c r="B109" s="62"/>
      <c r="C109" s="7"/>
      <c r="D109" s="59"/>
      <c r="E109" s="77"/>
      <c r="G109" s="77"/>
      <c r="I109" s="77"/>
      <c r="J109" s="60"/>
    </row>
    <row r="110" spans="1:10" s="26" customFormat="1" ht="16.5" hidden="1" customHeight="1">
      <c r="A110" s="72"/>
      <c r="B110" s="62" t="s">
        <v>233</v>
      </c>
      <c r="C110" s="17"/>
      <c r="D110" s="59"/>
      <c r="E110" s="261"/>
      <c r="G110" s="261"/>
      <c r="I110" s="261"/>
      <c r="J110" s="60"/>
    </row>
    <row r="111" spans="1:10" s="26" customFormat="1" ht="7.5" customHeight="1">
      <c r="A111" s="72"/>
      <c r="B111" s="62"/>
      <c r="C111" s="77"/>
      <c r="D111" s="59"/>
      <c r="E111" s="77"/>
      <c r="G111" s="7"/>
      <c r="I111" s="7"/>
      <c r="J111" s="60"/>
    </row>
    <row r="112" spans="1:10" s="26" customFormat="1" ht="36" customHeight="1">
      <c r="A112" s="344" t="s">
        <v>234</v>
      </c>
      <c r="B112" s="62"/>
      <c r="C112" s="52" t="s">
        <v>50</v>
      </c>
      <c r="E112" s="345" t="str">
        <f>E5</f>
        <v>2025/26</v>
      </c>
      <c r="F112" s="345"/>
      <c r="G112" s="345" t="str">
        <f>G5</f>
        <v>2026/27</v>
      </c>
      <c r="H112" s="345">
        <f>H5</f>
        <v>0</v>
      </c>
      <c r="I112" s="345" t="str">
        <f>I5</f>
        <v>2027/28</v>
      </c>
      <c r="J112" s="60"/>
    </row>
    <row r="113" spans="1:11" s="26" customFormat="1" ht="19.5" customHeight="1" thickBot="1">
      <c r="A113" s="72"/>
      <c r="B113" s="62"/>
      <c r="C113" s="67" t="s">
        <v>54</v>
      </c>
      <c r="E113" s="67" t="s">
        <v>54</v>
      </c>
      <c r="G113" s="67" t="s">
        <v>54</v>
      </c>
      <c r="I113" s="67" t="s">
        <v>54</v>
      </c>
      <c r="J113" s="60"/>
    </row>
    <row r="114" spans="1:11" s="26" customFormat="1" ht="19.5" customHeight="1" thickBot="1">
      <c r="A114" s="72" t="s">
        <v>235</v>
      </c>
      <c r="B114" s="62" t="s">
        <v>234</v>
      </c>
      <c r="C114" s="340" t="e">
        <f>VLOOKUP($I$3,'Data - CFR2425'!$A$4:$CE$129,72,FALSE)</f>
        <v>#N/A</v>
      </c>
      <c r="D114" s="328" t="s">
        <v>236</v>
      </c>
      <c r="E114" s="326">
        <f>_xlfn.IFNA(VLOOKUP(CONCATENATE($A114,$D114),'Budget Analysis Report (Table)'!$A:$F,4,0),0)</f>
        <v>0</v>
      </c>
      <c r="F114" s="343"/>
      <c r="G114" s="326">
        <f>_xlfn.IFNA(VLOOKUP(CONCATENATE($A114,$D114),'Budget Analysis Report (Table)'!$A:$F,5,0),0)</f>
        <v>0</v>
      </c>
      <c r="H114" s="343"/>
      <c r="I114" s="326">
        <f>_xlfn.IFNA(VLOOKUP(CONCATENATE($A114,$D114),'Budget Analysis Report (Table)'!$A:$F,6,0),0)</f>
        <v>0</v>
      </c>
      <c r="J114" s="63"/>
    </row>
    <row r="115" spans="1:11" s="26" customFormat="1" ht="19.5" customHeight="1" thickBot="1">
      <c r="A115" s="72" t="s">
        <v>237</v>
      </c>
      <c r="B115" s="62" t="s">
        <v>238</v>
      </c>
      <c r="C115" s="340" t="e">
        <f>VLOOKUP($I$3,'Data - CFR2425'!$A$4:$CE$129,73,FALSE)</f>
        <v>#N/A</v>
      </c>
      <c r="D115" s="328" t="s">
        <v>239</v>
      </c>
      <c r="E115" s="326">
        <f>_xlfn.IFNA(VLOOKUP(CONCATENATE($A115,$D115),'Budget Analysis Report (Table)'!$A:$F,4,0),0)</f>
        <v>0</v>
      </c>
      <c r="F115" s="343"/>
      <c r="G115" s="326">
        <f>_xlfn.IFNA(VLOOKUP(CONCATENATE($A115,$D115),'Budget Analysis Report (Table)'!$A:$F,5,0),0)</f>
        <v>0</v>
      </c>
      <c r="H115" s="343"/>
      <c r="I115" s="326">
        <f>_xlfn.IFNA(VLOOKUP(CONCATENATE($A115,$D115),'Budget Analysis Report (Table)'!$A:$F,6,0),0)</f>
        <v>0</v>
      </c>
      <c r="J115" s="63"/>
    </row>
    <row r="116" spans="1:11" s="26" customFormat="1" ht="19.5" customHeight="1" thickBot="1">
      <c r="A116" s="72" t="s">
        <v>240</v>
      </c>
      <c r="B116" s="62" t="s">
        <v>241</v>
      </c>
      <c r="C116" s="340" t="e">
        <f>VLOOKUP($I$3,'Data - CFR2425'!$A$4:$CE$129,74,FALSE)</f>
        <v>#N/A</v>
      </c>
      <c r="D116" s="328" t="s">
        <v>242</v>
      </c>
      <c r="E116" s="326">
        <f>_xlfn.IFNA(VLOOKUP(CONCATENATE($A116,$D116),'Budget Analysis Report (Table)'!$A:$F,4,0),0)</f>
        <v>0</v>
      </c>
      <c r="F116" s="343"/>
      <c r="G116" s="326">
        <f>_xlfn.IFNA(VLOOKUP(CONCATENATE($A116,$D116),'Budget Analysis Report (Table)'!$A:$F,5,0),0)</f>
        <v>0</v>
      </c>
      <c r="H116" s="343"/>
      <c r="I116" s="326">
        <f>_xlfn.IFNA(VLOOKUP(CONCATENATE($A116,$D116),'Budget Analysis Report (Table)'!$A:$F,6,0),0)</f>
        <v>0</v>
      </c>
      <c r="J116" s="63"/>
      <c r="K116" s="84" t="str">
        <f>IF(E116&gt;0,"RCCO E30 MUST EQUAL CI04","")</f>
        <v/>
      </c>
    </row>
    <row r="117" spans="1:11" s="68" customFormat="1" ht="19.5" customHeight="1" thickBot="1">
      <c r="A117" s="70"/>
      <c r="B117" s="66" t="s">
        <v>37</v>
      </c>
      <c r="C117" s="156" t="e">
        <f>SUM(C114:C116)</f>
        <v>#N/A</v>
      </c>
      <c r="D117" s="71"/>
      <c r="E117" s="1">
        <f>SUM(E114:E116)</f>
        <v>0</v>
      </c>
      <c r="F117" s="99"/>
      <c r="G117" s="1">
        <f>SUM(G114:G116)</f>
        <v>0</v>
      </c>
      <c r="H117" s="99"/>
      <c r="I117" s="1">
        <f>SUM(I114:I116)</f>
        <v>0</v>
      </c>
      <c r="J117" s="99"/>
    </row>
    <row r="118" spans="1:11" s="26" customFormat="1" ht="19.5" customHeight="1">
      <c r="A118" s="72"/>
      <c r="B118" s="62"/>
      <c r="C118" s="75"/>
      <c r="D118" s="59"/>
      <c r="E118" s="75"/>
      <c r="G118" s="75"/>
      <c r="I118" s="75"/>
      <c r="J118" s="60"/>
    </row>
    <row r="119" spans="1:11" s="26" customFormat="1" ht="19.5" customHeight="1">
      <c r="A119" s="344" t="s">
        <v>243</v>
      </c>
      <c r="B119" s="62"/>
      <c r="C119" s="100"/>
      <c r="E119" s="100"/>
      <c r="G119" s="100"/>
      <c r="I119" s="100"/>
      <c r="J119" s="60"/>
    </row>
    <row r="120" spans="1:11" s="26" customFormat="1" ht="19.5" customHeight="1" thickBot="1">
      <c r="A120" s="72"/>
      <c r="B120" s="62"/>
      <c r="C120" s="67" t="s">
        <v>54</v>
      </c>
      <c r="E120" s="67" t="s">
        <v>54</v>
      </c>
      <c r="G120" s="67" t="s">
        <v>54</v>
      </c>
      <c r="I120" s="67" t="s">
        <v>54</v>
      </c>
      <c r="J120" s="60"/>
    </row>
    <row r="121" spans="1:11" s="26" customFormat="1" ht="19.5" customHeight="1" thickBot="1">
      <c r="A121" s="72" t="s">
        <v>244</v>
      </c>
      <c r="B121" s="62" t="s">
        <v>245</v>
      </c>
      <c r="C121" s="340" t="e">
        <f>VLOOKUP($I$3,'Data - CFR2425'!$A$4:$CE$129,76,FALSE)</f>
        <v>#N/A</v>
      </c>
      <c r="D121" s="328" t="s">
        <v>246</v>
      </c>
      <c r="E121" s="326">
        <f>_xlfn.IFNA(VLOOKUP(CONCATENATE($A121,$D121),'Budget Analysis Report (Table)'!$A:$F,4,0),0)</f>
        <v>0</v>
      </c>
      <c r="F121" s="343"/>
      <c r="G121" s="326">
        <f>_xlfn.IFNA(VLOOKUP(CONCATENATE($A121,$D121),'Budget Analysis Report (Table)'!$A:$F,5,0),0)</f>
        <v>0</v>
      </c>
      <c r="H121" s="343"/>
      <c r="I121" s="326">
        <f>_xlfn.IFNA(VLOOKUP(CONCATENATE($A121,$D121),'Budget Analysis Report (Table)'!$A:$F,6,0),0)</f>
        <v>0</v>
      </c>
      <c r="J121" s="63"/>
    </row>
    <row r="122" spans="1:11" s="26" customFormat="1" ht="19.5" customHeight="1" thickBot="1">
      <c r="A122" s="72" t="s">
        <v>247</v>
      </c>
      <c r="B122" s="62" t="s">
        <v>248</v>
      </c>
      <c r="C122" s="340" t="e">
        <f>VLOOKUP($I$3,'Data - CFR2425'!$A$4:$CE$129,77,FALSE)</f>
        <v>#N/A</v>
      </c>
      <c r="D122" s="328" t="s">
        <v>249</v>
      </c>
      <c r="E122" s="326">
        <f>_xlfn.IFNA(VLOOKUP(CONCATENATE($A122,$D122),'Budget Analysis Report (Table)'!$A:$F,4,0),0)</f>
        <v>0</v>
      </c>
      <c r="F122" s="343"/>
      <c r="G122" s="326">
        <f>_xlfn.IFNA(VLOOKUP(CONCATENATE($A122,$D122),'Budget Analysis Report (Table)'!$A:$F,5,0),0)</f>
        <v>0</v>
      </c>
      <c r="H122" s="343"/>
      <c r="I122" s="326">
        <f>_xlfn.IFNA(VLOOKUP(CONCATENATE($A122,$D122),'Budget Analysis Report (Table)'!$A:$F,6,0),0)</f>
        <v>0</v>
      </c>
      <c r="J122" s="63"/>
    </row>
    <row r="123" spans="1:11" s="26" customFormat="1" ht="19.5" customHeight="1" thickBot="1">
      <c r="A123" s="72" t="s">
        <v>250</v>
      </c>
      <c r="B123" s="62" t="s">
        <v>251</v>
      </c>
      <c r="C123" s="340" t="e">
        <f>VLOOKUP($I$3,'Data - CFR2425'!$A$4:$CE$129,78,FALSE)</f>
        <v>#N/A</v>
      </c>
      <c r="D123" s="328" t="s">
        <v>252</v>
      </c>
      <c r="E123" s="326">
        <f>_xlfn.IFNA(VLOOKUP(CONCATENATE($A123,$D123),'Budget Analysis Report (Table)'!$A:$F,4,0),0)</f>
        <v>0</v>
      </c>
      <c r="F123" s="343"/>
      <c r="G123" s="326">
        <f>_xlfn.IFNA(VLOOKUP(CONCATENATE($A123,$D123),'Budget Analysis Report (Table)'!$A:$F,5,0),0)</f>
        <v>0</v>
      </c>
      <c r="H123" s="343"/>
      <c r="I123" s="326">
        <f>_xlfn.IFNA(VLOOKUP(CONCATENATE($A123,$D123),'Budget Analysis Report (Table)'!$A:$F,6,0),0)</f>
        <v>0</v>
      </c>
      <c r="J123" s="63"/>
    </row>
    <row r="124" spans="1:11" s="26" customFormat="1" ht="19.5" customHeight="1" thickBot="1">
      <c r="A124" s="72" t="s">
        <v>253</v>
      </c>
      <c r="B124" s="62" t="s">
        <v>254</v>
      </c>
      <c r="C124" s="340" t="e">
        <f>VLOOKUP($I$3,'Data - CFR2425'!$A$4:$CE$129,79,FALSE)</f>
        <v>#N/A</v>
      </c>
      <c r="D124" s="328"/>
      <c r="E124" s="326">
        <f>SUM(_xlfn.IFNA(VLOOKUP("CE04a: Connectivity",'Budget Analysis Report (Table)'!$A:$F,4,0),0),_xlfn.IFNA(VLOOKUP("CE04B: Onsite Servers",'Budget Analysis Report (Table)'!$A:$F,4,0),0),_xlfn.IFNA(VLOOKUP("CE04C: Administration Software &amp; Systems",'Budget Analysis Report (Table)'!$A:$F,4,0),0),_xlfn.IFNA(VLOOKUP("CE04D: Laptops, Desktops &amp; Tablets",'Budget Analysis Report (Table)'!$A:$F,4,0),0),_xlfn.IFNA(VLOOKUP("CE04E: Other Hardware",'Budget Analysis Report (Table)'!$A:$F,4,0),0),,0)</f>
        <v>0</v>
      </c>
      <c r="F124" s="343"/>
      <c r="G124" s="326">
        <f>SUM(_xlfn.IFNA(VLOOKUP("CE04a: Connectivity",'Budget Analysis Report (Table)'!$A:$F,5,0),0),_xlfn.IFNA(VLOOKUP("CE04B: Onsite Servers",'Budget Analysis Report (Table)'!$A:$F,5,0),0),_xlfn.IFNA(VLOOKUP("CE04C: Administration Software &amp; Systems",'Budget Analysis Report (Table)'!$A:$F,5,0),0),_xlfn.IFNA(VLOOKUP("CE04D: Laptops, Desktops &amp; Tablets",'Budget Analysis Report (Table)'!$A:$F,5,0),0),_xlfn.IFNA(VLOOKUP("CE04E: Other Hardware",'Budget Analysis Report (Table)'!$A:$F,5,0),0),,0)</f>
        <v>0</v>
      </c>
      <c r="H124" s="343"/>
      <c r="I124" s="326">
        <f>SUM(_xlfn.IFNA(VLOOKUP("CE04a: Connectivity",'Budget Analysis Report (Table)'!$A:$F,6,0),0),_xlfn.IFNA(VLOOKUP("CE04B: Onsite Servers",'Budget Analysis Report (Table)'!$A:$F,6,0),0),_xlfn.IFNA(VLOOKUP("CE04C: Administration Software &amp; Systems",'Budget Analysis Report (Table)'!$A:$F,6,0),0),_xlfn.IFNA(VLOOKUP("CE04D: Laptops, Desktops &amp; Tablets",'Budget Analysis Report (Table)'!$A:$F,6,0),0),_xlfn.IFNA(VLOOKUP("CE04E: Other Hardware",'Budget Analysis Report (Table)'!$A:$F,6,0),0),,0)</f>
        <v>0</v>
      </c>
      <c r="J124" s="63"/>
    </row>
    <row r="125" spans="1:11" s="26" customFormat="1" ht="19.5" customHeight="1" thickBot="1">
      <c r="A125" s="72"/>
      <c r="B125" s="66" t="s">
        <v>38</v>
      </c>
      <c r="C125" s="156" t="e">
        <f>SUM(C121:C124)</f>
        <v>#N/A</v>
      </c>
      <c r="D125" s="59"/>
      <c r="E125" s="1">
        <f>SUM(E121:E124)</f>
        <v>0</v>
      </c>
      <c r="F125" s="63"/>
      <c r="G125" s="1">
        <f>SUM(G121:G124)</f>
        <v>0</v>
      </c>
      <c r="H125" s="63"/>
      <c r="I125" s="1">
        <f>SUM(I121:I124)</f>
        <v>0</v>
      </c>
      <c r="J125" s="63"/>
    </row>
    <row r="126" spans="1:11" s="26" customFormat="1" ht="19.5" customHeight="1">
      <c r="A126" s="72"/>
      <c r="B126" s="66"/>
      <c r="C126" s="7"/>
      <c r="D126" s="59"/>
      <c r="E126" s="7"/>
      <c r="G126" s="7"/>
      <c r="I126" s="7"/>
      <c r="J126" s="60"/>
    </row>
    <row r="127" spans="1:11" s="26" customFormat="1" ht="19.5" customHeight="1" thickBot="1">
      <c r="A127" s="72"/>
      <c r="B127" s="62" t="s">
        <v>255</v>
      </c>
      <c r="C127" s="346" t="e">
        <f>C117-C125</f>
        <v>#N/A</v>
      </c>
      <c r="D127" s="59"/>
      <c r="E127" s="347">
        <f>E117-E125</f>
        <v>0</v>
      </c>
      <c r="F127" s="63"/>
      <c r="G127" s="347">
        <f>G117-G125</f>
        <v>0</v>
      </c>
      <c r="H127" s="63"/>
      <c r="I127" s="347">
        <f>I117-I125</f>
        <v>0</v>
      </c>
      <c r="J127" s="63"/>
    </row>
    <row r="128" spans="1:11" s="26" customFormat="1" ht="19.5" customHeight="1" thickBot="1">
      <c r="A128" s="72"/>
      <c r="B128" s="62" t="s">
        <v>231</v>
      </c>
      <c r="C128" s="340" t="e">
        <f>IF(C114&lt;&gt;0,VLOOKUP($I$3,'Data - CFR2425'!$A$4:$CE$129,82,FALSE),)</f>
        <v>#N/A</v>
      </c>
      <c r="D128" s="59"/>
      <c r="E128" s="306" t="e">
        <f>C130</f>
        <v>#N/A</v>
      </c>
      <c r="F128" s="60"/>
      <c r="G128" s="308" t="e">
        <f>E130</f>
        <v>#N/A</v>
      </c>
      <c r="H128" s="63"/>
      <c r="I128" s="308" t="e">
        <f>G130</f>
        <v>#N/A</v>
      </c>
      <c r="J128" s="63"/>
    </row>
    <row r="129" spans="1:10" ht="19.5" hidden="1" customHeight="1" thickBot="1">
      <c r="A129" s="72"/>
      <c r="B129" s="66"/>
      <c r="C129" s="101"/>
      <c r="D129" s="59"/>
      <c r="E129" s="101"/>
      <c r="F129" s="26"/>
      <c r="G129" s="101"/>
      <c r="H129" s="26"/>
      <c r="I129" s="101"/>
      <c r="J129" s="60"/>
    </row>
    <row r="130" spans="1:10" s="26" customFormat="1" ht="19.5" customHeight="1" thickBot="1">
      <c r="A130" s="72"/>
      <c r="B130" s="66" t="s">
        <v>256</v>
      </c>
      <c r="C130" s="156" t="e">
        <f>C127+C128</f>
        <v>#N/A</v>
      </c>
      <c r="D130" s="59"/>
      <c r="E130" s="1" t="e">
        <f>E127+E128</f>
        <v>#N/A</v>
      </c>
      <c r="F130" s="63"/>
      <c r="G130" s="1" t="e">
        <f>G127+G128</f>
        <v>#N/A</v>
      </c>
      <c r="H130" s="63"/>
      <c r="I130" s="1" t="e">
        <f>I127+I128</f>
        <v>#N/A</v>
      </c>
      <c r="J130" s="63"/>
    </row>
    <row r="131" spans="1:10" ht="19.5" customHeight="1" thickBot="1">
      <c r="A131" s="72"/>
      <c r="B131" s="66"/>
      <c r="C131" s="7"/>
      <c r="D131" s="59"/>
      <c r="E131" s="7"/>
      <c r="F131" s="26"/>
      <c r="G131" s="7"/>
      <c r="H131" s="26"/>
      <c r="I131" s="7"/>
      <c r="J131" s="60"/>
    </row>
    <row r="132" spans="1:10" s="26" customFormat="1" ht="19.5" customHeight="1" thickBot="1">
      <c r="A132" s="72" t="s">
        <v>257</v>
      </c>
      <c r="B132" s="62" t="s">
        <v>258</v>
      </c>
      <c r="C132" s="216" t="e">
        <f>VLOOKUP($I$3,'Data - CFR2425'!$A$4:$CE$129,83,FALSE)-C133</f>
        <v>#N/A</v>
      </c>
      <c r="D132" s="59"/>
      <c r="E132" s="16" t="e">
        <f>E130-E133</f>
        <v>#N/A</v>
      </c>
      <c r="F132" s="63"/>
      <c r="G132" s="16" t="e">
        <f>G130-G133</f>
        <v>#N/A</v>
      </c>
      <c r="H132" s="63"/>
      <c r="I132" s="16" t="e">
        <f>I130-I133</f>
        <v>#N/A</v>
      </c>
      <c r="J132" s="63"/>
    </row>
    <row r="133" spans="1:10" s="26" customFormat="1" ht="19.5" customHeight="1" thickBot="1">
      <c r="A133" s="72" t="s">
        <v>259</v>
      </c>
      <c r="B133" s="62" t="s">
        <v>260</v>
      </c>
      <c r="C133" s="309"/>
      <c r="D133" s="59"/>
      <c r="E133" s="306"/>
      <c r="F133" s="63"/>
      <c r="G133" s="306"/>
      <c r="H133" s="63"/>
      <c r="I133" s="306"/>
      <c r="J133" s="63"/>
    </row>
    <row r="134" spans="1:10" s="26" customFormat="1" ht="19.5" customHeight="1" thickBot="1">
      <c r="A134" s="72"/>
      <c r="B134" s="66" t="s">
        <v>261</v>
      </c>
      <c r="C134" s="216" t="e">
        <f>C132+C133</f>
        <v>#N/A</v>
      </c>
      <c r="D134" s="59"/>
      <c r="E134" s="1" t="e">
        <f>SUM(E132:E133)</f>
        <v>#N/A</v>
      </c>
      <c r="F134" s="63"/>
      <c r="G134" s="1" t="e">
        <f>SUM(G132:G133)</f>
        <v>#N/A</v>
      </c>
      <c r="H134" s="63"/>
      <c r="I134" s="1" t="e">
        <f>SUM(I132:I133)</f>
        <v>#N/A</v>
      </c>
      <c r="J134" s="63"/>
    </row>
    <row r="135" spans="1:10" ht="19.5" customHeight="1">
      <c r="A135" s="89"/>
      <c r="B135" s="90"/>
      <c r="C135" s="102"/>
      <c r="D135" s="92"/>
      <c r="E135" s="102"/>
      <c r="F135" s="93"/>
      <c r="G135" s="102"/>
      <c r="H135" s="93"/>
      <c r="I135" s="103"/>
      <c r="J135" s="94"/>
    </row>
    <row r="136" spans="1:10" ht="19.5" hidden="1" customHeight="1" thickBot="1">
      <c r="A136" s="348"/>
      <c r="B136" s="79"/>
      <c r="C136" s="104"/>
      <c r="D136" s="81"/>
      <c r="E136" s="104"/>
      <c r="F136" s="82"/>
      <c r="G136" s="104"/>
      <c r="H136" s="82"/>
      <c r="I136" s="105"/>
      <c r="J136" s="83"/>
    </row>
    <row r="137" spans="1:10" ht="19.5" hidden="1" customHeight="1" thickBot="1">
      <c r="A137" s="72"/>
      <c r="B137" s="62" t="s">
        <v>262</v>
      </c>
      <c r="C137" s="17"/>
      <c r="D137" s="59"/>
      <c r="E137" s="1">
        <f>E110-E114</f>
        <v>0</v>
      </c>
      <c r="F137" s="63"/>
      <c r="G137" s="1">
        <f>G110-G114</f>
        <v>0</v>
      </c>
      <c r="H137" s="63"/>
      <c r="I137" s="1">
        <f>I110-I114</f>
        <v>0</v>
      </c>
      <c r="J137" s="60"/>
    </row>
    <row r="138" spans="1:10" ht="19.5" hidden="1" customHeight="1">
      <c r="A138" s="89"/>
      <c r="B138" s="90"/>
      <c r="C138" s="102"/>
      <c r="D138" s="92"/>
      <c r="E138" s="102"/>
      <c r="F138" s="93"/>
      <c r="G138" s="102"/>
      <c r="H138" s="93"/>
      <c r="I138" s="103"/>
      <c r="J138" s="94"/>
    </row>
    <row r="139" spans="1:10" ht="17.25" customHeight="1">
      <c r="A139" s="244"/>
      <c r="B139" s="349"/>
    </row>
    <row r="140" spans="1:10" ht="17.25" customHeight="1">
      <c r="A140" s="244"/>
      <c r="B140" s="349"/>
    </row>
    <row r="183" spans="1:256">
      <c r="B183" s="75"/>
      <c r="C183" s="75"/>
      <c r="D183" s="75"/>
      <c r="E183" s="75"/>
      <c r="F183" s="100"/>
      <c r="G183" s="75"/>
    </row>
    <row r="184" spans="1:256">
      <c r="B184" s="75"/>
      <c r="C184" s="75"/>
      <c r="D184" s="75"/>
      <c r="E184" s="75"/>
      <c r="F184" s="100"/>
      <c r="G184" s="75"/>
    </row>
    <row r="185" spans="1:256">
      <c r="B185" s="75"/>
      <c r="C185" s="75"/>
      <c r="D185" s="75"/>
      <c r="E185" s="75"/>
      <c r="F185" s="100"/>
      <c r="G185" s="75"/>
    </row>
    <row r="186" spans="1:256">
      <c r="B186" s="75"/>
      <c r="C186" s="75"/>
      <c r="D186" s="75"/>
      <c r="E186" s="75"/>
      <c r="F186" s="100"/>
      <c r="G186" s="75"/>
    </row>
    <row r="187" spans="1:256">
      <c r="B187" s="75"/>
      <c r="C187" s="75"/>
      <c r="D187" s="75"/>
      <c r="E187" s="75"/>
      <c r="F187" s="100"/>
      <c r="G187" s="75"/>
    </row>
    <row r="188" spans="1:256">
      <c r="B188" s="75"/>
      <c r="C188" s="75"/>
      <c r="D188" s="75"/>
      <c r="E188" s="75"/>
      <c r="F188" s="100"/>
      <c r="G188" s="75"/>
    </row>
    <row r="189" spans="1:256" ht="15" customHeight="1">
      <c r="B189" s="75"/>
      <c r="C189" s="75"/>
      <c r="D189" s="75"/>
      <c r="E189" s="75"/>
      <c r="F189" s="100"/>
      <c r="G189" s="75"/>
    </row>
    <row r="190" spans="1:256" hidden="1">
      <c r="B190" s="75"/>
      <c r="C190" s="75"/>
      <c r="D190" s="75"/>
      <c r="E190" s="75"/>
      <c r="F190" s="100"/>
      <c r="G190" s="75"/>
    </row>
    <row r="191" spans="1:256" hidden="1">
      <c r="A191" s="108" t="s">
        <v>47</v>
      </c>
      <c r="B191" s="75"/>
      <c r="C191" s="75"/>
      <c r="D191" s="75"/>
      <c r="E191" s="75"/>
      <c r="F191" s="108"/>
      <c r="G191" s="75"/>
      <c r="H191" s="75"/>
      <c r="I191" s="75"/>
      <c r="J191" s="75"/>
      <c r="K191" s="108"/>
      <c r="L191" s="75"/>
      <c r="M191" s="75"/>
      <c r="N191" s="75"/>
      <c r="O191" s="75"/>
      <c r="P191" s="108"/>
      <c r="Q191" s="75"/>
      <c r="R191" s="75"/>
      <c r="S191" s="75"/>
      <c r="T191" s="75"/>
      <c r="U191" s="108"/>
      <c r="V191" s="75"/>
      <c r="W191" s="75"/>
      <c r="X191" s="75"/>
      <c r="Y191" s="75"/>
      <c r="Z191" s="108"/>
      <c r="AA191" s="75"/>
      <c r="AB191" s="75"/>
      <c r="AC191" s="75"/>
      <c r="AD191" s="75"/>
      <c r="AE191" s="108"/>
      <c r="AF191" s="75"/>
      <c r="AG191" s="75"/>
      <c r="AH191" s="75"/>
      <c r="AI191" s="75"/>
      <c r="AJ191" s="108"/>
      <c r="AK191" s="75"/>
      <c r="AL191" s="75"/>
      <c r="AM191" s="75"/>
      <c r="AN191" s="75"/>
      <c r="AO191" s="108"/>
      <c r="AP191" s="75"/>
      <c r="AQ191" s="75"/>
      <c r="AR191" s="75"/>
      <c r="AS191" s="75"/>
      <c r="AT191" s="108"/>
      <c r="AU191" s="75"/>
      <c r="AV191" s="75"/>
      <c r="AW191" s="75"/>
      <c r="AX191" s="75"/>
      <c r="AY191" s="108"/>
      <c r="AZ191" s="75"/>
      <c r="BA191" s="75"/>
      <c r="BB191" s="75"/>
      <c r="BC191" s="75"/>
      <c r="BD191" s="108"/>
      <c r="BE191" s="75"/>
      <c r="BF191" s="75"/>
      <c r="BG191" s="75"/>
      <c r="BH191" s="75"/>
      <c r="BI191" s="108"/>
      <c r="BJ191" s="75"/>
      <c r="BK191" s="75"/>
      <c r="BL191" s="75"/>
      <c r="BM191" s="75"/>
      <c r="BN191" s="108"/>
      <c r="BO191" s="75"/>
      <c r="BP191" s="75"/>
      <c r="BQ191" s="75"/>
      <c r="BR191" s="75"/>
      <c r="BS191" s="108"/>
      <c r="BT191" s="75"/>
      <c r="BU191" s="75"/>
      <c r="BV191" s="75"/>
      <c r="BW191" s="75"/>
      <c r="BX191" s="108"/>
      <c r="BY191" s="75"/>
      <c r="BZ191" s="75"/>
      <c r="CA191" s="75"/>
      <c r="CB191" s="75"/>
      <c r="CC191" s="108"/>
      <c r="CD191" s="75"/>
      <c r="CE191" s="75"/>
      <c r="CF191" s="75"/>
      <c r="CG191" s="75"/>
      <c r="CH191" s="108"/>
      <c r="CI191" s="75"/>
      <c r="CJ191" s="75"/>
      <c r="CK191" s="75"/>
      <c r="CL191" s="75"/>
      <c r="CM191" s="108"/>
      <c r="CN191" s="75"/>
      <c r="CO191" s="75"/>
      <c r="CP191" s="75"/>
      <c r="CQ191" s="75"/>
      <c r="CR191" s="108"/>
      <c r="CS191" s="75"/>
      <c r="CT191" s="75"/>
      <c r="CU191" s="75"/>
      <c r="CV191" s="75"/>
      <c r="CW191" s="108"/>
      <c r="CX191" s="75"/>
      <c r="CY191" s="75"/>
      <c r="CZ191" s="75"/>
      <c r="DA191" s="75"/>
      <c r="DB191" s="108"/>
      <c r="DC191" s="75"/>
      <c r="DD191" s="75"/>
      <c r="DE191" s="75"/>
      <c r="DF191" s="75"/>
      <c r="DG191" s="108"/>
      <c r="DH191" s="75"/>
      <c r="DI191" s="75"/>
      <c r="DJ191" s="75"/>
      <c r="DK191" s="75"/>
      <c r="DL191" s="108"/>
      <c r="DM191" s="75"/>
      <c r="DN191" s="75"/>
      <c r="DO191" s="75"/>
      <c r="DP191" s="75"/>
      <c r="DQ191" s="108"/>
      <c r="DR191" s="75"/>
      <c r="DS191" s="75"/>
      <c r="DT191" s="75"/>
      <c r="DU191" s="75"/>
      <c r="DV191" s="108"/>
      <c r="DW191" s="75"/>
      <c r="DX191" s="75"/>
      <c r="DY191" s="75"/>
      <c r="DZ191" s="75"/>
      <c r="EA191" s="108"/>
      <c r="EB191" s="75"/>
      <c r="EC191" s="75"/>
      <c r="ED191" s="75"/>
      <c r="EE191" s="75"/>
      <c r="EF191" s="108"/>
      <c r="EG191" s="75"/>
      <c r="EH191" s="75"/>
      <c r="EI191" s="75"/>
      <c r="EJ191" s="75"/>
      <c r="EK191" s="108"/>
      <c r="EL191" s="75"/>
      <c r="EM191" s="75"/>
      <c r="EN191" s="75"/>
      <c r="EO191" s="75"/>
      <c r="EP191" s="108"/>
      <c r="EQ191" s="75"/>
      <c r="ER191" s="75"/>
      <c r="ES191" s="75"/>
      <c r="ET191" s="75"/>
      <c r="EU191" s="108"/>
      <c r="EV191" s="75"/>
      <c r="EW191" s="75"/>
      <c r="EX191" s="75"/>
      <c r="EY191" s="75"/>
      <c r="EZ191" s="108"/>
      <c r="FA191" s="75"/>
      <c r="FB191" s="75"/>
      <c r="FC191" s="75"/>
      <c r="FD191" s="75"/>
      <c r="FE191" s="108"/>
      <c r="FF191" s="75"/>
      <c r="FG191" s="75"/>
      <c r="FH191" s="75"/>
      <c r="FI191" s="75"/>
      <c r="FJ191" s="108"/>
      <c r="FK191" s="75"/>
      <c r="FL191" s="75"/>
      <c r="FM191" s="75"/>
      <c r="FN191" s="75"/>
      <c r="FO191" s="108"/>
      <c r="FP191" s="75"/>
      <c r="FQ191" s="75"/>
      <c r="FR191" s="75"/>
      <c r="FS191" s="75"/>
      <c r="FT191" s="108"/>
      <c r="FU191" s="75"/>
      <c r="FV191" s="75"/>
      <c r="FW191" s="75"/>
      <c r="FX191" s="75"/>
      <c r="FY191" s="108"/>
      <c r="FZ191" s="75"/>
      <c r="GA191" s="75"/>
      <c r="GB191" s="75"/>
      <c r="GC191" s="75"/>
      <c r="GD191" s="108"/>
      <c r="GE191" s="75"/>
      <c r="GF191" s="75"/>
      <c r="GG191" s="75"/>
      <c r="GH191" s="75"/>
      <c r="GI191" s="108"/>
      <c r="GJ191" s="75"/>
      <c r="GK191" s="75"/>
      <c r="GL191" s="75"/>
      <c r="GM191" s="75"/>
      <c r="GN191" s="108"/>
      <c r="GO191" s="75"/>
      <c r="GP191" s="75"/>
      <c r="GQ191" s="75"/>
      <c r="GR191" s="75"/>
      <c r="GS191" s="108"/>
      <c r="GT191" s="75"/>
      <c r="GU191" s="75"/>
      <c r="GV191" s="75"/>
      <c r="GW191" s="75"/>
      <c r="GX191" s="108"/>
      <c r="GY191" s="75"/>
      <c r="GZ191" s="75"/>
      <c r="HA191" s="75"/>
      <c r="HB191" s="75"/>
      <c r="HC191" s="108"/>
      <c r="HD191" s="75"/>
      <c r="HE191" s="75"/>
      <c r="HF191" s="75"/>
      <c r="HG191" s="75"/>
      <c r="HH191" s="108"/>
      <c r="HI191" s="75"/>
      <c r="HJ191" s="75"/>
      <c r="HK191" s="75"/>
      <c r="HL191" s="75"/>
      <c r="HM191" s="108"/>
      <c r="HN191" s="75"/>
      <c r="HO191" s="75"/>
      <c r="HP191" s="75"/>
      <c r="HQ191" s="75"/>
      <c r="HR191" s="108"/>
      <c r="HS191" s="75"/>
      <c r="HT191" s="75"/>
      <c r="HU191" s="75"/>
      <c r="HV191" s="75"/>
      <c r="HW191" s="108"/>
      <c r="HX191" s="75"/>
      <c r="HY191" s="75"/>
      <c r="HZ191" s="75"/>
      <c r="IA191" s="75"/>
      <c r="IB191" s="108"/>
      <c r="IC191" s="75"/>
      <c r="ID191" s="75"/>
      <c r="IE191" s="75"/>
      <c r="IF191" s="75"/>
      <c r="IG191" s="108"/>
      <c r="IH191" s="75"/>
      <c r="II191" s="75"/>
      <c r="IJ191" s="75"/>
      <c r="IK191" s="75"/>
      <c r="IL191" s="108"/>
      <c r="IM191" s="75"/>
      <c r="IN191" s="75"/>
      <c r="IO191" s="75"/>
      <c r="IP191" s="75"/>
      <c r="IQ191" s="108"/>
      <c r="IR191" s="75"/>
      <c r="IS191" s="75"/>
      <c r="IT191" s="75"/>
      <c r="IU191" s="75"/>
      <c r="IV191" s="108"/>
    </row>
    <row r="192" spans="1:256" hidden="1">
      <c r="A192" s="303" t="s">
        <v>263</v>
      </c>
      <c r="B192" s="75" t="s">
        <v>264</v>
      </c>
      <c r="C192" s="303">
        <v>3373</v>
      </c>
      <c r="D192" s="303">
        <v>3373</v>
      </c>
      <c r="E192" s="75" t="s">
        <v>265</v>
      </c>
      <c r="G192" s="18"/>
      <c r="I192" s="25"/>
    </row>
    <row r="193" spans="1:9" hidden="1">
      <c r="A193" s="303" t="s">
        <v>266</v>
      </c>
      <c r="B193" s="75" t="s">
        <v>264</v>
      </c>
      <c r="C193" s="303">
        <v>3061</v>
      </c>
      <c r="D193" s="303">
        <v>3061</v>
      </c>
      <c r="E193" s="75" t="s">
        <v>267</v>
      </c>
      <c r="G193" s="18"/>
      <c r="I193" s="25"/>
    </row>
    <row r="194" spans="1:9" hidden="1">
      <c r="A194" s="303" t="s">
        <v>268</v>
      </c>
      <c r="B194" s="75" t="s">
        <v>264</v>
      </c>
      <c r="C194" s="303">
        <v>2083</v>
      </c>
      <c r="D194" s="303">
        <v>2083</v>
      </c>
      <c r="E194" s="75" t="s">
        <v>269</v>
      </c>
      <c r="G194" s="18"/>
      <c r="I194" s="25"/>
    </row>
    <row r="195" spans="1:9" hidden="1">
      <c r="A195" s="303" t="s">
        <v>270</v>
      </c>
      <c r="B195" s="75" t="s">
        <v>264</v>
      </c>
      <c r="C195" s="303">
        <v>2118</v>
      </c>
      <c r="D195" s="303">
        <v>2118</v>
      </c>
      <c r="E195" s="75" t="s">
        <v>271</v>
      </c>
      <c r="G195" s="18"/>
      <c r="I195" s="25"/>
    </row>
    <row r="196" spans="1:9" hidden="1">
      <c r="A196" s="303" t="s">
        <v>272</v>
      </c>
      <c r="B196" s="75" t="s">
        <v>264</v>
      </c>
      <c r="C196" s="303">
        <v>2217</v>
      </c>
      <c r="D196" s="303">
        <v>2217</v>
      </c>
      <c r="E196" s="75" t="s">
        <v>273</v>
      </c>
      <c r="G196" s="18"/>
      <c r="I196" s="25"/>
    </row>
    <row r="197" spans="1:9" hidden="1">
      <c r="A197" s="303" t="s">
        <v>274</v>
      </c>
      <c r="B197" s="75" t="s">
        <v>264</v>
      </c>
      <c r="C197" s="303">
        <v>3067</v>
      </c>
      <c r="D197" s="303">
        <v>3067</v>
      </c>
      <c r="E197" s="75" t="s">
        <v>275</v>
      </c>
      <c r="G197" s="18"/>
      <c r="I197" s="25"/>
    </row>
    <row r="198" spans="1:9" hidden="1">
      <c r="A198" s="304" t="s">
        <v>276</v>
      </c>
      <c r="B198" s="75" t="s">
        <v>264</v>
      </c>
      <c r="C198" s="304">
        <v>3001</v>
      </c>
      <c r="D198" s="304">
        <v>3001</v>
      </c>
      <c r="E198" s="75" t="s">
        <v>277</v>
      </c>
      <c r="G198" s="18"/>
      <c r="I198" s="25"/>
    </row>
    <row r="199" spans="1:9" hidden="1">
      <c r="A199" s="303" t="s">
        <v>278</v>
      </c>
      <c r="B199" s="75" t="s">
        <v>264</v>
      </c>
      <c r="C199" s="303">
        <v>3301</v>
      </c>
      <c r="D199" s="303">
        <v>3301</v>
      </c>
      <c r="E199" s="75" t="s">
        <v>279</v>
      </c>
      <c r="G199" s="18"/>
      <c r="I199" s="25"/>
    </row>
    <row r="200" spans="1:9" hidden="1">
      <c r="A200" s="303" t="s">
        <v>280</v>
      </c>
      <c r="B200" s="75" t="s">
        <v>264</v>
      </c>
      <c r="C200" s="303">
        <v>2002</v>
      </c>
      <c r="D200" s="303">
        <v>2002</v>
      </c>
      <c r="E200" s="75" t="s">
        <v>281</v>
      </c>
      <c r="G200" s="18"/>
      <c r="I200" s="25"/>
    </row>
    <row r="201" spans="1:9" hidden="1">
      <c r="A201" s="303" t="s">
        <v>282</v>
      </c>
      <c r="B201" s="75" t="s">
        <v>264</v>
      </c>
      <c r="C201" s="303">
        <v>2082</v>
      </c>
      <c r="D201" s="303">
        <v>2082</v>
      </c>
      <c r="E201" s="75" t="s">
        <v>283</v>
      </c>
      <c r="G201" s="18"/>
      <c r="I201" s="25"/>
    </row>
    <row r="202" spans="1:9" hidden="1">
      <c r="A202" s="303" t="s">
        <v>284</v>
      </c>
      <c r="B202" s="75" t="s">
        <v>264</v>
      </c>
      <c r="C202" s="303">
        <v>3943</v>
      </c>
      <c r="D202" s="303">
        <v>3943</v>
      </c>
      <c r="E202" s="75" t="s">
        <v>285</v>
      </c>
      <c r="G202" s="18"/>
      <c r="I202" s="25"/>
    </row>
    <row r="203" spans="1:9" hidden="1">
      <c r="A203" s="303" t="s">
        <v>286</v>
      </c>
      <c r="B203" s="75" t="s">
        <v>264</v>
      </c>
      <c r="C203" s="303">
        <v>2060</v>
      </c>
      <c r="D203" s="303">
        <v>2060</v>
      </c>
      <c r="E203" s="75" t="s">
        <v>287</v>
      </c>
      <c r="G203" s="18"/>
      <c r="I203" s="25"/>
    </row>
    <row r="204" spans="1:9" hidden="1">
      <c r="A204" s="303" t="s">
        <v>288</v>
      </c>
      <c r="B204" s="75" t="s">
        <v>264</v>
      </c>
      <c r="C204" s="303">
        <v>2312</v>
      </c>
      <c r="D204" s="303">
        <v>2312</v>
      </c>
      <c r="E204" s="75" t="s">
        <v>289</v>
      </c>
      <c r="G204" s="18"/>
      <c r="I204" s="25"/>
    </row>
    <row r="205" spans="1:9" hidden="1">
      <c r="A205" s="303" t="s">
        <v>290</v>
      </c>
      <c r="B205" s="75" t="s">
        <v>264</v>
      </c>
      <c r="C205" s="303">
        <v>3942</v>
      </c>
      <c r="D205" s="303">
        <v>3942</v>
      </c>
      <c r="E205" s="75" t="s">
        <v>291</v>
      </c>
      <c r="G205" s="18"/>
      <c r="I205" s="25"/>
    </row>
    <row r="206" spans="1:9" hidden="1">
      <c r="A206" s="303" t="s">
        <v>292</v>
      </c>
      <c r="B206" s="75" t="s">
        <v>264</v>
      </c>
      <c r="C206" s="303">
        <v>3081</v>
      </c>
      <c r="D206" s="303">
        <v>3081</v>
      </c>
      <c r="E206" s="75" t="s">
        <v>293</v>
      </c>
      <c r="G206" s="18"/>
      <c r="I206" s="25"/>
    </row>
    <row r="207" spans="1:9" hidden="1">
      <c r="A207" s="303" t="s">
        <v>294</v>
      </c>
      <c r="B207" s="75" t="s">
        <v>295</v>
      </c>
      <c r="C207" s="303">
        <v>1005</v>
      </c>
      <c r="D207" s="303">
        <v>1005</v>
      </c>
      <c r="E207" s="75" t="s">
        <v>296</v>
      </c>
      <c r="G207" s="18"/>
      <c r="I207" s="25"/>
    </row>
    <row r="208" spans="1:9" hidden="1">
      <c r="A208" s="303" t="s">
        <v>297</v>
      </c>
      <c r="B208" s="75" t="s">
        <v>264</v>
      </c>
      <c r="C208" s="303">
        <v>2327</v>
      </c>
      <c r="D208" s="303">
        <v>2327</v>
      </c>
      <c r="E208" s="75" t="s">
        <v>298</v>
      </c>
      <c r="G208" s="18"/>
      <c r="I208" s="25"/>
    </row>
    <row r="209" spans="1:9" hidden="1">
      <c r="A209" s="303" t="s">
        <v>299</v>
      </c>
      <c r="B209" s="75" t="s">
        <v>264</v>
      </c>
      <c r="C209" s="303">
        <v>2452</v>
      </c>
      <c r="D209" s="303">
        <v>2452</v>
      </c>
      <c r="E209" s="75" t="s">
        <v>300</v>
      </c>
      <c r="G209" s="18"/>
      <c r="I209" s="25"/>
    </row>
    <row r="210" spans="1:9" hidden="1">
      <c r="A210" s="303" t="s">
        <v>301</v>
      </c>
      <c r="B210" s="75" t="s">
        <v>264</v>
      </c>
      <c r="C210" s="303">
        <v>2004</v>
      </c>
      <c r="D210" s="303">
        <v>2004</v>
      </c>
      <c r="E210" s="75" t="s">
        <v>302</v>
      </c>
      <c r="G210" s="18"/>
      <c r="I210" s="25"/>
    </row>
    <row r="211" spans="1:9" hidden="1">
      <c r="A211" s="303" t="s">
        <v>303</v>
      </c>
      <c r="B211" s="75" t="s">
        <v>264</v>
      </c>
      <c r="C211" s="303">
        <v>3008</v>
      </c>
      <c r="D211" s="303">
        <v>3008</v>
      </c>
      <c r="E211" s="75" t="s">
        <v>304</v>
      </c>
      <c r="G211" s="18"/>
      <c r="I211" s="25"/>
    </row>
    <row r="212" spans="1:9" hidden="1">
      <c r="A212" s="303" t="s">
        <v>305</v>
      </c>
      <c r="B212" s="75" t="s">
        <v>306</v>
      </c>
      <c r="C212" s="303">
        <v>7026</v>
      </c>
      <c r="D212" s="303">
        <v>7026</v>
      </c>
      <c r="E212" s="75" t="s">
        <v>307</v>
      </c>
      <c r="G212" s="18"/>
      <c r="I212" s="25"/>
    </row>
    <row r="213" spans="1:9" hidden="1">
      <c r="A213" s="303" t="s">
        <v>308</v>
      </c>
      <c r="B213" s="75" t="s">
        <v>264</v>
      </c>
      <c r="C213" s="303">
        <v>3050</v>
      </c>
      <c r="D213" s="303">
        <v>3050</v>
      </c>
      <c r="E213" s="75" t="s">
        <v>309</v>
      </c>
      <c r="G213" s="18"/>
      <c r="I213" s="25"/>
    </row>
    <row r="214" spans="1:9" hidden="1">
      <c r="A214" s="303" t="s">
        <v>310</v>
      </c>
      <c r="B214" s="75" t="s">
        <v>264</v>
      </c>
      <c r="C214" s="303">
        <v>3009</v>
      </c>
      <c r="D214" s="303">
        <v>3009</v>
      </c>
      <c r="E214" s="75" t="s">
        <v>311</v>
      </c>
      <c r="G214" s="18"/>
      <c r="I214" s="25"/>
    </row>
    <row r="215" spans="1:9" hidden="1">
      <c r="A215" s="303" t="s">
        <v>312</v>
      </c>
      <c r="B215" s="75" t="s">
        <v>264</v>
      </c>
      <c r="C215" s="303">
        <v>2091</v>
      </c>
      <c r="D215" s="303">
        <v>2091</v>
      </c>
      <c r="E215" s="75" t="s">
        <v>313</v>
      </c>
      <c r="G215" s="18"/>
      <c r="I215" s="25"/>
    </row>
    <row r="216" spans="1:9" hidden="1">
      <c r="A216" s="303" t="s">
        <v>314</v>
      </c>
      <c r="B216" s="75" t="s">
        <v>264</v>
      </c>
      <c r="C216" s="303">
        <v>2065</v>
      </c>
      <c r="D216" s="303">
        <v>2065</v>
      </c>
      <c r="E216" s="75" t="s">
        <v>315</v>
      </c>
      <c r="G216" s="18"/>
      <c r="I216" s="25"/>
    </row>
    <row r="217" spans="1:9" hidden="1">
      <c r="A217" s="303" t="s">
        <v>316</v>
      </c>
      <c r="B217" s="75" t="s">
        <v>295</v>
      </c>
      <c r="C217" s="303">
        <v>1006</v>
      </c>
      <c r="D217" s="303">
        <v>1006</v>
      </c>
      <c r="E217" s="75" t="s">
        <v>317</v>
      </c>
      <c r="G217" s="18"/>
      <c r="I217" s="25"/>
    </row>
    <row r="218" spans="1:9" hidden="1">
      <c r="A218" s="303" t="s">
        <v>318</v>
      </c>
      <c r="B218" s="75" t="s">
        <v>264</v>
      </c>
      <c r="C218" s="303">
        <v>2119</v>
      </c>
      <c r="D218" s="303">
        <v>2119</v>
      </c>
      <c r="E218" s="75" t="s">
        <v>319</v>
      </c>
      <c r="G218" s="18"/>
      <c r="I218" s="25"/>
    </row>
    <row r="219" spans="1:9" hidden="1">
      <c r="A219" s="303" t="s">
        <v>320</v>
      </c>
      <c r="B219" s="75" t="s">
        <v>264</v>
      </c>
      <c r="C219" s="303">
        <v>3011</v>
      </c>
      <c r="D219" s="303">
        <v>3011</v>
      </c>
      <c r="E219" s="75" t="s">
        <v>321</v>
      </c>
      <c r="G219" s="18"/>
      <c r="I219" s="25"/>
    </row>
    <row r="220" spans="1:9" hidden="1">
      <c r="A220" s="303" t="s">
        <v>322</v>
      </c>
      <c r="B220" s="75" t="s">
        <v>264</v>
      </c>
      <c r="C220" s="303">
        <v>2006</v>
      </c>
      <c r="D220" s="303">
        <v>2006</v>
      </c>
      <c r="E220" s="75" t="s">
        <v>323</v>
      </c>
      <c r="G220" s="18"/>
      <c r="I220" s="25"/>
    </row>
    <row r="221" spans="1:9" hidden="1">
      <c r="A221" s="303" t="s">
        <v>324</v>
      </c>
      <c r="B221" s="75" t="s">
        <v>264</v>
      </c>
      <c r="C221" s="303">
        <v>3012</v>
      </c>
      <c r="D221" s="303">
        <v>3012</v>
      </c>
      <c r="E221" s="75" t="s">
        <v>325</v>
      </c>
      <c r="G221" s="18"/>
      <c r="I221" s="25"/>
    </row>
    <row r="222" spans="1:9" hidden="1">
      <c r="A222" s="303" t="s">
        <v>326</v>
      </c>
      <c r="B222" s="75" t="s">
        <v>264</v>
      </c>
      <c r="C222" s="303">
        <v>3041</v>
      </c>
      <c r="D222" s="303">
        <v>3041</v>
      </c>
      <c r="E222" s="75" t="s">
        <v>327</v>
      </c>
      <c r="G222" s="18"/>
      <c r="I222" s="25"/>
    </row>
    <row r="223" spans="1:9" hidden="1">
      <c r="A223" s="303" t="s">
        <v>328</v>
      </c>
      <c r="B223" s="75" t="s">
        <v>264</v>
      </c>
      <c r="C223" s="303">
        <v>2246</v>
      </c>
      <c r="D223" s="303">
        <v>2246</v>
      </c>
      <c r="E223" s="75" t="s">
        <v>329</v>
      </c>
      <c r="G223" s="18"/>
      <c r="I223" s="25"/>
    </row>
    <row r="224" spans="1:9" hidden="1">
      <c r="A224" s="303" t="s">
        <v>330</v>
      </c>
      <c r="B224" s="75" t="s">
        <v>264</v>
      </c>
      <c r="C224" s="303">
        <v>3308</v>
      </c>
      <c r="D224" s="303">
        <v>3308</v>
      </c>
      <c r="E224" s="75" t="s">
        <v>331</v>
      </c>
      <c r="G224" s="18"/>
      <c r="I224" s="25"/>
    </row>
    <row r="225" spans="1:9" hidden="1">
      <c r="A225" s="303" t="s">
        <v>332</v>
      </c>
      <c r="B225" s="75" t="s">
        <v>264</v>
      </c>
      <c r="C225" s="303">
        <v>3368</v>
      </c>
      <c r="D225" s="303">
        <v>3368</v>
      </c>
      <c r="E225" s="75" t="s">
        <v>333</v>
      </c>
      <c r="G225" s="18"/>
      <c r="I225" s="25"/>
    </row>
    <row r="226" spans="1:9" hidden="1">
      <c r="A226" s="303" t="s">
        <v>334</v>
      </c>
      <c r="B226" s="75" t="s">
        <v>264</v>
      </c>
      <c r="C226" s="303">
        <v>2444</v>
      </c>
      <c r="D226" s="303">
        <v>2444</v>
      </c>
      <c r="E226" s="75" t="s">
        <v>335</v>
      </c>
      <c r="G226" s="18"/>
      <c r="I226" s="25"/>
    </row>
    <row r="227" spans="1:9" hidden="1">
      <c r="A227" s="303" t="s">
        <v>336</v>
      </c>
      <c r="B227" s="75" t="s">
        <v>264</v>
      </c>
      <c r="C227" s="303">
        <v>3074</v>
      </c>
      <c r="D227" s="303">
        <v>3074</v>
      </c>
      <c r="E227" s="75" t="s">
        <v>337</v>
      </c>
      <c r="G227" s="18"/>
      <c r="I227" s="25"/>
    </row>
    <row r="228" spans="1:9" hidden="1">
      <c r="A228" s="303" t="s">
        <v>338</v>
      </c>
      <c r="B228" s="75" t="s">
        <v>264</v>
      </c>
      <c r="C228" s="303">
        <v>2336</v>
      </c>
      <c r="D228" s="303">
        <v>2336</v>
      </c>
      <c r="E228" s="75" t="s">
        <v>339</v>
      </c>
      <c r="G228" s="18"/>
      <c r="I228" s="25"/>
    </row>
    <row r="229" spans="1:9" hidden="1">
      <c r="A229" s="303" t="s">
        <v>340</v>
      </c>
      <c r="B229" s="75" t="s">
        <v>264</v>
      </c>
      <c r="C229" s="303">
        <v>2010</v>
      </c>
      <c r="D229" s="303">
        <v>2010</v>
      </c>
      <c r="E229" s="75" t="s">
        <v>341</v>
      </c>
      <c r="G229" s="18"/>
      <c r="I229" s="25"/>
    </row>
    <row r="230" spans="1:9" hidden="1">
      <c r="A230" s="303" t="s">
        <v>342</v>
      </c>
      <c r="B230" s="75" t="s">
        <v>264</v>
      </c>
      <c r="C230" s="303">
        <v>2208</v>
      </c>
      <c r="D230" s="303">
        <v>2208</v>
      </c>
      <c r="E230" s="75" t="s">
        <v>343</v>
      </c>
      <c r="G230" s="18"/>
      <c r="I230" s="25"/>
    </row>
    <row r="231" spans="1:9" hidden="1">
      <c r="A231" s="303" t="s">
        <v>344</v>
      </c>
      <c r="B231" s="75" t="s">
        <v>264</v>
      </c>
      <c r="C231" s="303">
        <v>3065</v>
      </c>
      <c r="D231" s="303">
        <v>3065</v>
      </c>
      <c r="E231" s="75" t="s">
        <v>345</v>
      </c>
      <c r="G231" s="18"/>
      <c r="I231" s="25"/>
    </row>
    <row r="232" spans="1:9" hidden="1">
      <c r="A232" s="303" t="s">
        <v>346</v>
      </c>
      <c r="B232" s="75" t="s">
        <v>264</v>
      </c>
      <c r="C232" s="303">
        <v>3014</v>
      </c>
      <c r="D232" s="303">
        <v>3014</v>
      </c>
      <c r="E232" s="75" t="s">
        <v>347</v>
      </c>
      <c r="G232" s="18"/>
      <c r="I232" s="25"/>
    </row>
    <row r="233" spans="1:9" hidden="1">
      <c r="A233" s="303" t="s">
        <v>348</v>
      </c>
      <c r="B233" s="75" t="s">
        <v>264</v>
      </c>
      <c r="C233" s="303">
        <v>2321</v>
      </c>
      <c r="D233" s="303">
        <v>2321</v>
      </c>
      <c r="E233" s="75" t="s">
        <v>349</v>
      </c>
      <c r="G233" s="18"/>
      <c r="I233" s="25"/>
    </row>
    <row r="234" spans="1:9" hidden="1">
      <c r="A234" s="303" t="s">
        <v>350</v>
      </c>
      <c r="B234" s="75" t="s">
        <v>264</v>
      </c>
      <c r="C234" s="303">
        <v>2011</v>
      </c>
      <c r="D234" s="303">
        <v>2011</v>
      </c>
      <c r="E234" s="75" t="s">
        <v>351</v>
      </c>
      <c r="G234" s="18"/>
      <c r="I234" s="25"/>
    </row>
    <row r="235" spans="1:9" hidden="1">
      <c r="A235" s="303" t="s">
        <v>352</v>
      </c>
      <c r="B235" s="75" t="s">
        <v>264</v>
      </c>
      <c r="C235" s="303">
        <v>2012</v>
      </c>
      <c r="D235" s="303">
        <v>2012</v>
      </c>
      <c r="E235" s="75" t="s">
        <v>353</v>
      </c>
      <c r="G235" s="18"/>
      <c r="I235" s="25"/>
    </row>
    <row r="236" spans="1:9" hidden="1">
      <c r="A236" s="303" t="s">
        <v>354</v>
      </c>
      <c r="B236" s="75" t="s">
        <v>264</v>
      </c>
      <c r="C236" s="303">
        <v>2068</v>
      </c>
      <c r="D236" s="303">
        <v>2068</v>
      </c>
      <c r="E236" s="75" t="s">
        <v>355</v>
      </c>
      <c r="G236" s="18"/>
      <c r="I236" s="25"/>
    </row>
    <row r="237" spans="1:9" hidden="1">
      <c r="A237" s="303" t="s">
        <v>356</v>
      </c>
      <c r="B237" s="75" t="s">
        <v>264</v>
      </c>
      <c r="C237" s="303">
        <v>2328</v>
      </c>
      <c r="D237" s="303">
        <v>2328</v>
      </c>
      <c r="E237" s="75" t="s">
        <v>357</v>
      </c>
      <c r="G237" s="18"/>
      <c r="I237" s="25"/>
    </row>
    <row r="238" spans="1:9" hidden="1">
      <c r="A238" s="303" t="s">
        <v>358</v>
      </c>
      <c r="B238" s="75" t="s">
        <v>306</v>
      </c>
      <c r="C238" s="303">
        <v>7025</v>
      </c>
      <c r="D238" s="303">
        <v>7025</v>
      </c>
      <c r="E238" s="75" t="s">
        <v>359</v>
      </c>
      <c r="G238" s="18"/>
      <c r="I238" s="25"/>
    </row>
    <row r="239" spans="1:9" hidden="1">
      <c r="A239" s="303" t="s">
        <v>360</v>
      </c>
      <c r="B239" s="75" t="s">
        <v>264</v>
      </c>
      <c r="C239" s="303">
        <v>2016</v>
      </c>
      <c r="D239" s="303">
        <v>2016</v>
      </c>
      <c r="E239" s="75" t="s">
        <v>361</v>
      </c>
      <c r="G239" s="18"/>
      <c r="I239" s="25"/>
    </row>
    <row r="240" spans="1:9" hidden="1">
      <c r="A240" s="303" t="s">
        <v>362</v>
      </c>
      <c r="B240" s="75" t="s">
        <v>264</v>
      </c>
      <c r="C240" s="303">
        <v>3310</v>
      </c>
      <c r="D240" s="303">
        <v>3310</v>
      </c>
      <c r="E240" s="75" t="s">
        <v>363</v>
      </c>
      <c r="G240" s="18"/>
      <c r="I240" s="25"/>
    </row>
    <row r="241" spans="1:9" hidden="1">
      <c r="A241" s="303" t="s">
        <v>364</v>
      </c>
      <c r="B241" s="75" t="s">
        <v>264</v>
      </c>
      <c r="C241" s="303">
        <v>3068</v>
      </c>
      <c r="D241" s="303">
        <v>3068</v>
      </c>
      <c r="E241" s="75" t="s">
        <v>365</v>
      </c>
      <c r="G241" s="18"/>
      <c r="I241" s="25"/>
    </row>
    <row r="242" spans="1:9" hidden="1">
      <c r="A242" s="303" t="s">
        <v>366</v>
      </c>
      <c r="B242" s="75" t="s">
        <v>264</v>
      </c>
      <c r="C242" s="303">
        <v>2315</v>
      </c>
      <c r="D242" s="303">
        <v>2315</v>
      </c>
      <c r="E242" s="75" t="s">
        <v>367</v>
      </c>
      <c r="G242" s="18"/>
      <c r="I242" s="25"/>
    </row>
    <row r="243" spans="1:9" hidden="1">
      <c r="A243" s="303" t="s">
        <v>368</v>
      </c>
      <c r="B243" s="75" t="s">
        <v>264</v>
      </c>
      <c r="C243" s="303">
        <v>2018</v>
      </c>
      <c r="D243" s="303">
        <v>2018</v>
      </c>
      <c r="E243" s="75" t="s">
        <v>369</v>
      </c>
      <c r="G243" s="18"/>
      <c r="I243" s="25"/>
    </row>
    <row r="244" spans="1:9" hidden="1">
      <c r="A244" s="303" t="s">
        <v>370</v>
      </c>
      <c r="B244" s="75" t="s">
        <v>264</v>
      </c>
      <c r="C244" s="303">
        <v>3035</v>
      </c>
      <c r="D244" s="303">
        <v>3035</v>
      </c>
      <c r="E244" s="75" t="s">
        <v>371</v>
      </c>
      <c r="G244" s="18"/>
      <c r="I244" s="25"/>
    </row>
    <row r="245" spans="1:9" hidden="1">
      <c r="A245" s="303" t="s">
        <v>372</v>
      </c>
      <c r="B245" s="75" t="s">
        <v>264</v>
      </c>
      <c r="C245" s="303">
        <v>2205</v>
      </c>
      <c r="D245" s="303">
        <v>2205</v>
      </c>
      <c r="E245" s="75" t="s">
        <v>373</v>
      </c>
      <c r="G245" s="18"/>
      <c r="I245" s="25"/>
    </row>
    <row r="246" spans="1:9" hidden="1">
      <c r="A246" s="303" t="s">
        <v>374</v>
      </c>
      <c r="B246" s="75" t="s">
        <v>264</v>
      </c>
      <c r="C246" s="303">
        <v>2211</v>
      </c>
      <c r="D246" s="303">
        <v>2211</v>
      </c>
      <c r="E246" s="75" t="s">
        <v>375</v>
      </c>
      <c r="G246" s="18"/>
      <c r="I246" s="25"/>
    </row>
    <row r="247" spans="1:9" hidden="1">
      <c r="A247" s="303" t="s">
        <v>376</v>
      </c>
      <c r="B247" s="75" t="s">
        <v>295</v>
      </c>
      <c r="C247" s="303">
        <v>1003</v>
      </c>
      <c r="D247" s="303">
        <v>1003</v>
      </c>
      <c r="E247" s="75" t="s">
        <v>377</v>
      </c>
      <c r="G247" s="18"/>
      <c r="I247" s="25"/>
    </row>
    <row r="248" spans="1:9" hidden="1">
      <c r="A248" s="303" t="s">
        <v>378</v>
      </c>
      <c r="B248" s="75" t="s">
        <v>264</v>
      </c>
      <c r="C248" s="303">
        <v>3071</v>
      </c>
      <c r="D248" s="303">
        <v>3071</v>
      </c>
      <c r="E248" s="75" t="s">
        <v>379</v>
      </c>
      <c r="G248" s="18"/>
      <c r="I248" s="25"/>
    </row>
    <row r="249" spans="1:9" hidden="1">
      <c r="A249" s="303" t="s">
        <v>380</v>
      </c>
      <c r="B249" s="75" t="s">
        <v>295</v>
      </c>
      <c r="C249" s="303">
        <v>1002</v>
      </c>
      <c r="D249" s="303">
        <v>1002</v>
      </c>
      <c r="E249" s="75" t="s">
        <v>381</v>
      </c>
      <c r="G249" s="18"/>
      <c r="I249" s="25"/>
    </row>
    <row r="250" spans="1:9" hidden="1">
      <c r="A250" s="303" t="s">
        <v>382</v>
      </c>
      <c r="B250" s="75" t="s">
        <v>264</v>
      </c>
      <c r="C250" s="303">
        <v>2212</v>
      </c>
      <c r="D250" s="303">
        <v>2212</v>
      </c>
      <c r="E250" s="75" t="s">
        <v>383</v>
      </c>
      <c r="G250" s="18"/>
      <c r="I250" s="25"/>
    </row>
    <row r="251" spans="1:9" hidden="1">
      <c r="A251" s="303" t="s">
        <v>384</v>
      </c>
      <c r="B251" s="75" t="s">
        <v>295</v>
      </c>
      <c r="C251" s="303">
        <v>1007</v>
      </c>
      <c r="D251" s="303">
        <v>1007</v>
      </c>
      <c r="E251" s="75" t="s">
        <v>385</v>
      </c>
      <c r="G251" s="18"/>
      <c r="I251" s="25"/>
    </row>
    <row r="252" spans="1:9" hidden="1">
      <c r="A252" s="303" t="s">
        <v>386</v>
      </c>
      <c r="B252" s="25" t="s">
        <v>264</v>
      </c>
      <c r="C252" s="303">
        <v>3945</v>
      </c>
      <c r="D252" s="303">
        <v>3945</v>
      </c>
      <c r="E252" s="75" t="s">
        <v>387</v>
      </c>
      <c r="G252" s="18"/>
      <c r="I252" s="25"/>
    </row>
    <row r="253" spans="1:9" hidden="1">
      <c r="A253" s="303" t="s">
        <v>388</v>
      </c>
      <c r="B253" s="25" t="s">
        <v>264</v>
      </c>
      <c r="C253" s="303">
        <v>3022</v>
      </c>
      <c r="D253" s="303">
        <v>3022</v>
      </c>
      <c r="E253" s="75" t="s">
        <v>389</v>
      </c>
      <c r="G253" s="18"/>
      <c r="I253" s="25"/>
    </row>
    <row r="254" spans="1:9" hidden="1">
      <c r="A254" s="303" t="s">
        <v>390</v>
      </c>
      <c r="B254" s="25" t="s">
        <v>264</v>
      </c>
      <c r="C254" s="303">
        <v>2442</v>
      </c>
      <c r="D254" s="303">
        <v>2442</v>
      </c>
      <c r="E254" s="75" t="s">
        <v>391</v>
      </c>
      <c r="G254" s="18"/>
      <c r="I254" s="25"/>
    </row>
    <row r="255" spans="1:9" hidden="1">
      <c r="A255" s="303" t="s">
        <v>392</v>
      </c>
      <c r="B255" s="25" t="s">
        <v>264</v>
      </c>
      <c r="C255" s="303">
        <v>2331</v>
      </c>
      <c r="D255" s="303">
        <v>2331</v>
      </c>
      <c r="E255" s="75" t="s">
        <v>393</v>
      </c>
      <c r="G255" s="18"/>
      <c r="I255" s="25"/>
    </row>
    <row r="256" spans="1:9" hidden="1">
      <c r="A256" s="303" t="s">
        <v>394</v>
      </c>
      <c r="B256" s="25" t="s">
        <v>295</v>
      </c>
      <c r="C256" s="303">
        <v>1000</v>
      </c>
      <c r="D256" s="303">
        <v>1000</v>
      </c>
      <c r="E256" s="75" t="s">
        <v>395</v>
      </c>
      <c r="G256" s="18"/>
      <c r="I256" s="25"/>
    </row>
    <row r="257" spans="1:9" hidden="1">
      <c r="A257" s="303" t="s">
        <v>396</v>
      </c>
      <c r="B257" s="25" t="s">
        <v>264</v>
      </c>
      <c r="C257" s="303">
        <v>2446</v>
      </c>
      <c r="D257" s="303">
        <v>2446</v>
      </c>
      <c r="E257" s="75" t="s">
        <v>397</v>
      </c>
      <c r="G257" s="18"/>
      <c r="I257" s="25"/>
    </row>
    <row r="258" spans="1:9" hidden="1">
      <c r="A258" s="303" t="s">
        <v>398</v>
      </c>
      <c r="B258" s="25" t="s">
        <v>264</v>
      </c>
      <c r="C258" s="303">
        <v>3317</v>
      </c>
      <c r="D258" s="303">
        <v>3317</v>
      </c>
      <c r="E258" s="75" t="s">
        <v>399</v>
      </c>
      <c r="G258" s="18"/>
      <c r="I258" s="25"/>
    </row>
    <row r="259" spans="1:9" hidden="1">
      <c r="A259" s="305" t="s">
        <v>400</v>
      </c>
      <c r="B259" s="25" t="s">
        <v>264</v>
      </c>
      <c r="C259" s="305">
        <v>2066</v>
      </c>
      <c r="D259" s="305">
        <v>2066</v>
      </c>
      <c r="E259" s="75" t="s">
        <v>401</v>
      </c>
      <c r="G259" s="18"/>
      <c r="I259" s="25"/>
    </row>
    <row r="260" spans="1:9" hidden="1">
      <c r="A260" s="303" t="s">
        <v>402</v>
      </c>
      <c r="B260" s="25" t="s">
        <v>264</v>
      </c>
      <c r="C260" s="303">
        <v>2293</v>
      </c>
      <c r="D260" s="303">
        <v>2293</v>
      </c>
      <c r="E260" s="75" t="s">
        <v>403</v>
      </c>
      <c r="G260" s="18"/>
      <c r="I260" s="25"/>
    </row>
    <row r="261" spans="1:9" hidden="1">
      <c r="A261" s="303" t="s">
        <v>404</v>
      </c>
      <c r="B261" s="25" t="s">
        <v>264</v>
      </c>
      <c r="C261" s="303">
        <v>2074</v>
      </c>
      <c r="D261" s="303">
        <v>2074</v>
      </c>
      <c r="E261" s="75" t="s">
        <v>405</v>
      </c>
      <c r="G261" s="18"/>
      <c r="I261" s="25"/>
    </row>
    <row r="262" spans="1:9" hidden="1">
      <c r="A262" s="303" t="s">
        <v>406</v>
      </c>
      <c r="B262" s="25" t="s">
        <v>264</v>
      </c>
      <c r="C262" s="303">
        <v>2075</v>
      </c>
      <c r="D262" s="303">
        <v>2075</v>
      </c>
      <c r="E262" s="75" t="s">
        <v>407</v>
      </c>
      <c r="G262" s="18"/>
      <c r="I262" s="25"/>
    </row>
    <row r="263" spans="1:9" hidden="1">
      <c r="A263" s="303" t="s">
        <v>408</v>
      </c>
      <c r="B263" s="25" t="s">
        <v>264</v>
      </c>
      <c r="C263" s="303">
        <v>2121</v>
      </c>
      <c r="D263" s="303">
        <v>2121</v>
      </c>
      <c r="E263" s="75" t="s">
        <v>409</v>
      </c>
      <c r="G263" s="18"/>
      <c r="I263" s="25"/>
    </row>
    <row r="264" spans="1:9" hidden="1">
      <c r="A264" s="303" t="s">
        <v>410</v>
      </c>
      <c r="B264" s="25" t="s">
        <v>264</v>
      </c>
      <c r="C264" s="303">
        <v>2028</v>
      </c>
      <c r="D264" s="303">
        <v>2028</v>
      </c>
      <c r="E264" s="75" t="s">
        <v>411</v>
      </c>
      <c r="I264" s="25"/>
    </row>
    <row r="265" spans="1:9" hidden="1">
      <c r="A265" s="303" t="s">
        <v>412</v>
      </c>
      <c r="B265" s="25" t="s">
        <v>264</v>
      </c>
      <c r="C265" s="303">
        <v>2029</v>
      </c>
      <c r="D265" s="303">
        <v>2029</v>
      </c>
      <c r="E265" s="75" t="s">
        <v>413</v>
      </c>
      <c r="I265" s="25"/>
    </row>
    <row r="266" spans="1:9" hidden="1">
      <c r="A266" s="303" t="s">
        <v>414</v>
      </c>
      <c r="B266" s="25" t="s">
        <v>264</v>
      </c>
      <c r="C266" s="303">
        <v>2059</v>
      </c>
      <c r="D266" s="303">
        <v>2059</v>
      </c>
      <c r="E266" s="75" t="s">
        <v>415</v>
      </c>
      <c r="I266" s="25"/>
    </row>
    <row r="267" spans="1:9" hidden="1">
      <c r="A267" s="303" t="s">
        <v>416</v>
      </c>
      <c r="B267" s="25" t="s">
        <v>264</v>
      </c>
      <c r="C267" s="303">
        <v>3386</v>
      </c>
      <c r="D267" s="303">
        <v>3386</v>
      </c>
      <c r="E267" s="75" t="s">
        <v>417</v>
      </c>
      <c r="I267" s="25"/>
    </row>
    <row r="268" spans="1:9" hidden="1">
      <c r="A268" s="303" t="s">
        <v>418</v>
      </c>
      <c r="B268" s="25" t="s">
        <v>264</v>
      </c>
      <c r="C268" s="303">
        <v>2449</v>
      </c>
      <c r="D268" s="303">
        <v>2449</v>
      </c>
      <c r="E268" s="75" t="s">
        <v>419</v>
      </c>
      <c r="I268" s="25"/>
    </row>
    <row r="269" spans="1:9" hidden="1">
      <c r="A269" s="303" t="s">
        <v>420</v>
      </c>
      <c r="B269" s="25" t="s">
        <v>264</v>
      </c>
      <c r="C269" s="303">
        <v>2107</v>
      </c>
      <c r="D269" s="303">
        <v>2107</v>
      </c>
      <c r="E269" s="75" t="s">
        <v>421</v>
      </c>
      <c r="I269" s="25"/>
    </row>
    <row r="270" spans="1:9" hidden="1">
      <c r="A270" s="303" t="s">
        <v>422</v>
      </c>
      <c r="B270" s="25" t="s">
        <v>264</v>
      </c>
      <c r="C270" s="303">
        <v>2109</v>
      </c>
      <c r="D270" s="303">
        <v>2109</v>
      </c>
      <c r="E270" s="75" t="s">
        <v>423</v>
      </c>
      <c r="I270" s="25"/>
    </row>
    <row r="271" spans="1:9" hidden="1">
      <c r="A271" s="303" t="s">
        <v>424</v>
      </c>
      <c r="B271" s="25" t="s">
        <v>264</v>
      </c>
      <c r="C271" s="303">
        <v>3390</v>
      </c>
      <c r="D271" s="303">
        <v>3390</v>
      </c>
      <c r="E271" s="75" t="s">
        <v>425</v>
      </c>
      <c r="I271" s="25"/>
    </row>
    <row r="272" spans="1:9" hidden="1">
      <c r="A272" s="305" t="s">
        <v>426</v>
      </c>
      <c r="B272" s="25" t="s">
        <v>264</v>
      </c>
      <c r="C272" s="305">
        <v>2031</v>
      </c>
      <c r="D272" s="305">
        <v>2031</v>
      </c>
      <c r="E272" s="75" t="s">
        <v>427</v>
      </c>
      <c r="I272" s="25"/>
    </row>
    <row r="273" spans="1:9" hidden="1">
      <c r="A273" s="303" t="s">
        <v>428</v>
      </c>
      <c r="B273" s="25" t="s">
        <v>264</v>
      </c>
      <c r="C273" s="303">
        <v>3350</v>
      </c>
      <c r="D273" s="303">
        <v>3350</v>
      </c>
      <c r="E273" s="75" t="s">
        <v>429</v>
      </c>
      <c r="I273" s="25"/>
    </row>
    <row r="274" spans="1:9" hidden="1">
      <c r="A274" s="303" t="s">
        <v>430</v>
      </c>
      <c r="B274" s="25" t="s">
        <v>264</v>
      </c>
      <c r="C274" s="303">
        <v>2033</v>
      </c>
      <c r="D274" s="303">
        <v>2033</v>
      </c>
      <c r="E274" s="75" t="s">
        <v>431</v>
      </c>
      <c r="I274" s="25"/>
    </row>
    <row r="275" spans="1:9" hidden="1">
      <c r="A275" s="303" t="s">
        <v>432</v>
      </c>
      <c r="B275" s="25" t="s">
        <v>264</v>
      </c>
      <c r="C275" s="303">
        <v>3331</v>
      </c>
      <c r="D275" s="303">
        <v>3331</v>
      </c>
      <c r="E275" s="75" t="s">
        <v>433</v>
      </c>
      <c r="I275" s="25"/>
    </row>
    <row r="276" spans="1:9" hidden="1">
      <c r="A276" s="303" t="s">
        <v>434</v>
      </c>
      <c r="B276" s="25" t="s">
        <v>264</v>
      </c>
      <c r="C276" s="303">
        <v>2239</v>
      </c>
      <c r="D276" s="303">
        <v>2239</v>
      </c>
      <c r="E276" s="75" t="s">
        <v>435</v>
      </c>
      <c r="I276" s="25"/>
    </row>
    <row r="277" spans="1:9" hidden="1">
      <c r="A277" s="303" t="s">
        <v>436</v>
      </c>
      <c r="B277" s="25" t="s">
        <v>264</v>
      </c>
      <c r="C277" s="303">
        <v>2219</v>
      </c>
      <c r="D277" s="303">
        <v>2219</v>
      </c>
      <c r="E277" s="75" t="s">
        <v>437</v>
      </c>
      <c r="I277" s="25"/>
    </row>
    <row r="278" spans="1:9" hidden="1">
      <c r="A278" s="303" t="s">
        <v>438</v>
      </c>
      <c r="B278" s="25" t="s">
        <v>264</v>
      </c>
      <c r="C278" s="303">
        <v>2333</v>
      </c>
      <c r="D278" s="303">
        <v>2333</v>
      </c>
      <c r="E278" s="75" t="s">
        <v>439</v>
      </c>
      <c r="I278" s="25"/>
    </row>
    <row r="279" spans="1:9" hidden="1">
      <c r="A279" s="303" t="s">
        <v>440</v>
      </c>
      <c r="B279" s="25" t="s">
        <v>264</v>
      </c>
      <c r="C279" s="303">
        <v>3946</v>
      </c>
      <c r="D279" s="303">
        <v>3946</v>
      </c>
      <c r="E279" s="75" t="s">
        <v>441</v>
      </c>
      <c r="I279" s="25"/>
    </row>
    <row r="280" spans="1:9" hidden="1">
      <c r="A280" s="303" t="s">
        <v>442</v>
      </c>
      <c r="B280" s="25" t="s">
        <v>264</v>
      </c>
      <c r="C280" s="303">
        <v>2453</v>
      </c>
      <c r="D280" s="303">
        <v>2453</v>
      </c>
      <c r="E280" s="75" t="s">
        <v>443</v>
      </c>
      <c r="I280" s="25"/>
    </row>
    <row r="281" spans="1:9" hidden="1">
      <c r="A281" s="303" t="s">
        <v>444</v>
      </c>
      <c r="B281" s="25" t="s">
        <v>264</v>
      </c>
      <c r="C281" s="303">
        <v>2070</v>
      </c>
      <c r="D281" s="303">
        <v>2070</v>
      </c>
      <c r="E281" s="75" t="s">
        <v>445</v>
      </c>
      <c r="I281" s="25"/>
    </row>
    <row r="282" spans="1:9" hidden="1">
      <c r="A282" s="303" t="s">
        <v>446</v>
      </c>
      <c r="B282" s="25" t="s">
        <v>306</v>
      </c>
      <c r="C282" s="303">
        <v>7023</v>
      </c>
      <c r="D282" s="303">
        <v>7023</v>
      </c>
      <c r="E282" s="75" t="s">
        <v>447</v>
      </c>
      <c r="I282" s="25"/>
    </row>
    <row r="283" spans="1:9" hidden="1">
      <c r="A283" s="303" t="s">
        <v>448</v>
      </c>
      <c r="B283" s="25" t="s">
        <v>264</v>
      </c>
      <c r="C283" s="303">
        <v>2255</v>
      </c>
      <c r="D283" s="303">
        <v>2255</v>
      </c>
      <c r="E283" s="75" t="s">
        <v>449</v>
      </c>
      <c r="I283" s="25"/>
    </row>
    <row r="284" spans="1:9" hidden="1">
      <c r="A284" s="303" t="s">
        <v>450</v>
      </c>
      <c r="B284" s="25" t="s">
        <v>264</v>
      </c>
      <c r="C284" s="303">
        <v>2115</v>
      </c>
      <c r="D284" s="303">
        <v>2115</v>
      </c>
      <c r="E284" s="75" t="s">
        <v>451</v>
      </c>
      <c r="I284" s="25"/>
    </row>
    <row r="285" spans="1:9" hidden="1">
      <c r="A285" s="303" t="s">
        <v>452</v>
      </c>
      <c r="B285" s="25" t="s">
        <v>264</v>
      </c>
      <c r="C285" s="303">
        <v>2329</v>
      </c>
      <c r="D285" s="303">
        <v>2329</v>
      </c>
      <c r="E285" s="75" t="s">
        <v>453</v>
      </c>
      <c r="I285" s="25"/>
    </row>
    <row r="286" spans="1:9" hidden="1">
      <c r="A286" s="303" t="s">
        <v>454</v>
      </c>
      <c r="B286" s="25" t="s">
        <v>264</v>
      </c>
      <c r="C286" s="303">
        <v>3384</v>
      </c>
      <c r="D286" s="303">
        <v>3384</v>
      </c>
      <c r="E286" s="75" t="s">
        <v>455</v>
      </c>
      <c r="I286" s="25"/>
    </row>
    <row r="287" spans="1:9" hidden="1">
      <c r="A287" s="303" t="s">
        <v>456</v>
      </c>
      <c r="B287" s="25" t="s">
        <v>264</v>
      </c>
      <c r="C287" s="303">
        <v>5200</v>
      </c>
      <c r="D287" s="303">
        <v>5200</v>
      </c>
      <c r="E287" s="75" t="s">
        <v>457</v>
      </c>
      <c r="I287" s="25"/>
    </row>
    <row r="288" spans="1:9" hidden="1">
      <c r="A288" s="303" t="s">
        <v>458</v>
      </c>
      <c r="B288" s="25" t="s">
        <v>264</v>
      </c>
      <c r="C288" s="303">
        <v>2317</v>
      </c>
      <c r="D288" s="303">
        <v>2317</v>
      </c>
      <c r="E288" s="75" t="s">
        <v>459</v>
      </c>
      <c r="I288" s="25"/>
    </row>
    <row r="289" spans="1:9" hidden="1">
      <c r="A289" s="303" t="s">
        <v>460</v>
      </c>
      <c r="B289" s="25" t="s">
        <v>264</v>
      </c>
      <c r="C289" s="303">
        <v>3356</v>
      </c>
      <c r="D289" s="303">
        <v>3356</v>
      </c>
      <c r="E289" s="75" t="s">
        <v>461</v>
      </c>
      <c r="I289" s="25"/>
    </row>
    <row r="290" spans="1:9" hidden="1">
      <c r="A290" s="303" t="s">
        <v>462</v>
      </c>
      <c r="B290" s="25" t="s">
        <v>264</v>
      </c>
      <c r="C290" s="303">
        <v>3358</v>
      </c>
      <c r="D290" s="303">
        <v>3358</v>
      </c>
      <c r="E290" s="75" t="s">
        <v>463</v>
      </c>
      <c r="I290" s="25"/>
    </row>
    <row r="291" spans="1:9" hidden="1">
      <c r="A291" s="303" t="s">
        <v>464</v>
      </c>
      <c r="B291" s="25" t="s">
        <v>264</v>
      </c>
      <c r="C291" s="303">
        <v>3029</v>
      </c>
      <c r="D291" s="303">
        <v>3029</v>
      </c>
      <c r="E291" s="75" t="s">
        <v>465</v>
      </c>
      <c r="I291" s="25"/>
    </row>
    <row r="292" spans="1:9" hidden="1">
      <c r="A292" s="303" t="s">
        <v>466</v>
      </c>
      <c r="B292" s="25" t="s">
        <v>264</v>
      </c>
      <c r="C292" s="303">
        <v>2084</v>
      </c>
      <c r="D292" s="303">
        <v>2084</v>
      </c>
      <c r="E292" s="75" t="s">
        <v>467</v>
      </c>
      <c r="I292" s="25"/>
    </row>
    <row r="293" spans="1:9" hidden="1">
      <c r="A293" s="303" t="s">
        <v>468</v>
      </c>
      <c r="B293" s="25" t="s">
        <v>264</v>
      </c>
      <c r="C293" s="303">
        <v>2443</v>
      </c>
      <c r="D293" s="303">
        <v>2443</v>
      </c>
      <c r="E293" s="75" t="s">
        <v>469</v>
      </c>
      <c r="I293" s="25"/>
    </row>
    <row r="294" spans="1:9" hidden="1">
      <c r="A294" s="303" t="s">
        <v>470</v>
      </c>
      <c r="B294" s="25" t="s">
        <v>264</v>
      </c>
      <c r="C294" s="303">
        <v>3052</v>
      </c>
      <c r="D294" s="303">
        <v>3052</v>
      </c>
      <c r="E294" s="75" t="s">
        <v>471</v>
      </c>
      <c r="I294" s="25"/>
    </row>
    <row r="295" spans="1:9" hidden="1">
      <c r="A295" s="303" t="s">
        <v>472</v>
      </c>
      <c r="B295" s="25" t="s">
        <v>264</v>
      </c>
      <c r="C295" s="303">
        <v>2046</v>
      </c>
      <c r="D295" s="303">
        <v>2046</v>
      </c>
      <c r="E295" s="75" t="s">
        <v>473</v>
      </c>
      <c r="I295" s="25"/>
    </row>
    <row r="296" spans="1:9" hidden="1">
      <c r="A296" s="303" t="s">
        <v>474</v>
      </c>
      <c r="B296" s="25" t="s">
        <v>264</v>
      </c>
      <c r="C296" s="303">
        <v>3325</v>
      </c>
      <c r="D296" s="303">
        <v>3325</v>
      </c>
      <c r="E296" s="75" t="s">
        <v>475</v>
      </c>
      <c r="I296" s="25"/>
    </row>
    <row r="297" spans="1:9" hidden="1">
      <c r="A297" s="303" t="s">
        <v>476</v>
      </c>
      <c r="B297" s="25" t="s">
        <v>295</v>
      </c>
      <c r="C297" s="303">
        <v>1001</v>
      </c>
      <c r="D297" s="303">
        <v>1001</v>
      </c>
      <c r="E297" s="75" t="s">
        <v>477</v>
      </c>
      <c r="I297" s="25"/>
    </row>
    <row r="298" spans="1:9" hidden="1">
      <c r="A298" s="303" t="s">
        <v>478</v>
      </c>
      <c r="B298" s="25" t="s">
        <v>264</v>
      </c>
      <c r="C298" s="303">
        <v>2123</v>
      </c>
      <c r="D298" s="303">
        <v>2123</v>
      </c>
      <c r="E298" s="75" t="s">
        <v>479</v>
      </c>
      <c r="I298" s="25"/>
    </row>
    <row r="299" spans="1:9" hidden="1">
      <c r="A299" s="303" t="s">
        <v>480</v>
      </c>
      <c r="B299" s="25" t="s">
        <v>264</v>
      </c>
      <c r="C299" s="303">
        <v>2260</v>
      </c>
      <c r="D299" s="303">
        <v>2260</v>
      </c>
      <c r="E299" s="75" t="s">
        <v>481</v>
      </c>
      <c r="I299" s="25"/>
    </row>
    <row r="300" spans="1:9" hidden="1">
      <c r="A300" s="303" t="s">
        <v>482</v>
      </c>
      <c r="B300" s="25" t="s">
        <v>264</v>
      </c>
      <c r="C300" s="303">
        <v>3058</v>
      </c>
      <c r="D300" s="303">
        <v>3058</v>
      </c>
      <c r="E300" s="75" t="s">
        <v>483</v>
      </c>
      <c r="I300" s="25"/>
    </row>
    <row r="301" spans="1:9" hidden="1">
      <c r="A301" s="303" t="s">
        <v>484</v>
      </c>
      <c r="B301" s="25" t="s">
        <v>264</v>
      </c>
      <c r="C301" s="303">
        <v>2335</v>
      </c>
      <c r="D301" s="303">
        <v>2335</v>
      </c>
      <c r="E301" s="75" t="s">
        <v>485</v>
      </c>
      <c r="I301" s="25"/>
    </row>
    <row r="302" spans="1:9" hidden="1">
      <c r="A302" s="303" t="s">
        <v>486</v>
      </c>
      <c r="B302" s="25" t="s">
        <v>264</v>
      </c>
      <c r="C302" s="303">
        <v>3389</v>
      </c>
      <c r="D302" s="303">
        <v>3389</v>
      </c>
      <c r="E302" s="75" t="s">
        <v>487</v>
      </c>
      <c r="I302" s="25"/>
    </row>
    <row r="303" spans="1:9" hidden="1">
      <c r="A303" s="305" t="s">
        <v>488</v>
      </c>
      <c r="B303" s="25" t="s">
        <v>264</v>
      </c>
      <c r="C303" s="305">
        <v>2001</v>
      </c>
      <c r="D303" s="305">
        <v>2001</v>
      </c>
      <c r="E303" s="75" t="s">
        <v>489</v>
      </c>
      <c r="I303" s="25"/>
    </row>
    <row r="304" spans="1:9" hidden="1">
      <c r="A304" s="303" t="s">
        <v>490</v>
      </c>
      <c r="B304" s="25" t="s">
        <v>264</v>
      </c>
      <c r="C304" s="303">
        <v>2064</v>
      </c>
      <c r="D304" s="303">
        <v>2064</v>
      </c>
      <c r="E304" s="75" t="s">
        <v>491</v>
      </c>
      <c r="I304" s="25"/>
    </row>
    <row r="305" spans="1:9" hidden="1">
      <c r="A305" s="305" t="s">
        <v>492</v>
      </c>
      <c r="B305" s="25" t="s">
        <v>264</v>
      </c>
      <c r="C305" s="305">
        <v>2000</v>
      </c>
      <c r="D305" s="305">
        <v>2000</v>
      </c>
      <c r="E305" s="75" t="s">
        <v>493</v>
      </c>
      <c r="I305" s="25"/>
    </row>
    <row r="306" spans="1:9" hidden="1">
      <c r="A306" s="303" t="s">
        <v>494</v>
      </c>
      <c r="B306" s="25" t="s">
        <v>264</v>
      </c>
      <c r="C306" s="303">
        <v>2048</v>
      </c>
      <c r="D306" s="303">
        <v>2048</v>
      </c>
      <c r="E306" s="75" t="s">
        <v>495</v>
      </c>
      <c r="I306" s="25"/>
    </row>
    <row r="307" spans="1:9" hidden="1">
      <c r="A307" s="303" t="s">
        <v>496</v>
      </c>
      <c r="B307" s="25" t="s">
        <v>264</v>
      </c>
      <c r="C307" s="303">
        <v>2232</v>
      </c>
      <c r="D307" s="303">
        <v>2232</v>
      </c>
      <c r="E307" s="75" t="s">
        <v>497</v>
      </c>
      <c r="I307" s="25"/>
    </row>
    <row r="308" spans="1:9" hidden="1">
      <c r="A308" s="305" t="s">
        <v>498</v>
      </c>
      <c r="B308" s="25" t="s">
        <v>264</v>
      </c>
      <c r="C308" s="305">
        <v>3392</v>
      </c>
      <c r="D308" s="305">
        <v>3392</v>
      </c>
      <c r="E308" s="75" t="s">
        <v>499</v>
      </c>
      <c r="I308" s="25"/>
    </row>
    <row r="309" spans="1:9" hidden="1">
      <c r="A309" s="303" t="s">
        <v>500</v>
      </c>
      <c r="B309" s="25" t="s">
        <v>264</v>
      </c>
      <c r="C309" s="303">
        <v>3054</v>
      </c>
      <c r="D309" s="303">
        <v>3054</v>
      </c>
      <c r="E309" s="75" t="s">
        <v>501</v>
      </c>
      <c r="I309" s="25"/>
    </row>
    <row r="310" spans="1:9" hidden="1">
      <c r="A310" s="303" t="s">
        <v>502</v>
      </c>
      <c r="B310" s="25" t="s">
        <v>264</v>
      </c>
      <c r="C310" s="303">
        <v>3032</v>
      </c>
      <c r="D310" s="303">
        <v>3032</v>
      </c>
      <c r="E310" s="75" t="s">
        <v>503</v>
      </c>
      <c r="I310" s="25"/>
    </row>
    <row r="311" spans="1:9" hidden="1">
      <c r="A311" s="303" t="s">
        <v>504</v>
      </c>
      <c r="B311" s="25" t="s">
        <v>264</v>
      </c>
      <c r="C311" s="303">
        <v>2054</v>
      </c>
      <c r="D311" s="303">
        <v>2054</v>
      </c>
      <c r="E311" s="75" t="s">
        <v>505</v>
      </c>
      <c r="I311" s="25"/>
    </row>
    <row r="312" spans="1:9" hidden="1">
      <c r="A312" s="303" t="s">
        <v>506</v>
      </c>
      <c r="B312" s="25" t="s">
        <v>264</v>
      </c>
      <c r="C312" s="303">
        <v>2240</v>
      </c>
      <c r="D312" s="303">
        <v>2240</v>
      </c>
      <c r="E312" s="75" t="s">
        <v>507</v>
      </c>
      <c r="I312" s="25"/>
    </row>
    <row r="313" spans="1:9" hidden="1">
      <c r="A313" s="303" t="s">
        <v>508</v>
      </c>
      <c r="B313" s="25" t="s">
        <v>264</v>
      </c>
      <c r="C313" s="303">
        <v>2254</v>
      </c>
      <c r="D313" s="303">
        <v>2254</v>
      </c>
      <c r="E313" s="75" t="s">
        <v>509</v>
      </c>
      <c r="I313" s="25"/>
    </row>
    <row r="314" spans="1:9" hidden="1">
      <c r="B314" s="25"/>
      <c r="C314" s="350"/>
      <c r="D314" s="351"/>
      <c r="E314" s="351"/>
      <c r="I314" s="25"/>
    </row>
    <row r="315" spans="1:9" hidden="1">
      <c r="B315" s="25"/>
      <c r="C315" s="350"/>
      <c r="D315" s="351"/>
      <c r="E315" s="351"/>
      <c r="I315" s="25"/>
    </row>
    <row r="316" spans="1:9">
      <c r="B316" s="25"/>
      <c r="C316" s="350"/>
      <c r="D316" s="351"/>
      <c r="E316" s="351"/>
      <c r="I316" s="25"/>
    </row>
    <row r="317" spans="1:9">
      <c r="B317" s="25"/>
      <c r="C317" s="350"/>
      <c r="D317" s="351"/>
      <c r="E317" s="351"/>
      <c r="I317" s="25"/>
    </row>
    <row r="318" spans="1:9">
      <c r="B318" s="25"/>
      <c r="C318" s="350"/>
      <c r="D318" s="351"/>
      <c r="E318" s="351"/>
      <c r="I318" s="25"/>
    </row>
    <row r="319" spans="1:9">
      <c r="B319" s="25"/>
      <c r="C319" s="350"/>
      <c r="D319" s="351"/>
      <c r="E319" s="351"/>
      <c r="I319" s="25"/>
    </row>
    <row r="320" spans="1:9">
      <c r="B320" s="25"/>
      <c r="C320" s="350"/>
      <c r="D320" s="351"/>
      <c r="E320" s="351"/>
      <c r="I320" s="25"/>
    </row>
    <row r="321" spans="2:5">
      <c r="B321" s="25"/>
      <c r="C321" s="350"/>
      <c r="D321" s="351"/>
      <c r="E321" s="351"/>
    </row>
    <row r="322" spans="2:5">
      <c r="B322" s="25"/>
      <c r="C322" s="350"/>
      <c r="D322" s="351"/>
      <c r="E322" s="351"/>
    </row>
    <row r="323" spans="2:5">
      <c r="B323" s="25"/>
      <c r="C323" s="350"/>
      <c r="D323" s="351"/>
      <c r="E323" s="351"/>
    </row>
    <row r="324" spans="2:5">
      <c r="B324" s="25"/>
      <c r="C324" s="350"/>
      <c r="D324" s="351"/>
      <c r="E324" s="351"/>
    </row>
    <row r="325" spans="2:5">
      <c r="B325" s="25"/>
      <c r="C325" s="350"/>
      <c r="D325" s="351"/>
      <c r="E325" s="351"/>
    </row>
    <row r="326" spans="2:5">
      <c r="B326" s="25"/>
      <c r="C326" s="350"/>
      <c r="D326" s="351"/>
      <c r="E326" s="351"/>
    </row>
    <row r="327" spans="2:5">
      <c r="B327" s="25"/>
      <c r="C327" s="350"/>
      <c r="D327" s="351"/>
      <c r="E327" s="351"/>
    </row>
    <row r="328" spans="2:5">
      <c r="B328" s="25"/>
      <c r="C328" s="350"/>
      <c r="D328" s="351"/>
      <c r="E328" s="351"/>
    </row>
    <row r="329" spans="2:5">
      <c r="B329" s="25"/>
      <c r="C329" s="350"/>
      <c r="D329" s="351"/>
      <c r="E329" s="351"/>
    </row>
    <row r="330" spans="2:5">
      <c r="B330" s="25"/>
      <c r="C330" s="350"/>
      <c r="D330" s="351"/>
      <c r="E330" s="351"/>
    </row>
    <row r="331" spans="2:5">
      <c r="B331" s="25"/>
      <c r="C331" s="350"/>
      <c r="D331" s="351"/>
      <c r="E331" s="351"/>
    </row>
    <row r="332" spans="2:5">
      <c r="B332" s="25"/>
      <c r="C332" s="350"/>
      <c r="D332" s="351"/>
      <c r="E332" s="351"/>
    </row>
    <row r="333" spans="2:5">
      <c r="B333" s="25"/>
      <c r="C333" s="350"/>
      <c r="D333" s="351"/>
      <c r="E333" s="351"/>
    </row>
    <row r="334" spans="2:5">
      <c r="B334" s="25"/>
      <c r="C334" s="350"/>
      <c r="D334" s="351"/>
      <c r="E334" s="351"/>
    </row>
    <row r="335" spans="2:5">
      <c r="B335" s="25"/>
      <c r="C335" s="350"/>
      <c r="D335" s="351"/>
      <c r="E335" s="351"/>
    </row>
    <row r="336" spans="2:5">
      <c r="B336" s="25"/>
      <c r="C336" s="350"/>
      <c r="D336" s="351"/>
      <c r="E336" s="351"/>
    </row>
    <row r="337" spans="2:5">
      <c r="B337" s="25"/>
      <c r="C337" s="351"/>
      <c r="D337" s="351"/>
      <c r="E337" s="351"/>
    </row>
    <row r="338" spans="2:5">
      <c r="B338" s="25"/>
      <c r="C338" s="351"/>
      <c r="D338" s="351"/>
      <c r="E338" s="351"/>
    </row>
    <row r="339" spans="2:5">
      <c r="B339" s="25"/>
      <c r="C339" s="351"/>
      <c r="D339" s="351"/>
      <c r="E339" s="351"/>
    </row>
    <row r="340" spans="2:5">
      <c r="B340" s="25"/>
      <c r="C340" s="351"/>
      <c r="D340" s="351"/>
      <c r="E340" s="351"/>
    </row>
    <row r="341" spans="2:5">
      <c r="B341" s="25"/>
      <c r="C341" s="351"/>
      <c r="D341" s="351"/>
      <c r="E341" s="351"/>
    </row>
    <row r="342" spans="2:5">
      <c r="B342" s="25"/>
      <c r="C342" s="351"/>
      <c r="D342" s="351"/>
      <c r="E342" s="351"/>
    </row>
    <row r="343" spans="2:5">
      <c r="B343" s="25"/>
      <c r="C343" s="351"/>
      <c r="D343" s="351"/>
      <c r="E343" s="351"/>
    </row>
    <row r="344" spans="2:5">
      <c r="B344" s="25"/>
      <c r="C344" s="351"/>
      <c r="D344" s="351"/>
      <c r="E344" s="351"/>
    </row>
    <row r="345" spans="2:5">
      <c r="B345" s="25"/>
      <c r="C345" s="351"/>
      <c r="D345" s="351"/>
      <c r="E345" s="351"/>
    </row>
    <row r="346" spans="2:5">
      <c r="B346" s="25"/>
      <c r="C346" s="351"/>
      <c r="D346" s="351"/>
      <c r="E346" s="351"/>
    </row>
    <row r="347" spans="2:5">
      <c r="B347" s="25"/>
      <c r="C347" s="351"/>
      <c r="D347" s="351"/>
      <c r="E347" s="351"/>
    </row>
    <row r="348" spans="2:5">
      <c r="B348" s="25"/>
      <c r="C348" s="351"/>
      <c r="D348" s="351"/>
      <c r="E348" s="351"/>
    </row>
    <row r="349" spans="2:5">
      <c r="B349" s="25"/>
      <c r="C349" s="351"/>
      <c r="D349" s="351"/>
      <c r="E349" s="351"/>
    </row>
    <row r="350" spans="2:5">
      <c r="B350" s="25"/>
      <c r="C350" s="351"/>
      <c r="D350" s="351"/>
      <c r="E350" s="351"/>
    </row>
    <row r="351" spans="2:5">
      <c r="B351" s="25"/>
      <c r="C351" s="351"/>
      <c r="D351" s="351"/>
      <c r="E351" s="351"/>
    </row>
    <row r="352" spans="2:5">
      <c r="B352" s="25"/>
      <c r="C352" s="351"/>
      <c r="D352" s="351"/>
      <c r="E352" s="351"/>
    </row>
    <row r="353" spans="2:5">
      <c r="B353" s="25"/>
      <c r="C353" s="351"/>
      <c r="D353" s="351"/>
      <c r="E353" s="351"/>
    </row>
    <row r="354" spans="2:5">
      <c r="B354" s="25"/>
      <c r="C354" s="351"/>
      <c r="D354" s="351"/>
      <c r="E354" s="351"/>
    </row>
    <row r="355" spans="2:5">
      <c r="B355" s="25"/>
      <c r="C355" s="351"/>
      <c r="D355" s="351"/>
      <c r="E355" s="351"/>
    </row>
    <row r="356" spans="2:5">
      <c r="B356" s="25"/>
      <c r="C356" s="351"/>
      <c r="D356" s="351"/>
      <c r="E356" s="351"/>
    </row>
    <row r="357" spans="2:5">
      <c r="B357" s="25"/>
      <c r="C357" s="351"/>
      <c r="D357" s="351"/>
      <c r="E357" s="351"/>
    </row>
    <row r="358" spans="2:5">
      <c r="B358" s="25"/>
      <c r="C358" s="351"/>
      <c r="D358" s="351"/>
      <c r="E358" s="351"/>
    </row>
    <row r="359" spans="2:5">
      <c r="B359" s="25"/>
      <c r="C359" s="351"/>
      <c r="D359" s="351"/>
      <c r="E359" s="351"/>
    </row>
    <row r="360" spans="2:5">
      <c r="B360" s="25"/>
      <c r="C360" s="351"/>
      <c r="D360" s="351"/>
      <c r="E360" s="351"/>
    </row>
    <row r="361" spans="2:5">
      <c r="B361" s="25"/>
      <c r="C361" s="351"/>
      <c r="D361" s="351"/>
      <c r="E361" s="351"/>
    </row>
    <row r="362" spans="2:5">
      <c r="B362" s="25"/>
      <c r="C362" s="351"/>
      <c r="D362" s="351"/>
      <c r="E362" s="351"/>
    </row>
    <row r="363" spans="2:5">
      <c r="B363" s="25"/>
      <c r="C363" s="351"/>
      <c r="D363" s="351"/>
      <c r="E363" s="351"/>
    </row>
    <row r="364" spans="2:5">
      <c r="B364" s="25"/>
      <c r="C364" s="351"/>
      <c r="D364" s="351"/>
      <c r="E364" s="351"/>
    </row>
    <row r="365" spans="2:5">
      <c r="B365" s="25"/>
      <c r="C365" s="351"/>
      <c r="D365" s="351"/>
      <c r="E365" s="351"/>
    </row>
    <row r="366" spans="2:5">
      <c r="B366" s="25"/>
      <c r="C366" s="351"/>
      <c r="D366" s="351"/>
      <c r="E366" s="351"/>
    </row>
    <row r="367" spans="2:5">
      <c r="B367" s="25"/>
      <c r="C367" s="351"/>
      <c r="D367" s="351"/>
      <c r="E367" s="351"/>
    </row>
    <row r="368" spans="2:5">
      <c r="B368" s="25"/>
      <c r="C368" s="351"/>
      <c r="D368" s="351"/>
      <c r="E368" s="351"/>
    </row>
    <row r="369" spans="2:5">
      <c r="B369" s="25"/>
      <c r="C369" s="351"/>
      <c r="D369" s="351"/>
      <c r="E369" s="351"/>
    </row>
    <row r="370" spans="2:5">
      <c r="B370" s="25"/>
      <c r="C370" s="351"/>
      <c r="D370" s="351"/>
      <c r="E370" s="351"/>
    </row>
    <row r="371" spans="2:5">
      <c r="B371" s="25"/>
      <c r="C371" s="351"/>
      <c r="D371" s="351"/>
      <c r="E371" s="351"/>
    </row>
    <row r="372" spans="2:5">
      <c r="B372" s="25"/>
      <c r="C372" s="351"/>
      <c r="D372" s="351"/>
      <c r="E372" s="351"/>
    </row>
    <row r="373" spans="2:5">
      <c r="B373" s="25"/>
      <c r="C373" s="351"/>
      <c r="D373" s="351"/>
      <c r="E373" s="351"/>
    </row>
    <row r="374" spans="2:5">
      <c r="B374" s="25"/>
      <c r="C374" s="351"/>
      <c r="D374" s="351"/>
      <c r="E374" s="351"/>
    </row>
    <row r="375" spans="2:5">
      <c r="B375" s="25"/>
      <c r="C375" s="351"/>
      <c r="D375" s="351"/>
      <c r="E375" s="351"/>
    </row>
    <row r="376" spans="2:5">
      <c r="B376" s="25"/>
      <c r="C376" s="351"/>
      <c r="D376" s="351"/>
      <c r="E376" s="351"/>
    </row>
    <row r="377" spans="2:5">
      <c r="B377" s="25"/>
      <c r="C377" s="351"/>
      <c r="D377" s="351"/>
      <c r="E377" s="351"/>
    </row>
    <row r="378" spans="2:5">
      <c r="B378" s="25"/>
      <c r="C378" s="351"/>
      <c r="D378" s="351"/>
      <c r="E378" s="351"/>
    </row>
    <row r="379" spans="2:5">
      <c r="B379" s="25"/>
      <c r="C379" s="351"/>
      <c r="D379" s="351"/>
      <c r="E379" s="351"/>
    </row>
    <row r="380" spans="2:5">
      <c r="B380" s="25"/>
      <c r="C380" s="351"/>
      <c r="D380" s="351"/>
      <c r="E380" s="351"/>
    </row>
    <row r="381" spans="2:5">
      <c r="B381" s="25"/>
      <c r="C381" s="351"/>
      <c r="D381" s="351"/>
      <c r="E381" s="351"/>
    </row>
    <row r="382" spans="2:5">
      <c r="B382" s="25"/>
      <c r="C382" s="351"/>
      <c r="D382" s="351"/>
      <c r="E382" s="351"/>
    </row>
    <row r="383" spans="2:5">
      <c r="B383" s="25"/>
      <c r="C383" s="351"/>
      <c r="D383" s="351"/>
      <c r="E383" s="351"/>
    </row>
    <row r="384" spans="2:5">
      <c r="B384" s="25"/>
      <c r="C384" s="351"/>
      <c r="D384" s="351"/>
      <c r="E384" s="351"/>
    </row>
    <row r="385" spans="2:5">
      <c r="B385" s="25"/>
      <c r="C385" s="351"/>
      <c r="D385" s="351"/>
      <c r="E385" s="351"/>
    </row>
    <row r="386" spans="2:5">
      <c r="B386" s="25"/>
      <c r="C386" s="351"/>
      <c r="D386" s="351"/>
      <c r="E386" s="351"/>
    </row>
    <row r="387" spans="2:5">
      <c r="B387" s="25"/>
      <c r="C387" s="351"/>
      <c r="D387" s="351"/>
      <c r="E387" s="351"/>
    </row>
    <row r="388" spans="2:5">
      <c r="B388" s="25"/>
      <c r="C388" s="351"/>
      <c r="D388" s="351"/>
      <c r="E388" s="351"/>
    </row>
    <row r="389" spans="2:5">
      <c r="B389" s="25"/>
      <c r="C389" s="351"/>
      <c r="D389" s="351"/>
      <c r="E389" s="351"/>
    </row>
    <row r="390" spans="2:5">
      <c r="B390" s="25"/>
      <c r="C390" s="351"/>
      <c r="D390" s="351"/>
      <c r="E390" s="351"/>
    </row>
    <row r="391" spans="2:5">
      <c r="B391" s="25"/>
      <c r="C391" s="351"/>
      <c r="D391" s="351"/>
      <c r="E391" s="351"/>
    </row>
    <row r="392" spans="2:5">
      <c r="B392" s="25"/>
      <c r="C392" s="351"/>
      <c r="D392" s="351"/>
      <c r="E392" s="351"/>
    </row>
    <row r="393" spans="2:5">
      <c r="B393" s="25"/>
      <c r="C393" s="351"/>
      <c r="D393" s="351"/>
      <c r="E393" s="351"/>
    </row>
    <row r="394" spans="2:5">
      <c r="B394" s="25"/>
      <c r="C394" s="351"/>
      <c r="D394" s="351"/>
      <c r="E394" s="351"/>
    </row>
    <row r="395" spans="2:5">
      <c r="B395" s="25"/>
      <c r="C395" s="351"/>
      <c r="D395" s="351"/>
      <c r="E395" s="351"/>
    </row>
    <row r="396" spans="2:5">
      <c r="B396" s="25"/>
      <c r="C396" s="351"/>
      <c r="D396" s="351"/>
      <c r="E396" s="351"/>
    </row>
    <row r="397" spans="2:5">
      <c r="B397" s="25"/>
      <c r="C397" s="351"/>
      <c r="D397" s="351"/>
      <c r="E397" s="351"/>
    </row>
    <row r="398" spans="2:5">
      <c r="B398" s="25"/>
      <c r="C398" s="351"/>
      <c r="D398" s="351"/>
      <c r="E398" s="351"/>
    </row>
    <row r="399" spans="2:5">
      <c r="B399" s="25"/>
      <c r="C399" s="351"/>
      <c r="D399" s="351"/>
      <c r="E399" s="351"/>
    </row>
    <row r="400" spans="2:5">
      <c r="B400" s="25"/>
      <c r="C400" s="351"/>
      <c r="D400" s="351"/>
      <c r="E400" s="351"/>
    </row>
    <row r="401" spans="2:5">
      <c r="B401" s="25"/>
      <c r="C401" s="351"/>
      <c r="D401" s="351"/>
      <c r="E401" s="351"/>
    </row>
    <row r="402" spans="2:5">
      <c r="B402" s="25"/>
      <c r="C402" s="351"/>
      <c r="D402" s="351"/>
      <c r="E402" s="351"/>
    </row>
    <row r="403" spans="2:5">
      <c r="B403" s="25"/>
      <c r="C403" s="351"/>
      <c r="D403" s="351"/>
      <c r="E403" s="351"/>
    </row>
    <row r="404" spans="2:5">
      <c r="B404" s="25"/>
      <c r="C404" s="351"/>
      <c r="D404" s="351"/>
      <c r="E404" s="351"/>
    </row>
    <row r="405" spans="2:5">
      <c r="B405" s="25"/>
      <c r="C405" s="351"/>
      <c r="D405" s="351"/>
      <c r="E405" s="351"/>
    </row>
    <row r="406" spans="2:5">
      <c r="B406" s="25"/>
      <c r="C406" s="351"/>
      <c r="D406" s="351"/>
      <c r="E406" s="351"/>
    </row>
    <row r="407" spans="2:5">
      <c r="B407" s="25"/>
      <c r="C407" s="351"/>
      <c r="D407" s="351"/>
      <c r="E407" s="351"/>
    </row>
    <row r="408" spans="2:5">
      <c r="B408" s="25"/>
      <c r="C408" s="351"/>
      <c r="D408" s="351"/>
      <c r="E408" s="351"/>
    </row>
    <row r="409" spans="2:5">
      <c r="B409" s="25"/>
      <c r="C409" s="351"/>
      <c r="D409" s="351"/>
      <c r="E409" s="351"/>
    </row>
    <row r="410" spans="2:5">
      <c r="B410" s="25"/>
      <c r="C410" s="351"/>
      <c r="D410" s="351"/>
      <c r="E410" s="351"/>
    </row>
    <row r="411" spans="2:5">
      <c r="B411" s="25"/>
      <c r="C411" s="351"/>
      <c r="D411" s="351"/>
      <c r="E411" s="351"/>
    </row>
    <row r="412" spans="2:5">
      <c r="B412" s="25"/>
      <c r="C412" s="351"/>
      <c r="D412" s="351"/>
      <c r="E412" s="351"/>
    </row>
    <row r="413" spans="2:5">
      <c r="B413" s="25"/>
      <c r="C413" s="351"/>
      <c r="D413" s="351"/>
      <c r="E413" s="351"/>
    </row>
    <row r="414" spans="2:5">
      <c r="B414" s="25"/>
      <c r="C414" s="351"/>
      <c r="D414" s="351"/>
      <c r="E414" s="351"/>
    </row>
    <row r="415" spans="2:5">
      <c r="B415" s="25"/>
      <c r="C415" s="351"/>
      <c r="D415" s="351"/>
      <c r="E415" s="351"/>
    </row>
    <row r="416" spans="2:5">
      <c r="B416" s="25"/>
      <c r="C416" s="351"/>
      <c r="D416" s="351"/>
      <c r="E416" s="351"/>
    </row>
    <row r="417" spans="2:5">
      <c r="B417" s="25"/>
      <c r="C417" s="351"/>
      <c r="D417" s="351"/>
      <c r="E417" s="351"/>
    </row>
    <row r="418" spans="2:5">
      <c r="B418" s="25"/>
      <c r="C418" s="351"/>
      <c r="D418" s="351"/>
      <c r="E418" s="351"/>
    </row>
    <row r="419" spans="2:5">
      <c r="B419" s="25"/>
      <c r="C419" s="351"/>
      <c r="D419" s="351"/>
      <c r="E419" s="351"/>
    </row>
    <row r="420" spans="2:5">
      <c r="B420" s="25"/>
      <c r="C420" s="351"/>
      <c r="D420" s="351"/>
      <c r="E420" s="351"/>
    </row>
    <row r="421" spans="2:5">
      <c r="B421" s="25"/>
      <c r="C421" s="351"/>
      <c r="D421" s="351"/>
      <c r="E421" s="351"/>
    </row>
    <row r="422" spans="2:5">
      <c r="B422" s="25"/>
      <c r="C422" s="351"/>
      <c r="D422" s="351"/>
      <c r="E422" s="351"/>
    </row>
    <row r="423" spans="2:5">
      <c r="B423" s="25"/>
      <c r="C423" s="351"/>
      <c r="D423" s="351"/>
      <c r="E423" s="351"/>
    </row>
    <row r="424" spans="2:5">
      <c r="B424" s="25"/>
      <c r="C424" s="351"/>
      <c r="D424" s="351"/>
      <c r="E424" s="351"/>
    </row>
    <row r="425" spans="2:5">
      <c r="B425" s="25"/>
      <c r="C425" s="351"/>
      <c r="D425" s="351"/>
      <c r="E425" s="351"/>
    </row>
    <row r="426" spans="2:5">
      <c r="B426" s="25"/>
      <c r="C426" s="351"/>
      <c r="D426" s="351"/>
      <c r="E426" s="351"/>
    </row>
    <row r="427" spans="2:5">
      <c r="B427" s="25"/>
      <c r="C427" s="351"/>
      <c r="D427" s="351"/>
      <c r="E427" s="351"/>
    </row>
    <row r="428" spans="2:5">
      <c r="B428" s="25"/>
      <c r="C428" s="351"/>
      <c r="D428" s="351"/>
      <c r="E428" s="351"/>
    </row>
    <row r="429" spans="2:5">
      <c r="B429" s="25"/>
      <c r="C429" s="351"/>
      <c r="D429" s="351"/>
      <c r="E429" s="351"/>
    </row>
    <row r="430" spans="2:5">
      <c r="B430" s="25"/>
      <c r="C430" s="351"/>
      <c r="D430" s="351"/>
      <c r="E430" s="351"/>
    </row>
    <row r="431" spans="2:5">
      <c r="B431" s="25"/>
      <c r="C431" s="351"/>
      <c r="D431" s="351"/>
      <c r="E431" s="351"/>
    </row>
    <row r="432" spans="2:5">
      <c r="B432" s="25"/>
      <c r="C432" s="351"/>
      <c r="D432" s="351"/>
      <c r="E432" s="351"/>
    </row>
    <row r="433" spans="2:5">
      <c r="B433" s="25"/>
      <c r="C433" s="351"/>
      <c r="D433" s="351"/>
      <c r="E433" s="351"/>
    </row>
    <row r="434" spans="2:5">
      <c r="B434" s="25"/>
      <c r="C434" s="351"/>
      <c r="D434" s="351"/>
      <c r="E434" s="351"/>
    </row>
    <row r="435" spans="2:5">
      <c r="B435" s="25"/>
      <c r="C435" s="351"/>
      <c r="D435" s="351"/>
      <c r="E435" s="351"/>
    </row>
    <row r="436" spans="2:5">
      <c r="B436" s="25"/>
      <c r="C436" s="351"/>
      <c r="D436" s="351"/>
      <c r="E436" s="351"/>
    </row>
    <row r="437" spans="2:5">
      <c r="B437" s="25"/>
      <c r="C437" s="351"/>
      <c r="D437" s="351"/>
      <c r="E437" s="351"/>
    </row>
    <row r="438" spans="2:5">
      <c r="B438" s="25"/>
      <c r="C438" s="351"/>
      <c r="D438" s="351"/>
      <c r="E438" s="351"/>
    </row>
    <row r="439" spans="2:5">
      <c r="B439" s="25"/>
      <c r="C439" s="351"/>
      <c r="D439" s="351"/>
      <c r="E439" s="351"/>
    </row>
    <row r="440" spans="2:5">
      <c r="B440" s="25"/>
      <c r="C440" s="351"/>
      <c r="D440" s="351"/>
      <c r="E440" s="351"/>
    </row>
    <row r="441" spans="2:5">
      <c r="B441" s="25"/>
      <c r="C441" s="351"/>
      <c r="D441" s="351"/>
      <c r="E441" s="351"/>
    </row>
    <row r="442" spans="2:5">
      <c r="B442" s="25"/>
      <c r="C442" s="351"/>
      <c r="D442" s="351"/>
      <c r="E442" s="351"/>
    </row>
    <row r="443" spans="2:5">
      <c r="B443" s="25"/>
      <c r="C443" s="351"/>
      <c r="D443" s="351"/>
      <c r="E443" s="351"/>
    </row>
    <row r="444" spans="2:5">
      <c r="B444" s="25"/>
      <c r="C444" s="351"/>
      <c r="D444" s="351"/>
      <c r="E444" s="351"/>
    </row>
    <row r="445" spans="2:5">
      <c r="B445" s="25"/>
      <c r="C445" s="351"/>
      <c r="D445" s="351"/>
      <c r="E445" s="351"/>
    </row>
    <row r="446" spans="2:5">
      <c r="B446" s="25"/>
      <c r="C446" s="351"/>
      <c r="D446" s="351"/>
      <c r="E446" s="351"/>
    </row>
    <row r="447" spans="2:5">
      <c r="B447" s="25"/>
      <c r="C447" s="351"/>
      <c r="D447" s="351"/>
      <c r="E447" s="351"/>
    </row>
    <row r="448" spans="2:5">
      <c r="B448" s="25"/>
      <c r="C448" s="351"/>
      <c r="D448" s="351"/>
      <c r="E448" s="351"/>
    </row>
    <row r="449" spans="2:5">
      <c r="B449" s="25"/>
      <c r="C449" s="351"/>
      <c r="D449" s="351"/>
      <c r="E449" s="351"/>
    </row>
    <row r="450" spans="2:5">
      <c r="B450" s="25"/>
      <c r="C450" s="351"/>
      <c r="D450" s="351"/>
      <c r="E450" s="351"/>
    </row>
    <row r="451" spans="2:5">
      <c r="B451" s="25"/>
      <c r="C451" s="351"/>
      <c r="D451" s="351"/>
      <c r="E451" s="351"/>
    </row>
    <row r="452" spans="2:5">
      <c r="B452" s="25"/>
      <c r="C452" s="351"/>
      <c r="D452" s="351"/>
      <c r="E452" s="351"/>
    </row>
    <row r="453" spans="2:5">
      <c r="B453" s="25"/>
      <c r="C453" s="351"/>
      <c r="D453" s="351"/>
      <c r="E453" s="351"/>
    </row>
    <row r="454" spans="2:5">
      <c r="B454" s="25"/>
      <c r="C454" s="351"/>
      <c r="D454" s="351"/>
      <c r="E454" s="351"/>
    </row>
    <row r="455" spans="2:5">
      <c r="B455" s="25"/>
      <c r="C455" s="351"/>
      <c r="D455" s="351"/>
      <c r="E455" s="351"/>
    </row>
    <row r="456" spans="2:5">
      <c r="B456" s="25"/>
      <c r="C456" s="351"/>
      <c r="D456" s="351"/>
      <c r="E456" s="351"/>
    </row>
    <row r="457" spans="2:5">
      <c r="B457" s="25"/>
      <c r="C457" s="351"/>
      <c r="D457" s="351"/>
      <c r="E457" s="351"/>
    </row>
    <row r="458" spans="2:5">
      <c r="B458" s="25"/>
      <c r="C458" s="351"/>
      <c r="D458" s="351"/>
      <c r="E458" s="351"/>
    </row>
    <row r="459" spans="2:5">
      <c r="B459" s="25"/>
      <c r="C459" s="351"/>
      <c r="D459" s="351"/>
      <c r="E459" s="351"/>
    </row>
    <row r="460" spans="2:5">
      <c r="B460" s="25"/>
      <c r="C460" s="351"/>
      <c r="D460" s="351"/>
      <c r="E460" s="351"/>
    </row>
    <row r="461" spans="2:5">
      <c r="B461" s="25"/>
      <c r="C461" s="351"/>
      <c r="D461" s="351"/>
      <c r="E461" s="351"/>
    </row>
    <row r="462" spans="2:5">
      <c r="B462" s="25"/>
      <c r="C462" s="351"/>
      <c r="D462" s="351"/>
      <c r="E462" s="351"/>
    </row>
    <row r="463" spans="2:5">
      <c r="B463" s="25"/>
      <c r="C463" s="351"/>
      <c r="D463" s="351"/>
      <c r="E463" s="351"/>
    </row>
    <row r="464" spans="2:5">
      <c r="B464" s="25"/>
      <c r="C464" s="351"/>
      <c r="D464" s="351"/>
      <c r="E464" s="351"/>
    </row>
    <row r="465" spans="2:5">
      <c r="B465" s="25"/>
      <c r="C465" s="351"/>
      <c r="D465" s="351"/>
      <c r="E465" s="351"/>
    </row>
    <row r="466" spans="2:5">
      <c r="B466" s="25"/>
      <c r="C466" s="351"/>
      <c r="D466" s="351"/>
      <c r="E466" s="351"/>
    </row>
    <row r="467" spans="2:5">
      <c r="B467" s="25"/>
      <c r="C467" s="351"/>
      <c r="D467" s="351"/>
      <c r="E467" s="351"/>
    </row>
    <row r="468" spans="2:5">
      <c r="B468" s="25"/>
      <c r="C468" s="351"/>
      <c r="D468" s="351"/>
      <c r="E468" s="351"/>
    </row>
    <row r="469" spans="2:5">
      <c r="B469" s="25"/>
      <c r="C469" s="351"/>
      <c r="D469" s="351"/>
      <c r="E469" s="351"/>
    </row>
    <row r="470" spans="2:5">
      <c r="B470" s="25"/>
      <c r="C470" s="351"/>
      <c r="D470" s="351"/>
      <c r="E470" s="351"/>
    </row>
    <row r="471" spans="2:5">
      <c r="B471" s="25"/>
      <c r="C471" s="351"/>
      <c r="D471" s="351"/>
      <c r="E471" s="351"/>
    </row>
    <row r="472" spans="2:5">
      <c r="B472" s="25"/>
      <c r="C472" s="351"/>
      <c r="D472" s="351"/>
      <c r="E472" s="351"/>
    </row>
    <row r="473" spans="2:5">
      <c r="B473" s="25"/>
      <c r="C473" s="351"/>
      <c r="D473" s="351"/>
      <c r="E473" s="351"/>
    </row>
    <row r="474" spans="2:5">
      <c r="B474" s="25"/>
      <c r="C474" s="351"/>
      <c r="D474" s="351"/>
      <c r="E474" s="351"/>
    </row>
    <row r="475" spans="2:5">
      <c r="B475" s="25"/>
      <c r="C475" s="351"/>
      <c r="D475" s="351"/>
      <c r="E475" s="351"/>
    </row>
    <row r="476" spans="2:5">
      <c r="B476" s="25"/>
      <c r="C476" s="351"/>
      <c r="D476" s="351"/>
      <c r="E476" s="351"/>
    </row>
    <row r="477" spans="2:5">
      <c r="B477" s="25"/>
      <c r="C477" s="351"/>
      <c r="D477" s="351"/>
      <c r="E477" s="351"/>
    </row>
    <row r="478" spans="2:5">
      <c r="B478" s="25"/>
      <c r="C478" s="351"/>
      <c r="D478" s="351"/>
      <c r="E478" s="351"/>
    </row>
    <row r="479" spans="2:5">
      <c r="B479" s="25"/>
      <c r="C479" s="351"/>
      <c r="D479" s="351"/>
      <c r="E479" s="351"/>
    </row>
    <row r="480" spans="2:5">
      <c r="B480" s="25"/>
      <c r="C480" s="351"/>
      <c r="D480" s="351"/>
      <c r="E480" s="351"/>
    </row>
    <row r="481" spans="2:5">
      <c r="B481" s="25"/>
      <c r="C481" s="351"/>
      <c r="D481" s="351"/>
      <c r="E481" s="351"/>
    </row>
    <row r="482" spans="2:5">
      <c r="B482" s="25"/>
      <c r="C482" s="351"/>
      <c r="D482" s="351"/>
      <c r="E482" s="351"/>
    </row>
    <row r="483" spans="2:5">
      <c r="B483" s="25"/>
      <c r="C483" s="351"/>
      <c r="D483" s="351"/>
      <c r="E483" s="351"/>
    </row>
    <row r="484" spans="2:5">
      <c r="B484" s="25"/>
      <c r="C484" s="351"/>
      <c r="D484" s="351"/>
      <c r="E484" s="351"/>
    </row>
    <row r="485" spans="2:5">
      <c r="B485" s="25"/>
      <c r="C485" s="351"/>
      <c r="D485" s="351"/>
      <c r="E485" s="351"/>
    </row>
    <row r="486" spans="2:5">
      <c r="B486" s="25"/>
      <c r="C486" s="351"/>
      <c r="D486" s="351"/>
      <c r="E486" s="351"/>
    </row>
    <row r="487" spans="2:5">
      <c r="B487" s="25"/>
      <c r="C487" s="351"/>
      <c r="D487" s="351"/>
      <c r="E487" s="351"/>
    </row>
    <row r="488" spans="2:5">
      <c r="B488" s="25"/>
      <c r="C488" s="351"/>
      <c r="D488" s="351"/>
      <c r="E488" s="351"/>
    </row>
    <row r="489" spans="2:5">
      <c r="B489" s="25"/>
      <c r="C489" s="351"/>
      <c r="D489" s="351"/>
      <c r="E489" s="351"/>
    </row>
    <row r="490" spans="2:5">
      <c r="B490" s="25"/>
      <c r="C490" s="351"/>
      <c r="D490" s="351"/>
      <c r="E490" s="351"/>
    </row>
    <row r="491" spans="2:5">
      <c r="B491" s="25"/>
      <c r="C491" s="351"/>
      <c r="D491" s="351"/>
      <c r="E491" s="351"/>
    </row>
    <row r="492" spans="2:5">
      <c r="B492" s="25"/>
      <c r="C492" s="351"/>
      <c r="D492" s="351"/>
      <c r="E492" s="351"/>
    </row>
    <row r="493" spans="2:5">
      <c r="B493" s="25"/>
      <c r="C493" s="351"/>
      <c r="D493" s="351"/>
      <c r="E493" s="351"/>
    </row>
    <row r="494" spans="2:5">
      <c r="B494" s="25"/>
      <c r="C494" s="351"/>
      <c r="D494" s="351"/>
      <c r="E494" s="351"/>
    </row>
    <row r="495" spans="2:5">
      <c r="B495" s="25"/>
      <c r="C495" s="351"/>
      <c r="D495" s="351"/>
      <c r="E495" s="351"/>
    </row>
    <row r="496" spans="2:5">
      <c r="B496" s="25"/>
      <c r="C496" s="351"/>
      <c r="D496" s="351"/>
      <c r="E496" s="351"/>
    </row>
    <row r="497" spans="2:5">
      <c r="B497" s="25"/>
      <c r="C497" s="351"/>
      <c r="D497" s="351"/>
      <c r="E497" s="351"/>
    </row>
    <row r="498" spans="2:5">
      <c r="B498" s="25"/>
      <c r="C498" s="351"/>
      <c r="D498" s="351"/>
      <c r="E498" s="351"/>
    </row>
    <row r="499" spans="2:5">
      <c r="B499" s="25"/>
      <c r="C499" s="351"/>
      <c r="D499" s="351"/>
      <c r="E499" s="351"/>
    </row>
    <row r="500" spans="2:5">
      <c r="B500" s="25"/>
      <c r="C500" s="351"/>
      <c r="D500" s="351"/>
      <c r="E500" s="351"/>
    </row>
    <row r="501" spans="2:5">
      <c r="B501" s="25"/>
      <c r="C501" s="351"/>
      <c r="D501" s="351"/>
      <c r="E501" s="351"/>
    </row>
    <row r="502" spans="2:5">
      <c r="B502" s="25"/>
      <c r="C502" s="351"/>
      <c r="D502" s="351"/>
      <c r="E502" s="351"/>
    </row>
    <row r="503" spans="2:5">
      <c r="B503" s="25"/>
      <c r="C503" s="351"/>
      <c r="D503" s="351"/>
      <c r="E503" s="351"/>
    </row>
    <row r="504" spans="2:5">
      <c r="B504" s="25"/>
      <c r="C504" s="351"/>
      <c r="D504" s="351"/>
      <c r="E504" s="351"/>
    </row>
    <row r="505" spans="2:5">
      <c r="B505" s="25"/>
      <c r="C505" s="351"/>
      <c r="D505" s="351"/>
      <c r="E505" s="351"/>
    </row>
    <row r="506" spans="2:5">
      <c r="B506" s="25"/>
      <c r="C506" s="351"/>
      <c r="D506" s="351"/>
      <c r="E506" s="351"/>
    </row>
    <row r="507" spans="2:5">
      <c r="B507" s="25"/>
      <c r="C507" s="351"/>
      <c r="D507" s="351"/>
      <c r="E507" s="351"/>
    </row>
    <row r="508" spans="2:5">
      <c r="B508" s="25"/>
      <c r="C508" s="351"/>
      <c r="D508" s="351"/>
      <c r="E508" s="351"/>
    </row>
    <row r="509" spans="2:5">
      <c r="B509" s="25"/>
      <c r="C509" s="351"/>
      <c r="D509" s="351"/>
      <c r="E509" s="351"/>
    </row>
    <row r="510" spans="2:5">
      <c r="B510" s="25"/>
      <c r="C510" s="351"/>
      <c r="D510" s="351"/>
      <c r="E510" s="351"/>
    </row>
    <row r="511" spans="2:5">
      <c r="B511" s="25"/>
      <c r="C511" s="351"/>
      <c r="D511" s="351"/>
      <c r="E511" s="351"/>
    </row>
    <row r="512" spans="2:5">
      <c r="B512" s="25"/>
      <c r="C512" s="351"/>
      <c r="D512" s="351"/>
      <c r="E512" s="351"/>
    </row>
    <row r="513" spans="2:5">
      <c r="B513" s="25"/>
      <c r="C513" s="351"/>
      <c r="D513" s="351"/>
      <c r="E513" s="351"/>
    </row>
    <row r="514" spans="2:5">
      <c r="B514" s="25"/>
      <c r="C514" s="351"/>
      <c r="D514" s="351"/>
      <c r="E514" s="351"/>
    </row>
    <row r="515" spans="2:5">
      <c r="B515" s="25"/>
      <c r="C515" s="351"/>
      <c r="D515" s="351"/>
      <c r="E515" s="351"/>
    </row>
    <row r="516" spans="2:5">
      <c r="B516" s="25"/>
      <c r="C516" s="351"/>
      <c r="D516" s="351"/>
      <c r="E516" s="351"/>
    </row>
    <row r="517" spans="2:5">
      <c r="B517" s="25"/>
      <c r="C517" s="351"/>
      <c r="D517" s="351"/>
      <c r="E517" s="351"/>
    </row>
    <row r="518" spans="2:5">
      <c r="B518" s="25"/>
      <c r="C518" s="351"/>
      <c r="D518" s="351"/>
      <c r="E518" s="351"/>
    </row>
    <row r="519" spans="2:5">
      <c r="B519" s="25"/>
      <c r="C519" s="351"/>
      <c r="D519" s="351"/>
      <c r="E519" s="351"/>
    </row>
    <row r="520" spans="2:5">
      <c r="B520" s="25"/>
      <c r="C520" s="351"/>
      <c r="D520" s="351"/>
      <c r="E520" s="351"/>
    </row>
    <row r="521" spans="2:5">
      <c r="B521" s="25"/>
      <c r="C521" s="351"/>
      <c r="D521" s="351"/>
      <c r="E521" s="351"/>
    </row>
    <row r="522" spans="2:5">
      <c r="B522" s="25"/>
      <c r="C522" s="351"/>
      <c r="D522" s="351"/>
      <c r="E522" s="351"/>
    </row>
    <row r="523" spans="2:5">
      <c r="B523" s="25"/>
      <c r="C523" s="351"/>
      <c r="D523" s="351"/>
      <c r="E523" s="351"/>
    </row>
    <row r="524" spans="2:5">
      <c r="B524" s="25"/>
      <c r="C524" s="351"/>
      <c r="D524" s="351"/>
      <c r="E524" s="351"/>
    </row>
    <row r="525" spans="2:5">
      <c r="B525" s="25"/>
      <c r="C525" s="351"/>
      <c r="D525" s="351"/>
      <c r="E525" s="351"/>
    </row>
    <row r="526" spans="2:5">
      <c r="B526" s="25"/>
      <c r="C526" s="351"/>
      <c r="D526" s="351"/>
      <c r="E526" s="351"/>
    </row>
    <row r="527" spans="2:5">
      <c r="B527" s="25"/>
      <c r="C527" s="351"/>
      <c r="D527" s="351"/>
      <c r="E527" s="351"/>
    </row>
    <row r="528" spans="2:5">
      <c r="B528" s="25"/>
      <c r="C528" s="351"/>
      <c r="D528" s="351"/>
      <c r="E528" s="351"/>
    </row>
    <row r="529" spans="2:5">
      <c r="B529" s="25"/>
      <c r="C529" s="351"/>
      <c r="D529" s="351"/>
      <c r="E529" s="351"/>
    </row>
    <row r="530" spans="2:5">
      <c r="B530" s="25"/>
      <c r="C530" s="351"/>
      <c r="D530" s="351"/>
      <c r="E530" s="351"/>
    </row>
    <row r="531" spans="2:5">
      <c r="B531" s="25"/>
      <c r="C531" s="351"/>
      <c r="D531" s="351"/>
      <c r="E531" s="351"/>
    </row>
    <row r="532" spans="2:5">
      <c r="B532" s="25"/>
      <c r="C532" s="351"/>
      <c r="D532" s="351"/>
      <c r="E532" s="351"/>
    </row>
    <row r="533" spans="2:5">
      <c r="B533" s="25"/>
      <c r="C533" s="351"/>
      <c r="D533" s="351"/>
      <c r="E533" s="351"/>
    </row>
    <row r="534" spans="2:5">
      <c r="B534" s="25"/>
      <c r="C534" s="351"/>
      <c r="D534" s="351"/>
      <c r="E534" s="351"/>
    </row>
    <row r="535" spans="2:5">
      <c r="B535" s="25"/>
      <c r="C535" s="351"/>
      <c r="D535" s="351"/>
      <c r="E535" s="351"/>
    </row>
    <row r="536" spans="2:5">
      <c r="B536" s="25"/>
      <c r="C536" s="351"/>
      <c r="D536" s="351"/>
      <c r="E536" s="351"/>
    </row>
    <row r="537" spans="2:5">
      <c r="B537" s="25"/>
      <c r="C537" s="351"/>
      <c r="D537" s="351"/>
      <c r="E537" s="351"/>
    </row>
    <row r="538" spans="2:5">
      <c r="B538" s="25"/>
      <c r="C538" s="351"/>
      <c r="D538" s="351"/>
      <c r="E538" s="351"/>
    </row>
    <row r="539" spans="2:5">
      <c r="B539" s="25"/>
      <c r="C539" s="351"/>
      <c r="D539" s="351"/>
      <c r="E539" s="351"/>
    </row>
    <row r="540" spans="2:5">
      <c r="B540" s="25"/>
      <c r="C540" s="351"/>
      <c r="D540" s="351"/>
      <c r="E540" s="351"/>
    </row>
    <row r="541" spans="2:5">
      <c r="B541" s="25"/>
      <c r="C541" s="351"/>
      <c r="D541" s="351"/>
      <c r="E541" s="351"/>
    </row>
    <row r="542" spans="2:5">
      <c r="B542" s="25"/>
      <c r="C542" s="351"/>
      <c r="D542" s="351"/>
      <c r="E542" s="351"/>
    </row>
    <row r="543" spans="2:5">
      <c r="B543" s="25"/>
      <c r="C543" s="351"/>
      <c r="D543" s="351"/>
      <c r="E543" s="351"/>
    </row>
    <row r="544" spans="2:5">
      <c r="B544" s="25"/>
      <c r="C544" s="351"/>
      <c r="D544" s="351"/>
      <c r="E544" s="351"/>
    </row>
    <row r="545" spans="2:5">
      <c r="B545" s="25"/>
      <c r="C545" s="351"/>
      <c r="D545" s="351"/>
      <c r="E545" s="351"/>
    </row>
    <row r="546" spans="2:5">
      <c r="B546" s="25"/>
      <c r="C546" s="351"/>
      <c r="D546" s="351"/>
      <c r="E546" s="351"/>
    </row>
    <row r="547" spans="2:5">
      <c r="B547" s="25"/>
      <c r="C547" s="351"/>
      <c r="D547" s="351"/>
      <c r="E547" s="351"/>
    </row>
    <row r="548" spans="2:5">
      <c r="B548" s="25"/>
      <c r="C548" s="351"/>
      <c r="D548" s="351"/>
      <c r="E548" s="351"/>
    </row>
    <row r="549" spans="2:5">
      <c r="B549" s="25"/>
      <c r="C549" s="351"/>
      <c r="D549" s="351"/>
      <c r="E549" s="351"/>
    </row>
    <row r="550" spans="2:5">
      <c r="B550" s="25"/>
      <c r="C550" s="351"/>
      <c r="D550" s="351"/>
      <c r="E550" s="351"/>
    </row>
    <row r="551" spans="2:5">
      <c r="B551" s="25"/>
      <c r="C551" s="351"/>
      <c r="D551" s="351"/>
      <c r="E551" s="351"/>
    </row>
    <row r="552" spans="2:5">
      <c r="B552" s="25"/>
      <c r="C552" s="351"/>
      <c r="D552" s="351"/>
      <c r="E552" s="351"/>
    </row>
    <row r="553" spans="2:5">
      <c r="B553" s="25"/>
      <c r="C553" s="351"/>
      <c r="D553" s="351"/>
      <c r="E553" s="351"/>
    </row>
    <row r="554" spans="2:5">
      <c r="B554" s="25"/>
      <c r="C554" s="351"/>
      <c r="D554" s="351"/>
      <c r="E554" s="351"/>
    </row>
    <row r="555" spans="2:5">
      <c r="B555" s="25"/>
      <c r="C555" s="351"/>
      <c r="D555" s="351"/>
      <c r="E555" s="351"/>
    </row>
    <row r="556" spans="2:5">
      <c r="B556" s="25"/>
      <c r="C556" s="351"/>
      <c r="D556" s="351"/>
      <c r="E556" s="351"/>
    </row>
    <row r="557" spans="2:5">
      <c r="B557" s="25"/>
      <c r="C557" s="351"/>
      <c r="D557" s="351"/>
      <c r="E557" s="351"/>
    </row>
    <row r="558" spans="2:5">
      <c r="B558" s="25"/>
      <c r="C558" s="351"/>
      <c r="D558" s="351"/>
      <c r="E558" s="351"/>
    </row>
    <row r="559" spans="2:5">
      <c r="B559" s="25"/>
      <c r="C559" s="351"/>
      <c r="D559" s="351"/>
      <c r="E559" s="351"/>
    </row>
    <row r="560" spans="2:5">
      <c r="B560" s="25"/>
      <c r="C560" s="351"/>
      <c r="D560" s="351"/>
      <c r="E560" s="351"/>
    </row>
    <row r="561" spans="2:5">
      <c r="B561" s="25"/>
      <c r="C561" s="351"/>
      <c r="D561" s="351"/>
      <c r="E561" s="351"/>
    </row>
    <row r="562" spans="2:5">
      <c r="B562" s="25"/>
      <c r="C562" s="351"/>
      <c r="D562" s="351"/>
      <c r="E562" s="351"/>
    </row>
    <row r="563" spans="2:5">
      <c r="B563" s="25"/>
      <c r="C563" s="351"/>
      <c r="D563" s="351"/>
      <c r="E563" s="351"/>
    </row>
    <row r="564" spans="2:5">
      <c r="B564" s="25"/>
      <c r="C564" s="351"/>
      <c r="D564" s="351"/>
      <c r="E564" s="351"/>
    </row>
    <row r="565" spans="2:5">
      <c r="B565" s="25"/>
      <c r="C565" s="351"/>
      <c r="D565" s="351"/>
      <c r="E565" s="351"/>
    </row>
    <row r="566" spans="2:5">
      <c r="B566" s="25"/>
      <c r="C566" s="351"/>
      <c r="D566" s="351"/>
      <c r="E566" s="351"/>
    </row>
    <row r="567" spans="2:5">
      <c r="B567" s="25"/>
      <c r="C567" s="351"/>
      <c r="D567" s="351"/>
      <c r="E567" s="351"/>
    </row>
    <row r="568" spans="2:5">
      <c r="B568" s="25"/>
      <c r="C568" s="351"/>
      <c r="D568" s="351"/>
      <c r="E568" s="351"/>
    </row>
    <row r="569" spans="2:5">
      <c r="B569" s="25"/>
      <c r="C569" s="351"/>
      <c r="D569" s="351"/>
      <c r="E569" s="351"/>
    </row>
    <row r="570" spans="2:5">
      <c r="B570" s="25"/>
      <c r="C570" s="351"/>
      <c r="D570" s="351"/>
      <c r="E570" s="351"/>
    </row>
    <row r="571" spans="2:5">
      <c r="B571" s="25"/>
      <c r="C571" s="351"/>
      <c r="D571" s="351"/>
      <c r="E571" s="351"/>
    </row>
    <row r="572" spans="2:5">
      <c r="B572" s="25"/>
      <c r="C572" s="351"/>
      <c r="D572" s="351"/>
      <c r="E572" s="351"/>
    </row>
    <row r="573" spans="2:5">
      <c r="B573" s="25"/>
      <c r="C573" s="351"/>
      <c r="D573" s="351"/>
      <c r="E573" s="351"/>
    </row>
    <row r="574" spans="2:5">
      <c r="B574" s="25"/>
      <c r="C574" s="351"/>
      <c r="D574" s="351"/>
      <c r="E574" s="351"/>
    </row>
    <row r="575" spans="2:5">
      <c r="B575" s="25"/>
      <c r="C575" s="351"/>
      <c r="D575" s="351"/>
      <c r="E575" s="351"/>
    </row>
    <row r="576" spans="2:5">
      <c r="B576" s="25"/>
      <c r="C576" s="351"/>
      <c r="D576" s="351"/>
      <c r="E576" s="351"/>
    </row>
    <row r="577" spans="2:5">
      <c r="B577" s="25"/>
      <c r="C577" s="351"/>
      <c r="D577" s="351"/>
      <c r="E577" s="351"/>
    </row>
    <row r="578" spans="2:5">
      <c r="B578" s="25"/>
      <c r="C578" s="351"/>
      <c r="D578" s="351"/>
      <c r="E578" s="351"/>
    </row>
    <row r="579" spans="2:5">
      <c r="B579" s="25"/>
      <c r="C579" s="351"/>
      <c r="D579" s="351"/>
      <c r="E579" s="351"/>
    </row>
    <row r="580" spans="2:5">
      <c r="B580" s="25"/>
      <c r="C580" s="351"/>
      <c r="D580" s="351"/>
      <c r="E580" s="351"/>
    </row>
    <row r="581" spans="2:5">
      <c r="B581" s="25"/>
      <c r="C581" s="351"/>
      <c r="D581" s="351"/>
      <c r="E581" s="351"/>
    </row>
    <row r="582" spans="2:5">
      <c r="B582" s="25"/>
      <c r="C582" s="351"/>
      <c r="D582" s="351"/>
      <c r="E582" s="351"/>
    </row>
    <row r="583" spans="2:5">
      <c r="B583" s="25"/>
      <c r="C583" s="351"/>
      <c r="D583" s="351"/>
      <c r="E583" s="351"/>
    </row>
    <row r="584" spans="2:5">
      <c r="B584" s="25"/>
      <c r="C584" s="351"/>
      <c r="D584" s="351"/>
      <c r="E584" s="351"/>
    </row>
    <row r="585" spans="2:5">
      <c r="B585" s="25"/>
      <c r="C585" s="351"/>
      <c r="D585" s="351"/>
      <c r="E585" s="351"/>
    </row>
    <row r="586" spans="2:5">
      <c r="B586" s="25"/>
      <c r="C586" s="351"/>
      <c r="D586" s="351"/>
      <c r="E586" s="351"/>
    </row>
    <row r="587" spans="2:5">
      <c r="B587" s="25"/>
      <c r="C587" s="351"/>
      <c r="D587" s="351"/>
      <c r="E587" s="351"/>
    </row>
    <row r="588" spans="2:5">
      <c r="B588" s="25"/>
      <c r="C588" s="351"/>
      <c r="D588" s="351"/>
      <c r="E588" s="351"/>
    </row>
    <row r="589" spans="2:5">
      <c r="B589" s="25"/>
      <c r="C589" s="351"/>
      <c r="D589" s="351"/>
      <c r="E589" s="351"/>
    </row>
    <row r="590" spans="2:5">
      <c r="B590" s="25"/>
      <c r="C590" s="351"/>
      <c r="D590" s="351"/>
      <c r="E590" s="351"/>
    </row>
    <row r="591" spans="2:5">
      <c r="B591" s="25"/>
      <c r="C591" s="351"/>
      <c r="D591" s="351"/>
      <c r="E591" s="351"/>
    </row>
    <row r="592" spans="2:5">
      <c r="B592" s="25"/>
      <c r="C592" s="351"/>
      <c r="D592" s="351"/>
      <c r="E592" s="351"/>
    </row>
    <row r="593" spans="2:5">
      <c r="B593" s="25"/>
      <c r="C593" s="351"/>
      <c r="D593" s="351"/>
      <c r="E593" s="351"/>
    </row>
    <row r="594" spans="2:5">
      <c r="B594" s="25"/>
      <c r="C594" s="351"/>
      <c r="D594" s="351"/>
      <c r="E594" s="351"/>
    </row>
    <row r="595" spans="2:5">
      <c r="B595" s="25"/>
      <c r="C595" s="351"/>
      <c r="D595" s="351"/>
      <c r="E595" s="351"/>
    </row>
    <row r="596" spans="2:5">
      <c r="B596" s="25"/>
      <c r="C596" s="351"/>
      <c r="D596" s="351"/>
      <c r="E596" s="351"/>
    </row>
    <row r="597" spans="2:5">
      <c r="B597" s="25"/>
      <c r="C597" s="351"/>
      <c r="D597" s="351"/>
      <c r="E597" s="351"/>
    </row>
    <row r="598" spans="2:5">
      <c r="B598" s="25"/>
      <c r="C598" s="351"/>
      <c r="D598" s="351"/>
      <c r="E598" s="351"/>
    </row>
    <row r="599" spans="2:5">
      <c r="B599" s="25"/>
      <c r="C599" s="351"/>
      <c r="D599" s="351"/>
      <c r="E599" s="351"/>
    </row>
    <row r="600" spans="2:5">
      <c r="B600" s="25"/>
      <c r="C600" s="351"/>
      <c r="D600" s="351"/>
      <c r="E600" s="351"/>
    </row>
    <row r="601" spans="2:5">
      <c r="B601" s="25"/>
      <c r="C601" s="351"/>
      <c r="D601" s="351"/>
      <c r="E601" s="351"/>
    </row>
    <row r="602" spans="2:5">
      <c r="B602" s="25"/>
      <c r="C602" s="351"/>
      <c r="D602" s="351"/>
      <c r="E602" s="351"/>
    </row>
    <row r="603" spans="2:5">
      <c r="B603" s="25"/>
      <c r="C603" s="351"/>
      <c r="D603" s="351"/>
      <c r="E603" s="351"/>
    </row>
    <row r="604" spans="2:5">
      <c r="B604" s="25"/>
      <c r="C604" s="351"/>
      <c r="D604" s="351"/>
      <c r="E604" s="351"/>
    </row>
    <row r="605" spans="2:5">
      <c r="B605" s="25"/>
      <c r="C605" s="351"/>
      <c r="D605" s="351"/>
      <c r="E605" s="351"/>
    </row>
    <row r="606" spans="2:5">
      <c r="B606" s="25"/>
      <c r="C606" s="351"/>
      <c r="D606" s="351"/>
      <c r="E606" s="351"/>
    </row>
    <row r="607" spans="2:5">
      <c r="B607" s="25"/>
      <c r="C607" s="351"/>
      <c r="D607" s="351"/>
      <c r="E607" s="351"/>
    </row>
    <row r="608" spans="2:5">
      <c r="B608" s="25"/>
      <c r="C608" s="351"/>
      <c r="D608" s="351"/>
      <c r="E608" s="351"/>
    </row>
    <row r="609" spans="2:5">
      <c r="B609" s="25"/>
      <c r="C609" s="351"/>
      <c r="D609" s="351"/>
      <c r="E609" s="351"/>
    </row>
    <row r="610" spans="2:5">
      <c r="B610" s="25"/>
      <c r="C610" s="351"/>
      <c r="D610" s="351"/>
      <c r="E610" s="351"/>
    </row>
    <row r="611" spans="2:5">
      <c r="B611" s="25"/>
      <c r="C611" s="351"/>
      <c r="D611" s="351"/>
      <c r="E611" s="351"/>
    </row>
    <row r="612" spans="2:5">
      <c r="B612" s="25"/>
      <c r="C612" s="351"/>
      <c r="D612" s="351"/>
      <c r="E612" s="351"/>
    </row>
    <row r="613" spans="2:5">
      <c r="B613" s="25"/>
      <c r="C613" s="351"/>
      <c r="D613" s="351"/>
      <c r="E613" s="351"/>
    </row>
    <row r="614" spans="2:5">
      <c r="B614" s="25"/>
      <c r="C614" s="351"/>
      <c r="D614" s="351"/>
      <c r="E614" s="351"/>
    </row>
    <row r="615" spans="2:5">
      <c r="B615" s="25"/>
      <c r="C615" s="351"/>
      <c r="D615" s="351"/>
      <c r="E615" s="351"/>
    </row>
    <row r="616" spans="2:5">
      <c r="B616" s="25"/>
      <c r="C616" s="351"/>
      <c r="D616" s="351"/>
      <c r="E616" s="351"/>
    </row>
    <row r="617" spans="2:5">
      <c r="B617" s="25"/>
      <c r="C617" s="351"/>
      <c r="D617" s="351"/>
      <c r="E617" s="351"/>
    </row>
    <row r="618" spans="2:5">
      <c r="B618" s="25"/>
      <c r="C618" s="351"/>
      <c r="D618" s="351"/>
      <c r="E618" s="351"/>
    </row>
    <row r="619" spans="2:5">
      <c r="B619" s="25"/>
      <c r="C619" s="351"/>
      <c r="D619" s="351"/>
      <c r="E619" s="351"/>
    </row>
    <row r="620" spans="2:5">
      <c r="B620" s="25"/>
      <c r="C620" s="351"/>
      <c r="D620" s="351"/>
      <c r="E620" s="351"/>
    </row>
    <row r="621" spans="2:5">
      <c r="B621" s="25"/>
      <c r="C621" s="351"/>
      <c r="D621" s="351"/>
      <c r="E621" s="351"/>
    </row>
    <row r="622" spans="2:5">
      <c r="B622" s="25"/>
      <c r="C622" s="351"/>
      <c r="D622" s="351"/>
      <c r="E622" s="351"/>
    </row>
    <row r="623" spans="2:5">
      <c r="B623" s="25"/>
      <c r="C623" s="351"/>
      <c r="D623" s="351"/>
      <c r="E623" s="351"/>
    </row>
    <row r="624" spans="2:5">
      <c r="B624" s="25"/>
      <c r="C624" s="351"/>
      <c r="D624" s="351"/>
      <c r="E624" s="351"/>
    </row>
    <row r="625" spans="2:5">
      <c r="B625" s="25"/>
      <c r="C625" s="351"/>
      <c r="D625" s="351"/>
      <c r="E625" s="351"/>
    </row>
    <row r="626" spans="2:5">
      <c r="B626" s="25"/>
      <c r="C626" s="351"/>
      <c r="D626" s="351"/>
      <c r="E626" s="351"/>
    </row>
    <row r="627" spans="2:5">
      <c r="B627" s="25"/>
      <c r="C627" s="351"/>
      <c r="D627" s="351"/>
      <c r="E627" s="351"/>
    </row>
    <row r="628" spans="2:5">
      <c r="B628" s="25"/>
      <c r="C628" s="351"/>
      <c r="D628" s="351"/>
      <c r="E628" s="351"/>
    </row>
    <row r="629" spans="2:5">
      <c r="B629" s="25"/>
      <c r="C629" s="351"/>
      <c r="D629" s="351"/>
      <c r="E629" s="351"/>
    </row>
    <row r="630" spans="2:5">
      <c r="B630" s="25"/>
      <c r="C630" s="351"/>
      <c r="D630" s="351"/>
      <c r="E630" s="351"/>
    </row>
    <row r="631" spans="2:5">
      <c r="B631" s="25"/>
      <c r="C631" s="351"/>
      <c r="D631" s="351"/>
      <c r="E631" s="351"/>
    </row>
    <row r="632" spans="2:5">
      <c r="B632" s="25"/>
      <c r="C632" s="351"/>
      <c r="D632" s="351"/>
      <c r="E632" s="351"/>
    </row>
    <row r="633" spans="2:5">
      <c r="B633" s="25"/>
      <c r="C633" s="351"/>
      <c r="D633" s="351"/>
      <c r="E633" s="351"/>
    </row>
    <row r="634" spans="2:5">
      <c r="B634" s="25"/>
      <c r="C634" s="351"/>
      <c r="D634" s="351"/>
      <c r="E634" s="351"/>
    </row>
    <row r="635" spans="2:5">
      <c r="B635" s="25"/>
      <c r="C635" s="351"/>
      <c r="D635" s="351"/>
      <c r="E635" s="351"/>
    </row>
    <row r="636" spans="2:5">
      <c r="B636" s="25"/>
      <c r="C636" s="351"/>
      <c r="D636" s="351"/>
      <c r="E636" s="351"/>
    </row>
    <row r="637" spans="2:5">
      <c r="B637" s="25"/>
      <c r="C637" s="351"/>
      <c r="D637" s="351"/>
      <c r="E637" s="351"/>
    </row>
    <row r="638" spans="2:5">
      <c r="B638" s="25"/>
      <c r="C638" s="351"/>
      <c r="D638" s="351"/>
      <c r="E638" s="351"/>
    </row>
    <row r="639" spans="2:5">
      <c r="B639" s="25"/>
      <c r="C639" s="351"/>
      <c r="D639" s="351"/>
      <c r="E639" s="351"/>
    </row>
    <row r="640" spans="2:5">
      <c r="B640" s="25"/>
      <c r="C640" s="351"/>
      <c r="D640" s="351"/>
      <c r="E640" s="351"/>
    </row>
    <row r="641" spans="2:5">
      <c r="B641" s="25"/>
      <c r="C641" s="351"/>
      <c r="D641" s="351"/>
      <c r="E641" s="351"/>
    </row>
    <row r="642" spans="2:5">
      <c r="B642" s="25"/>
      <c r="C642" s="351"/>
      <c r="D642" s="351"/>
      <c r="E642" s="351"/>
    </row>
    <row r="643" spans="2:5">
      <c r="B643" s="25"/>
      <c r="C643" s="351"/>
      <c r="D643" s="351"/>
      <c r="E643" s="351"/>
    </row>
    <row r="644" spans="2:5">
      <c r="B644" s="25"/>
      <c r="C644" s="351"/>
      <c r="D644" s="351"/>
      <c r="E644" s="351"/>
    </row>
    <row r="645" spans="2:5">
      <c r="B645" s="25"/>
      <c r="C645" s="351"/>
      <c r="D645" s="351"/>
      <c r="E645" s="351"/>
    </row>
    <row r="646" spans="2:5">
      <c r="B646" s="25"/>
      <c r="C646" s="351"/>
      <c r="D646" s="351"/>
      <c r="E646" s="351"/>
    </row>
    <row r="647" spans="2:5">
      <c r="B647" s="25"/>
      <c r="D647" s="25"/>
    </row>
    <row r="648" spans="2:5">
      <c r="B648" s="25"/>
      <c r="D648" s="25"/>
    </row>
    <row r="649" spans="2:5">
      <c r="B649" s="25"/>
      <c r="D649" s="25"/>
    </row>
    <row r="650" spans="2:5">
      <c r="B650" s="25"/>
      <c r="D650" s="25"/>
    </row>
    <row r="651" spans="2:5">
      <c r="B651" s="25"/>
      <c r="D651" s="25"/>
    </row>
    <row r="652" spans="2:5">
      <c r="B652" s="25"/>
      <c r="D652" s="25"/>
    </row>
    <row r="653" spans="2:5">
      <c r="B653" s="25"/>
      <c r="D653" s="25"/>
    </row>
    <row r="654" spans="2:5">
      <c r="B654" s="25"/>
      <c r="D654" s="25"/>
    </row>
    <row r="655" spans="2:5">
      <c r="B655" s="25"/>
      <c r="D655" s="25"/>
    </row>
    <row r="656" spans="2:5">
      <c r="B656" s="25"/>
      <c r="D656" s="25"/>
    </row>
    <row r="657" spans="2:4">
      <c r="B657" s="25"/>
      <c r="D657" s="25"/>
    </row>
    <row r="658" spans="2:4">
      <c r="B658" s="25"/>
      <c r="D658" s="25"/>
    </row>
    <row r="659" spans="2:4">
      <c r="B659" s="25"/>
      <c r="D659" s="25"/>
    </row>
    <row r="660" spans="2:4">
      <c r="B660" s="25"/>
      <c r="D660" s="25"/>
    </row>
    <row r="661" spans="2:4">
      <c r="B661" s="25"/>
      <c r="D661" s="25"/>
    </row>
    <row r="662" spans="2:4">
      <c r="B662" s="25"/>
      <c r="D662" s="25"/>
    </row>
    <row r="663" spans="2:4">
      <c r="B663" s="25"/>
      <c r="D663" s="25"/>
    </row>
    <row r="664" spans="2:4">
      <c r="B664" s="25"/>
      <c r="D664" s="25"/>
    </row>
    <row r="665" spans="2:4">
      <c r="B665" s="25"/>
      <c r="D665" s="25"/>
    </row>
    <row r="666" spans="2:4">
      <c r="B666" s="25"/>
      <c r="D666" s="25"/>
    </row>
    <row r="667" spans="2:4">
      <c r="B667" s="25"/>
      <c r="D667" s="25"/>
    </row>
    <row r="668" spans="2:4">
      <c r="B668" s="25"/>
      <c r="D668" s="25"/>
    </row>
    <row r="669" spans="2:4">
      <c r="B669" s="25"/>
      <c r="D669" s="25"/>
    </row>
    <row r="670" spans="2:4">
      <c r="B670" s="25"/>
      <c r="D670" s="25"/>
    </row>
    <row r="671" spans="2:4">
      <c r="B671" s="25"/>
      <c r="D671" s="25"/>
    </row>
    <row r="672" spans="2:4">
      <c r="B672" s="25"/>
      <c r="D672" s="25"/>
    </row>
    <row r="673" spans="2:4">
      <c r="B673" s="25"/>
      <c r="D673" s="25"/>
    </row>
    <row r="674" spans="2:4">
      <c r="B674" s="25"/>
      <c r="D674" s="25"/>
    </row>
    <row r="675" spans="2:4">
      <c r="B675" s="25"/>
      <c r="D675" s="25"/>
    </row>
    <row r="676" spans="2:4">
      <c r="B676" s="25"/>
      <c r="D676" s="25"/>
    </row>
    <row r="677" spans="2:4">
      <c r="B677" s="25"/>
      <c r="D677" s="25"/>
    </row>
    <row r="678" spans="2:4">
      <c r="B678" s="25"/>
      <c r="D678" s="25"/>
    </row>
    <row r="679" spans="2:4">
      <c r="B679" s="25"/>
      <c r="D679" s="25"/>
    </row>
    <row r="680" spans="2:4">
      <c r="B680" s="25"/>
      <c r="D680" s="25"/>
    </row>
    <row r="681" spans="2:4">
      <c r="B681" s="25"/>
      <c r="D681" s="25"/>
    </row>
    <row r="682" spans="2:4">
      <c r="B682" s="25"/>
      <c r="D682" s="25"/>
    </row>
    <row r="683" spans="2:4">
      <c r="B683" s="25"/>
      <c r="D683" s="25"/>
    </row>
    <row r="684" spans="2:4">
      <c r="B684" s="25"/>
      <c r="D684" s="25"/>
    </row>
    <row r="685" spans="2:4">
      <c r="B685" s="25"/>
      <c r="D685" s="25"/>
    </row>
    <row r="686" spans="2:4">
      <c r="B686" s="25"/>
      <c r="D686" s="25"/>
    </row>
    <row r="687" spans="2:4">
      <c r="B687" s="25"/>
      <c r="D687" s="25"/>
    </row>
    <row r="688" spans="2:4">
      <c r="B688" s="25"/>
      <c r="D688" s="25"/>
    </row>
    <row r="689" spans="2:4">
      <c r="B689" s="25"/>
      <c r="D689" s="25"/>
    </row>
    <row r="690" spans="2:4">
      <c r="B690" s="25"/>
      <c r="D690" s="25"/>
    </row>
    <row r="691" spans="2:4">
      <c r="B691" s="25"/>
      <c r="D691" s="25"/>
    </row>
    <row r="692" spans="2:4">
      <c r="B692" s="25"/>
      <c r="D692" s="25"/>
    </row>
    <row r="693" spans="2:4">
      <c r="B693" s="25"/>
      <c r="D693" s="25"/>
    </row>
    <row r="694" spans="2:4">
      <c r="B694" s="25"/>
      <c r="D694" s="25"/>
    </row>
    <row r="695" spans="2:4">
      <c r="B695" s="25"/>
      <c r="D695" s="25"/>
    </row>
    <row r="696" spans="2:4">
      <c r="B696" s="25"/>
      <c r="D696" s="25"/>
    </row>
    <row r="697" spans="2:4">
      <c r="B697" s="25"/>
      <c r="D697" s="25"/>
    </row>
    <row r="698" spans="2:4">
      <c r="B698" s="25"/>
      <c r="D698" s="25"/>
    </row>
    <row r="699" spans="2:4">
      <c r="B699" s="25"/>
      <c r="D699" s="25"/>
    </row>
    <row r="700" spans="2:4">
      <c r="B700" s="25"/>
      <c r="D700" s="25"/>
    </row>
    <row r="701" spans="2:4">
      <c r="B701" s="25"/>
      <c r="D701" s="25"/>
    </row>
    <row r="702" spans="2:4">
      <c r="B702" s="25"/>
      <c r="D702" s="25"/>
    </row>
    <row r="703" spans="2:4">
      <c r="B703" s="25"/>
      <c r="D703" s="25"/>
    </row>
    <row r="704" spans="2:4">
      <c r="B704" s="25"/>
      <c r="D704" s="25"/>
    </row>
    <row r="705" spans="2:4">
      <c r="B705" s="25"/>
      <c r="D705" s="25"/>
    </row>
    <row r="706" spans="2:4">
      <c r="B706" s="25"/>
      <c r="D706" s="25"/>
    </row>
    <row r="707" spans="2:4">
      <c r="B707" s="25"/>
      <c r="D707" s="25"/>
    </row>
    <row r="708" spans="2:4">
      <c r="B708" s="25"/>
      <c r="D708" s="25"/>
    </row>
    <row r="709" spans="2:4">
      <c r="B709" s="25"/>
      <c r="D709" s="25"/>
    </row>
    <row r="710" spans="2:4">
      <c r="B710" s="25"/>
      <c r="D710" s="25"/>
    </row>
    <row r="711" spans="2:4">
      <c r="B711" s="25"/>
      <c r="D711" s="25"/>
    </row>
    <row r="712" spans="2:4">
      <c r="B712" s="25"/>
      <c r="D712" s="25"/>
    </row>
    <row r="713" spans="2:4">
      <c r="B713" s="25"/>
      <c r="D713" s="25"/>
    </row>
    <row r="714" spans="2:4">
      <c r="B714" s="25"/>
      <c r="D714" s="25"/>
    </row>
    <row r="715" spans="2:4">
      <c r="B715" s="25"/>
      <c r="D715" s="25"/>
    </row>
    <row r="716" spans="2:4">
      <c r="B716" s="25"/>
      <c r="D716" s="25"/>
    </row>
    <row r="717" spans="2:4">
      <c r="B717" s="25"/>
      <c r="D717" s="25"/>
    </row>
    <row r="718" spans="2:4">
      <c r="B718" s="25"/>
      <c r="D718" s="25"/>
    </row>
    <row r="719" spans="2:4">
      <c r="B719" s="25"/>
      <c r="D719" s="25"/>
    </row>
    <row r="720" spans="2:4">
      <c r="B720" s="25"/>
      <c r="D720" s="25"/>
    </row>
    <row r="721" spans="2:4">
      <c r="B721" s="25"/>
      <c r="D721" s="25"/>
    </row>
    <row r="722" spans="2:4">
      <c r="B722" s="25"/>
      <c r="D722" s="25"/>
    </row>
    <row r="723" spans="2:4">
      <c r="B723" s="25"/>
      <c r="D723" s="25"/>
    </row>
    <row r="724" spans="2:4">
      <c r="B724" s="25"/>
      <c r="D724" s="25"/>
    </row>
    <row r="725" spans="2:4">
      <c r="B725" s="25"/>
      <c r="D725" s="25"/>
    </row>
    <row r="726" spans="2:4">
      <c r="B726" s="25"/>
      <c r="D726" s="25"/>
    </row>
    <row r="727" spans="2:4">
      <c r="B727" s="25"/>
      <c r="D727" s="25"/>
    </row>
    <row r="728" spans="2:4">
      <c r="B728" s="25"/>
      <c r="D728" s="25"/>
    </row>
    <row r="729" spans="2:4">
      <c r="B729" s="25"/>
      <c r="D729" s="25"/>
    </row>
    <row r="730" spans="2:4">
      <c r="B730" s="25"/>
      <c r="D730" s="25"/>
    </row>
    <row r="731" spans="2:4">
      <c r="B731" s="25"/>
      <c r="D731" s="25"/>
    </row>
    <row r="732" spans="2:4">
      <c r="B732" s="25"/>
      <c r="D732" s="25"/>
    </row>
    <row r="733" spans="2:4">
      <c r="B733" s="25"/>
      <c r="D733" s="25"/>
    </row>
    <row r="734" spans="2:4">
      <c r="B734" s="25"/>
      <c r="D734" s="25"/>
    </row>
    <row r="735" spans="2:4">
      <c r="B735" s="25"/>
      <c r="D735" s="25"/>
    </row>
    <row r="736" spans="2:4">
      <c r="B736" s="25"/>
      <c r="D736" s="25"/>
    </row>
    <row r="737" spans="2:4">
      <c r="B737" s="25"/>
      <c r="D737" s="25"/>
    </row>
    <row r="738" spans="2:4">
      <c r="B738" s="25"/>
      <c r="D738" s="25"/>
    </row>
    <row r="739" spans="2:4">
      <c r="B739" s="25"/>
      <c r="D739" s="25"/>
    </row>
    <row r="740" spans="2:4">
      <c r="B740" s="25"/>
      <c r="D740" s="25"/>
    </row>
    <row r="741" spans="2:4">
      <c r="B741" s="25"/>
      <c r="D741" s="25"/>
    </row>
    <row r="742" spans="2:4">
      <c r="B742" s="25"/>
      <c r="D742" s="25"/>
    </row>
    <row r="743" spans="2:4">
      <c r="B743" s="25"/>
      <c r="D743" s="25"/>
    </row>
    <row r="744" spans="2:4">
      <c r="B744" s="25"/>
      <c r="D744" s="25"/>
    </row>
    <row r="745" spans="2:4">
      <c r="B745" s="25"/>
      <c r="D745" s="25"/>
    </row>
    <row r="746" spans="2:4">
      <c r="B746" s="25"/>
      <c r="D746" s="25"/>
    </row>
    <row r="747" spans="2:4">
      <c r="B747" s="25"/>
      <c r="D747" s="25"/>
    </row>
    <row r="748" spans="2:4">
      <c r="B748" s="25"/>
      <c r="D748" s="25"/>
    </row>
    <row r="749" spans="2:4">
      <c r="B749" s="25"/>
      <c r="D749" s="25"/>
    </row>
    <row r="750" spans="2:4">
      <c r="B750" s="25"/>
      <c r="D750" s="25"/>
    </row>
    <row r="751" spans="2:4">
      <c r="B751" s="25"/>
      <c r="D751" s="25"/>
    </row>
    <row r="752" spans="2:4">
      <c r="B752" s="25"/>
      <c r="D752" s="25"/>
    </row>
    <row r="753" spans="2:4">
      <c r="B753" s="25"/>
      <c r="D753" s="25"/>
    </row>
    <row r="754" spans="2:4">
      <c r="B754" s="25"/>
      <c r="D754" s="25"/>
    </row>
    <row r="755" spans="2:4">
      <c r="B755" s="25"/>
      <c r="D755" s="25"/>
    </row>
    <row r="756" spans="2:4">
      <c r="B756" s="25"/>
      <c r="D756" s="25"/>
    </row>
    <row r="757" spans="2:4">
      <c r="B757" s="25"/>
      <c r="D757" s="25"/>
    </row>
    <row r="758" spans="2:4">
      <c r="B758" s="25"/>
      <c r="D758" s="25"/>
    </row>
    <row r="759" spans="2:4">
      <c r="B759" s="25"/>
      <c r="D759" s="25"/>
    </row>
    <row r="760" spans="2:4">
      <c r="B760" s="25"/>
      <c r="D760" s="25"/>
    </row>
    <row r="761" spans="2:4">
      <c r="B761" s="25"/>
      <c r="D761" s="25"/>
    </row>
    <row r="762" spans="2:4">
      <c r="B762" s="25"/>
      <c r="D762" s="25"/>
    </row>
    <row r="763" spans="2:4">
      <c r="B763" s="25"/>
      <c r="D763" s="25"/>
    </row>
    <row r="764" spans="2:4">
      <c r="B764" s="25"/>
      <c r="D764" s="25"/>
    </row>
    <row r="765" spans="2:4">
      <c r="B765" s="25"/>
      <c r="D765" s="25"/>
    </row>
    <row r="766" spans="2:4">
      <c r="B766" s="25"/>
      <c r="D766" s="25"/>
    </row>
    <row r="767" spans="2:4">
      <c r="B767" s="25"/>
      <c r="D767" s="25"/>
    </row>
    <row r="768" spans="2:4">
      <c r="B768" s="25"/>
      <c r="D768" s="25"/>
    </row>
    <row r="769" spans="2:4">
      <c r="B769" s="25"/>
      <c r="D769" s="25"/>
    </row>
    <row r="770" spans="2:4">
      <c r="B770" s="25"/>
      <c r="D770" s="25"/>
    </row>
    <row r="771" spans="2:4">
      <c r="B771" s="25"/>
      <c r="D771" s="25"/>
    </row>
    <row r="772" spans="2:4">
      <c r="B772" s="25"/>
      <c r="D772" s="25"/>
    </row>
    <row r="773" spans="2:4">
      <c r="B773" s="25"/>
      <c r="D773" s="25"/>
    </row>
    <row r="774" spans="2:4">
      <c r="B774" s="25"/>
      <c r="D774" s="25"/>
    </row>
    <row r="775" spans="2:4">
      <c r="B775" s="25"/>
      <c r="D775" s="25"/>
    </row>
    <row r="776" spans="2:4">
      <c r="B776" s="25"/>
      <c r="D776" s="25"/>
    </row>
    <row r="777" spans="2:4">
      <c r="B777" s="25"/>
      <c r="D777" s="25"/>
    </row>
    <row r="778" spans="2:4">
      <c r="B778" s="25"/>
      <c r="D778" s="25"/>
    </row>
    <row r="779" spans="2:4">
      <c r="B779" s="25"/>
      <c r="D779" s="25"/>
    </row>
    <row r="780" spans="2:4">
      <c r="B780" s="25"/>
      <c r="D780" s="25"/>
    </row>
    <row r="781" spans="2:4">
      <c r="B781" s="25"/>
      <c r="D781" s="25"/>
    </row>
    <row r="782" spans="2:4">
      <c r="B782" s="25"/>
      <c r="D782" s="25"/>
    </row>
    <row r="783" spans="2:4">
      <c r="B783" s="25"/>
      <c r="D783" s="25"/>
    </row>
    <row r="784" spans="2:4">
      <c r="B784" s="25"/>
      <c r="D784" s="25"/>
    </row>
    <row r="785" spans="2:4">
      <c r="B785" s="25"/>
      <c r="D785" s="25"/>
    </row>
    <row r="786" spans="2:4">
      <c r="B786" s="25"/>
      <c r="D786" s="25"/>
    </row>
    <row r="787" spans="2:4">
      <c r="B787" s="25"/>
      <c r="D787" s="25"/>
    </row>
    <row r="788" spans="2:4">
      <c r="B788" s="25"/>
      <c r="D788" s="25"/>
    </row>
    <row r="789" spans="2:4">
      <c r="B789" s="25"/>
      <c r="D789" s="25"/>
    </row>
    <row r="790" spans="2:4">
      <c r="B790" s="25"/>
      <c r="D790" s="25"/>
    </row>
    <row r="791" spans="2:4">
      <c r="B791" s="25"/>
      <c r="D791" s="25"/>
    </row>
    <row r="792" spans="2:4">
      <c r="B792" s="25"/>
      <c r="D792" s="25"/>
    </row>
    <row r="793" spans="2:4">
      <c r="B793" s="25"/>
      <c r="D793" s="25"/>
    </row>
    <row r="794" spans="2:4">
      <c r="B794" s="25"/>
    </row>
    <row r="795" spans="2:4">
      <c r="B795" s="25"/>
    </row>
  </sheetData>
  <sheetProtection sheet="1" objects="1" scenarios="1"/>
  <sortState xmlns:xlrd2="http://schemas.microsoft.com/office/spreadsheetml/2017/richdata2" ref="A188:E309">
    <sortCondition ref="A188:A309"/>
  </sortState>
  <mergeCells count="7">
    <mergeCell ref="A105:J105"/>
    <mergeCell ref="D4:H4"/>
    <mergeCell ref="D3:H3"/>
    <mergeCell ref="A1:J1"/>
    <mergeCell ref="A74:J74"/>
    <mergeCell ref="A6:J6"/>
    <mergeCell ref="A103:J103"/>
  </mergeCells>
  <phoneticPr fontId="11" type="noConversion"/>
  <conditionalFormatting sqref="E71">
    <cfRule type="cellIs" dxfId="11" priority="4" operator="equal">
      <formula>0</formula>
    </cfRule>
  </conditionalFormatting>
  <conditionalFormatting sqref="E128">
    <cfRule type="cellIs" dxfId="10" priority="1" operator="equal">
      <formula>0</formula>
    </cfRule>
  </conditionalFormatting>
  <conditionalFormatting sqref="K116">
    <cfRule type="cellIs" dxfId="9" priority="7" stopIfTrue="1" operator="equal">
      <formula>"RCCO E30 MUST EQUAL CI04"</formula>
    </cfRule>
  </conditionalFormatting>
  <dataValidations count="1">
    <dataValidation type="list" allowBlank="1" showInputMessage="1" showErrorMessage="1" sqref="B3" xr:uid="{00000000-0002-0000-0300-000000000000}">
      <formula1>$A$191:$A$314</formula1>
    </dataValidation>
  </dataValidations>
  <printOptions horizontalCentered="1"/>
  <pageMargins left="0.25" right="0.25" top="0.75" bottom="0.75" header="0.3" footer="0.3"/>
  <pageSetup paperSize="9" scale="66" fitToHeight="0" orientation="portrait" r:id="rId1"/>
  <headerFooter alignWithMargins="0">
    <oddFooter>&amp;L&amp;8&amp;P of &amp;N&amp;R&amp;D</oddFooter>
  </headerFooter>
  <rowBreaks count="3" manualBreakCount="3">
    <brk id="32" max="9" man="1"/>
    <brk id="73" max="9" man="1"/>
    <brk id="102"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A981-349C-4366-BE7F-889A39C21FFB}">
  <sheetPr codeName="Sheet12">
    <tabColor rgb="FF339966"/>
    <pageSetUpPr fitToPage="1"/>
  </sheetPr>
  <dimension ref="A1:P687"/>
  <sheetViews>
    <sheetView zoomScaleNormal="100" workbookViewId="0">
      <selection activeCell="F26" sqref="F26"/>
    </sheetView>
  </sheetViews>
  <sheetFormatPr defaultRowHeight="13.2"/>
  <cols>
    <col min="2" max="2" width="25.33203125" customWidth="1"/>
    <col min="4" max="6" width="12.33203125" customWidth="1"/>
    <col min="7" max="8" width="13.33203125" bestFit="1" customWidth="1"/>
    <col min="9" max="9" width="20.5546875" customWidth="1"/>
  </cols>
  <sheetData>
    <row r="1" spans="1:16" ht="14.4">
      <c r="A1" s="332"/>
      <c r="B1" s="331"/>
      <c r="C1" s="331"/>
      <c r="D1" s="331"/>
      <c r="E1" s="331"/>
      <c r="F1" s="331"/>
      <c r="G1" s="331"/>
      <c r="H1" s="331"/>
      <c r="I1" s="331"/>
      <c r="J1" s="323"/>
      <c r="K1" s="323"/>
      <c r="L1" s="323"/>
      <c r="M1" s="323"/>
      <c r="N1" s="323"/>
      <c r="O1" s="323"/>
      <c r="P1" s="323"/>
    </row>
    <row r="2" spans="1:16" ht="14.4">
      <c r="A2" s="329"/>
      <c r="B2" s="329"/>
      <c r="C2" s="329"/>
      <c r="D2" s="330"/>
      <c r="E2" s="330"/>
      <c r="F2" s="330"/>
      <c r="G2" s="330"/>
      <c r="H2" s="330"/>
      <c r="I2" s="329"/>
      <c r="J2" s="323"/>
      <c r="K2" s="323"/>
      <c r="L2" s="323"/>
      <c r="M2" s="323"/>
      <c r="N2" s="323"/>
      <c r="O2" s="323"/>
      <c r="P2" s="323"/>
    </row>
    <row r="3" spans="1:16" ht="14.4">
      <c r="A3" s="329"/>
      <c r="B3" s="329"/>
      <c r="C3" s="329"/>
      <c r="D3" s="330"/>
      <c r="E3" s="330"/>
      <c r="F3" s="330"/>
      <c r="G3" s="330"/>
      <c r="H3" s="330"/>
      <c r="I3" s="329"/>
      <c r="J3" s="323"/>
      <c r="K3" s="323"/>
      <c r="L3" s="323"/>
      <c r="M3" s="323"/>
      <c r="N3" s="323"/>
      <c r="O3" s="323"/>
      <c r="P3" s="323"/>
    </row>
    <row r="4" spans="1:16" ht="14.4">
      <c r="A4" s="329"/>
      <c r="B4" s="329"/>
      <c r="C4" s="329"/>
      <c r="D4" s="330"/>
      <c r="E4" s="330"/>
      <c r="F4" s="330"/>
      <c r="G4" s="330"/>
      <c r="H4" s="330"/>
      <c r="I4" s="329"/>
      <c r="J4" s="323"/>
      <c r="K4" s="323"/>
      <c r="L4" s="323"/>
      <c r="M4" s="323"/>
      <c r="N4" s="323"/>
      <c r="O4" s="323"/>
      <c r="P4" s="323"/>
    </row>
    <row r="5" spans="1:16" ht="14.4">
      <c r="A5" s="329"/>
      <c r="B5" s="329"/>
      <c r="C5" s="329"/>
      <c r="D5" s="330"/>
      <c r="E5" s="330"/>
      <c r="F5" s="330"/>
      <c r="G5" s="330"/>
      <c r="H5" s="330"/>
      <c r="I5" s="329"/>
      <c r="J5" s="323"/>
      <c r="K5" s="323"/>
      <c r="L5" s="323"/>
      <c r="M5" s="323"/>
      <c r="N5" s="323"/>
      <c r="O5" s="323"/>
      <c r="P5" s="323"/>
    </row>
    <row r="6" spans="1:16" ht="14.4">
      <c r="A6" s="329"/>
      <c r="B6" s="329"/>
      <c r="C6" s="329"/>
      <c r="D6" s="330"/>
      <c r="E6" s="330"/>
      <c r="F6" s="330"/>
      <c r="G6" s="330"/>
      <c r="H6" s="330"/>
      <c r="I6" s="329"/>
      <c r="J6" s="323"/>
      <c r="K6" s="323"/>
      <c r="L6" s="323"/>
      <c r="M6" s="323"/>
      <c r="N6" s="323"/>
      <c r="O6" s="323"/>
      <c r="P6" s="323"/>
    </row>
    <row r="7" spans="1:16" ht="14.4">
      <c r="A7" s="329"/>
      <c r="B7" s="329"/>
      <c r="C7" s="329"/>
      <c r="D7" s="330"/>
      <c r="E7" s="330"/>
      <c r="F7" s="330"/>
      <c r="G7" s="330"/>
      <c r="H7" s="330"/>
      <c r="I7" s="329"/>
      <c r="J7" s="323"/>
      <c r="K7" s="323"/>
      <c r="L7" s="323"/>
      <c r="M7" s="323"/>
      <c r="N7" s="323"/>
      <c r="O7" s="323"/>
      <c r="P7" s="323"/>
    </row>
    <row r="8" spans="1:16" ht="14.4">
      <c r="A8" s="329"/>
      <c r="B8" s="329"/>
      <c r="C8" s="329"/>
      <c r="D8" s="330"/>
      <c r="E8" s="330"/>
      <c r="F8" s="330"/>
      <c r="G8" s="330"/>
      <c r="H8" s="330"/>
      <c r="I8" s="329"/>
      <c r="J8" s="323"/>
      <c r="K8" s="323"/>
      <c r="L8" s="323"/>
      <c r="M8" s="323"/>
      <c r="N8" s="323"/>
      <c r="O8" s="323"/>
      <c r="P8" s="323"/>
    </row>
    <row r="9" spans="1:16" ht="14.4">
      <c r="A9" s="329"/>
      <c r="B9" s="329"/>
      <c r="C9" s="329"/>
      <c r="D9" s="330"/>
      <c r="E9" s="330"/>
      <c r="F9" s="330"/>
      <c r="G9" s="330"/>
      <c r="H9" s="330"/>
      <c r="I9" s="329"/>
      <c r="J9" s="323"/>
      <c r="K9" s="323"/>
      <c r="L9" s="323"/>
      <c r="M9" s="323"/>
      <c r="N9" s="323"/>
      <c r="O9" s="323"/>
      <c r="P9" s="323"/>
    </row>
    <row r="10" spans="1:16" ht="14.4">
      <c r="A10" s="329"/>
      <c r="B10" s="329"/>
      <c r="C10" s="329"/>
      <c r="D10" s="330"/>
      <c r="E10" s="330"/>
      <c r="F10" s="330"/>
      <c r="G10" s="330"/>
      <c r="H10" s="330"/>
      <c r="I10" s="329"/>
      <c r="J10" s="323"/>
      <c r="K10" s="323"/>
      <c r="L10" s="323"/>
      <c r="M10" s="323"/>
      <c r="N10" s="323"/>
      <c r="O10" s="323"/>
      <c r="P10" s="323"/>
    </row>
    <row r="11" spans="1:16" ht="14.4">
      <c r="A11" s="329"/>
      <c r="B11" s="329"/>
      <c r="C11" s="329"/>
      <c r="D11" s="330"/>
      <c r="E11" s="330"/>
      <c r="F11" s="330"/>
      <c r="G11" s="330"/>
      <c r="H11" s="330"/>
      <c r="I11" s="329"/>
      <c r="J11" s="323"/>
      <c r="K11" s="323"/>
      <c r="L11" s="323"/>
      <c r="M11" s="323"/>
      <c r="N11" s="323"/>
      <c r="O11" s="323"/>
      <c r="P11" s="323"/>
    </row>
    <row r="12" spans="1:16" ht="14.4">
      <c r="A12" s="329"/>
      <c r="B12" s="329"/>
      <c r="C12" s="329"/>
      <c r="D12" s="330"/>
      <c r="E12" s="330"/>
      <c r="F12" s="330"/>
      <c r="G12" s="330"/>
      <c r="H12" s="330"/>
      <c r="I12" s="329"/>
      <c r="J12" s="323"/>
      <c r="K12" s="323"/>
      <c r="L12" s="323"/>
      <c r="M12" s="323"/>
      <c r="N12" s="323"/>
      <c r="O12" s="323"/>
      <c r="P12" s="323"/>
    </row>
    <row r="13" spans="1:16" ht="14.4">
      <c r="A13" s="329"/>
      <c r="B13" s="329"/>
      <c r="C13" s="329"/>
      <c r="D13" s="330"/>
      <c r="E13" s="330"/>
      <c r="F13" s="330"/>
      <c r="G13" s="330"/>
      <c r="H13" s="330"/>
      <c r="I13" s="329"/>
      <c r="J13" s="323"/>
      <c r="K13" s="323"/>
      <c r="L13" s="323"/>
      <c r="M13" s="323"/>
      <c r="N13" s="323"/>
      <c r="O13" s="323"/>
      <c r="P13" s="323"/>
    </row>
    <row r="14" spans="1:16" ht="14.4">
      <c r="A14" s="329"/>
      <c r="B14" s="329"/>
      <c r="C14" s="329"/>
      <c r="D14" s="330"/>
      <c r="E14" s="330"/>
      <c r="F14" s="330"/>
      <c r="G14" s="330"/>
      <c r="H14" s="330"/>
      <c r="I14" s="329"/>
      <c r="J14" s="323"/>
      <c r="K14" s="323"/>
      <c r="L14" s="323"/>
      <c r="M14" s="323"/>
      <c r="N14" s="323"/>
      <c r="O14" s="323"/>
      <c r="P14" s="323"/>
    </row>
    <row r="15" spans="1:16" ht="14.4">
      <c r="A15" s="329"/>
      <c r="B15" s="329"/>
      <c r="C15" s="329"/>
      <c r="D15" s="330"/>
      <c r="E15" s="330"/>
      <c r="F15" s="330"/>
      <c r="G15" s="330"/>
      <c r="H15" s="330"/>
      <c r="I15" s="329"/>
      <c r="J15" s="323"/>
      <c r="K15" s="323"/>
      <c r="L15" s="323"/>
      <c r="M15" s="323"/>
      <c r="N15" s="323"/>
      <c r="O15" s="323"/>
      <c r="P15" s="323"/>
    </row>
    <row r="16" spans="1:16" ht="14.4">
      <c r="A16" s="329"/>
      <c r="B16" s="329"/>
      <c r="C16" s="329"/>
      <c r="D16" s="330"/>
      <c r="E16" s="330"/>
      <c r="F16" s="330"/>
      <c r="G16" s="330"/>
      <c r="H16" s="330"/>
      <c r="I16" s="329"/>
      <c r="J16" s="323"/>
      <c r="K16" s="323"/>
      <c r="L16" s="323"/>
      <c r="M16" s="323"/>
      <c r="N16" s="323"/>
      <c r="O16" s="323"/>
      <c r="P16" s="323"/>
    </row>
    <row r="17" spans="1:16" ht="14.4">
      <c r="A17" s="329"/>
      <c r="B17" s="329"/>
      <c r="C17" s="329"/>
      <c r="D17" s="330"/>
      <c r="E17" s="330"/>
      <c r="F17" s="330"/>
      <c r="G17" s="330"/>
      <c r="H17" s="330"/>
      <c r="I17" s="329"/>
      <c r="J17" s="323"/>
      <c r="K17" s="323"/>
      <c r="L17" s="323"/>
      <c r="M17" s="323"/>
      <c r="N17" s="323"/>
      <c r="O17" s="323"/>
      <c r="P17" s="323"/>
    </row>
    <row r="18" spans="1:16" ht="14.4">
      <c r="A18" s="329"/>
      <c r="B18" s="329"/>
      <c r="C18" s="329"/>
      <c r="D18" s="330"/>
      <c r="E18" s="330"/>
      <c r="F18" s="330"/>
      <c r="G18" s="330"/>
      <c r="H18" s="330"/>
      <c r="I18" s="329"/>
      <c r="J18" s="323"/>
      <c r="K18" s="323"/>
      <c r="L18" s="323"/>
      <c r="M18" s="323"/>
      <c r="N18" s="323"/>
      <c r="O18" s="323"/>
      <c r="P18" s="323"/>
    </row>
    <row r="19" spans="1:16" ht="14.4">
      <c r="A19" s="329"/>
      <c r="B19" s="329"/>
      <c r="C19" s="329"/>
      <c r="D19" s="330"/>
      <c r="E19" s="330"/>
      <c r="F19" s="330"/>
      <c r="G19" s="330"/>
      <c r="H19" s="330"/>
      <c r="I19" s="329"/>
      <c r="J19" s="323"/>
      <c r="K19" s="323"/>
      <c r="L19" s="323"/>
      <c r="M19" s="323"/>
      <c r="N19" s="323"/>
      <c r="O19" s="323"/>
      <c r="P19" s="323"/>
    </row>
    <row r="20" spans="1:16" ht="14.4">
      <c r="A20" s="329"/>
      <c r="B20" s="329"/>
      <c r="C20" s="329"/>
      <c r="D20" s="330"/>
      <c r="E20" s="330"/>
      <c r="F20" s="330"/>
      <c r="G20" s="330"/>
      <c r="H20" s="330"/>
      <c r="I20" s="329"/>
      <c r="J20" s="323"/>
      <c r="K20" s="323"/>
      <c r="L20" s="323"/>
      <c r="M20" s="323"/>
      <c r="N20" s="323"/>
      <c r="O20" s="323"/>
      <c r="P20" s="323"/>
    </row>
    <row r="21" spans="1:16" ht="14.4">
      <c r="A21" s="329"/>
      <c r="B21" s="329"/>
      <c r="C21" s="329"/>
      <c r="D21" s="330"/>
      <c r="E21" s="330"/>
      <c r="F21" s="330"/>
      <c r="G21" s="330"/>
      <c r="H21" s="330"/>
      <c r="I21" s="329"/>
      <c r="J21" s="323"/>
      <c r="K21" s="323"/>
      <c r="L21" s="323"/>
      <c r="M21" s="323"/>
      <c r="N21" s="323"/>
      <c r="O21" s="323"/>
      <c r="P21" s="323"/>
    </row>
    <row r="22" spans="1:16" ht="14.4">
      <c r="A22" s="329"/>
      <c r="B22" s="329"/>
      <c r="C22" s="329"/>
      <c r="D22" s="330"/>
      <c r="E22" s="330"/>
      <c r="F22" s="330"/>
      <c r="G22" s="330"/>
      <c r="H22" s="330"/>
      <c r="I22" s="329"/>
      <c r="J22" s="323"/>
      <c r="K22" s="323"/>
      <c r="L22" s="323"/>
      <c r="M22" s="323"/>
      <c r="N22" s="323"/>
      <c r="O22" s="323"/>
      <c r="P22" s="323"/>
    </row>
    <row r="23" spans="1:16" ht="14.4">
      <c r="A23" s="329"/>
      <c r="B23" s="329"/>
      <c r="C23" s="329"/>
      <c r="D23" s="330"/>
      <c r="E23" s="330"/>
      <c r="F23" s="330"/>
      <c r="G23" s="330"/>
      <c r="H23" s="330"/>
      <c r="I23" s="329"/>
      <c r="J23" s="323"/>
      <c r="K23" s="323"/>
      <c r="L23" s="323"/>
      <c r="M23" s="323"/>
      <c r="N23" s="323"/>
      <c r="O23" s="323"/>
      <c r="P23" s="323"/>
    </row>
    <row r="24" spans="1:16" ht="14.4">
      <c r="A24" s="329"/>
      <c r="B24" s="329"/>
      <c r="C24" s="329"/>
      <c r="D24" s="330"/>
      <c r="E24" s="330"/>
      <c r="F24" s="330"/>
      <c r="G24" s="330"/>
      <c r="H24" s="330"/>
      <c r="I24" s="329"/>
      <c r="J24" s="323"/>
      <c r="K24" s="323"/>
      <c r="L24" s="323"/>
      <c r="M24" s="323"/>
      <c r="N24" s="323"/>
      <c r="O24" s="323"/>
      <c r="P24" s="323"/>
    </row>
    <row r="25" spans="1:16" ht="14.4">
      <c r="A25" s="329"/>
      <c r="B25" s="329"/>
      <c r="C25" s="329"/>
      <c r="D25" s="330"/>
      <c r="E25" s="330"/>
      <c r="F25" s="330"/>
      <c r="G25" s="330"/>
      <c r="H25" s="330"/>
      <c r="I25" s="329"/>
      <c r="J25" s="323"/>
      <c r="K25" s="323"/>
      <c r="L25" s="323"/>
      <c r="M25" s="323"/>
      <c r="N25" s="323"/>
      <c r="O25" s="323"/>
      <c r="P25" s="323"/>
    </row>
    <row r="26" spans="1:16" ht="14.4">
      <c r="A26" s="329"/>
      <c r="B26" s="329"/>
      <c r="C26" s="329"/>
      <c r="D26" s="330"/>
      <c r="E26" s="330"/>
      <c r="F26" s="330"/>
      <c r="G26" s="330"/>
      <c r="H26" s="330"/>
      <c r="I26" s="329"/>
      <c r="J26" s="323"/>
      <c r="K26" s="323"/>
      <c r="L26" s="323"/>
      <c r="M26" s="323"/>
      <c r="N26" s="323"/>
      <c r="O26" s="323"/>
      <c r="P26" s="323"/>
    </row>
    <row r="27" spans="1:16" ht="14.4">
      <c r="A27" s="329"/>
      <c r="B27" s="329"/>
      <c r="C27" s="329"/>
      <c r="D27" s="330"/>
      <c r="E27" s="330"/>
      <c r="F27" s="330"/>
      <c r="G27" s="330"/>
      <c r="H27" s="330"/>
      <c r="I27" s="329"/>
      <c r="J27" s="323"/>
      <c r="K27" s="323"/>
      <c r="L27" s="323"/>
      <c r="M27" s="323"/>
      <c r="N27" s="323"/>
      <c r="O27" s="323"/>
      <c r="P27" s="323"/>
    </row>
    <row r="28" spans="1:16" ht="14.4">
      <c r="A28" s="329"/>
      <c r="B28" s="329"/>
      <c r="C28" s="329"/>
      <c r="D28" s="330"/>
      <c r="E28" s="330"/>
      <c r="F28" s="330"/>
      <c r="G28" s="330"/>
      <c r="H28" s="330"/>
      <c r="I28" s="329"/>
      <c r="J28" s="323"/>
      <c r="K28" s="323"/>
      <c r="L28" s="323"/>
      <c r="M28" s="323"/>
      <c r="N28" s="323"/>
      <c r="O28" s="323"/>
      <c r="P28" s="323"/>
    </row>
    <row r="29" spans="1:16" ht="14.4">
      <c r="A29" s="329"/>
      <c r="B29" s="329"/>
      <c r="C29" s="329"/>
      <c r="D29" s="330"/>
      <c r="E29" s="330"/>
      <c r="F29" s="330"/>
      <c r="G29" s="330"/>
      <c r="H29" s="330"/>
      <c r="I29" s="329"/>
      <c r="J29" s="323"/>
      <c r="K29" s="323"/>
      <c r="L29" s="323"/>
      <c r="M29" s="323"/>
      <c r="N29" s="323"/>
      <c r="O29" s="323"/>
      <c r="P29" s="323"/>
    </row>
    <row r="30" spans="1:16" ht="14.4">
      <c r="A30" s="329"/>
      <c r="B30" s="329"/>
      <c r="C30" s="329"/>
      <c r="D30" s="330"/>
      <c r="E30" s="330"/>
      <c r="F30" s="330"/>
      <c r="G30" s="330"/>
      <c r="H30" s="330"/>
      <c r="I30" s="329"/>
      <c r="J30" s="323"/>
      <c r="K30" s="323"/>
      <c r="L30" s="323"/>
      <c r="M30" s="323"/>
      <c r="N30" s="323"/>
      <c r="O30" s="323"/>
      <c r="P30" s="323"/>
    </row>
    <row r="31" spans="1:16" ht="14.4">
      <c r="A31" s="329"/>
      <c r="B31" s="329"/>
      <c r="C31" s="329"/>
      <c r="D31" s="330"/>
      <c r="E31" s="330"/>
      <c r="F31" s="330"/>
      <c r="G31" s="330"/>
      <c r="H31" s="330"/>
      <c r="I31" s="329"/>
      <c r="J31" s="323"/>
      <c r="K31" s="323"/>
      <c r="L31" s="323"/>
      <c r="M31" s="323"/>
      <c r="N31" s="323"/>
      <c r="O31" s="323"/>
      <c r="P31" s="323"/>
    </row>
    <row r="32" spans="1:16" ht="14.4">
      <c r="A32" s="329"/>
      <c r="B32" s="329"/>
      <c r="C32" s="329"/>
      <c r="D32" s="330"/>
      <c r="E32" s="330"/>
      <c r="F32" s="330"/>
      <c r="G32" s="330"/>
      <c r="H32" s="330"/>
      <c r="I32" s="329"/>
      <c r="J32" s="323"/>
      <c r="K32" s="323"/>
      <c r="L32" s="323"/>
      <c r="M32" s="323"/>
      <c r="N32" s="323"/>
      <c r="O32" s="323"/>
      <c r="P32" s="323"/>
    </row>
    <row r="33" spans="1:16" ht="14.4">
      <c r="A33" s="329"/>
      <c r="B33" s="329"/>
      <c r="C33" s="329"/>
      <c r="D33" s="330"/>
      <c r="E33" s="330"/>
      <c r="F33" s="330"/>
      <c r="G33" s="330"/>
      <c r="H33" s="330"/>
      <c r="I33" s="329"/>
      <c r="J33" s="323"/>
      <c r="K33" s="323"/>
      <c r="L33" s="323"/>
      <c r="M33" s="323"/>
      <c r="N33" s="323"/>
      <c r="O33" s="323"/>
      <c r="P33" s="323"/>
    </row>
    <row r="34" spans="1:16" ht="14.4">
      <c r="A34" s="329"/>
      <c r="B34" s="329"/>
      <c r="C34" s="329"/>
      <c r="D34" s="330"/>
      <c r="E34" s="330"/>
      <c r="F34" s="330"/>
      <c r="G34" s="330"/>
      <c r="H34" s="330"/>
      <c r="I34" s="329"/>
      <c r="J34" s="323"/>
      <c r="K34" s="323"/>
      <c r="L34" s="323"/>
      <c r="M34" s="323"/>
      <c r="N34" s="323"/>
      <c r="O34" s="323"/>
      <c r="P34" s="323"/>
    </row>
    <row r="35" spans="1:16" ht="14.4">
      <c r="A35" s="329"/>
      <c r="B35" s="329"/>
      <c r="C35" s="329"/>
      <c r="D35" s="330"/>
      <c r="E35" s="330"/>
      <c r="F35" s="330"/>
      <c r="G35" s="330"/>
      <c r="H35" s="330"/>
      <c r="I35" s="329"/>
      <c r="J35" s="323"/>
      <c r="K35" s="323"/>
      <c r="L35" s="323"/>
      <c r="M35" s="323"/>
      <c r="N35" s="323"/>
      <c r="O35" s="323"/>
      <c r="P35" s="323"/>
    </row>
    <row r="36" spans="1:16" ht="14.4">
      <c r="A36" s="329"/>
      <c r="B36" s="329"/>
      <c r="C36" s="329"/>
      <c r="D36" s="330"/>
      <c r="E36" s="330"/>
      <c r="F36" s="330"/>
      <c r="G36" s="330"/>
      <c r="H36" s="330"/>
      <c r="I36" s="329"/>
      <c r="J36" s="323"/>
      <c r="K36" s="323"/>
      <c r="L36" s="323"/>
      <c r="M36" s="323"/>
      <c r="N36" s="323"/>
      <c r="O36" s="323"/>
      <c r="P36" s="323"/>
    </row>
    <row r="37" spans="1:16" ht="14.4">
      <c r="A37" s="329"/>
      <c r="B37" s="329"/>
      <c r="C37" s="329"/>
      <c r="D37" s="330"/>
      <c r="E37" s="330"/>
      <c r="F37" s="330"/>
      <c r="G37" s="330"/>
      <c r="H37" s="330"/>
      <c r="I37" s="329"/>
      <c r="J37" s="323"/>
      <c r="K37" s="323"/>
      <c r="L37" s="323"/>
      <c r="M37" s="323"/>
      <c r="N37" s="323"/>
      <c r="O37" s="323"/>
      <c r="P37" s="323"/>
    </row>
    <row r="38" spans="1:16" ht="14.4">
      <c r="A38" s="329"/>
      <c r="B38" s="329"/>
      <c r="C38" s="329"/>
      <c r="D38" s="330"/>
      <c r="E38" s="330"/>
      <c r="F38" s="330"/>
      <c r="G38" s="330"/>
      <c r="H38" s="330"/>
      <c r="I38" s="329"/>
      <c r="J38" s="323"/>
      <c r="K38" s="323"/>
      <c r="L38" s="323"/>
      <c r="M38" s="323"/>
      <c r="N38" s="323"/>
      <c r="O38" s="323"/>
      <c r="P38" s="323"/>
    </row>
    <row r="39" spans="1:16" ht="14.4">
      <c r="A39" s="329"/>
      <c r="B39" s="329"/>
      <c r="C39" s="329"/>
      <c r="D39" s="330"/>
      <c r="E39" s="330"/>
      <c r="F39" s="330"/>
      <c r="G39" s="330"/>
      <c r="H39" s="330"/>
      <c r="I39" s="329"/>
      <c r="J39" s="323"/>
      <c r="K39" s="323"/>
      <c r="L39" s="323"/>
      <c r="M39" s="323"/>
      <c r="N39" s="323"/>
      <c r="O39" s="323"/>
      <c r="P39" s="323"/>
    </row>
    <row r="40" spans="1:16" ht="14.4">
      <c r="A40" s="329"/>
      <c r="B40" s="329"/>
      <c r="C40" s="329"/>
      <c r="D40" s="330"/>
      <c r="E40" s="330"/>
      <c r="F40" s="330"/>
      <c r="G40" s="330"/>
      <c r="H40" s="330"/>
      <c r="I40" s="329"/>
      <c r="J40" s="323"/>
      <c r="K40" s="323"/>
      <c r="L40" s="323"/>
      <c r="M40" s="323"/>
      <c r="N40" s="323"/>
      <c r="O40" s="323"/>
      <c r="P40" s="323"/>
    </row>
    <row r="41" spans="1:16" ht="14.4">
      <c r="A41" s="329"/>
      <c r="B41" s="329"/>
      <c r="C41" s="329"/>
      <c r="D41" s="330"/>
      <c r="E41" s="330"/>
      <c r="F41" s="330"/>
      <c r="G41" s="330"/>
      <c r="H41" s="330"/>
      <c r="I41" s="329"/>
      <c r="J41" s="323"/>
      <c r="K41" s="323"/>
      <c r="L41" s="323"/>
      <c r="M41" s="323"/>
      <c r="N41" s="323"/>
      <c r="O41" s="323"/>
      <c r="P41" s="323"/>
    </row>
    <row r="42" spans="1:16" ht="14.4">
      <c r="A42" s="329"/>
      <c r="B42" s="329"/>
      <c r="C42" s="329"/>
      <c r="D42" s="330"/>
      <c r="E42" s="330"/>
      <c r="F42" s="330"/>
      <c r="G42" s="330"/>
      <c r="H42" s="330"/>
      <c r="I42" s="329"/>
      <c r="J42" s="323"/>
      <c r="K42" s="323"/>
      <c r="L42" s="323"/>
      <c r="M42" s="323"/>
      <c r="N42" s="323"/>
      <c r="O42" s="323"/>
      <c r="P42" s="323"/>
    </row>
    <row r="43" spans="1:16" ht="14.4">
      <c r="A43" s="329"/>
      <c r="B43" s="329"/>
      <c r="C43" s="329"/>
      <c r="D43" s="330"/>
      <c r="E43" s="330"/>
      <c r="F43" s="330"/>
      <c r="G43" s="330"/>
      <c r="H43" s="330"/>
      <c r="I43" s="329"/>
      <c r="J43" s="323"/>
      <c r="K43" s="323"/>
      <c r="L43" s="323"/>
      <c r="M43" s="323"/>
      <c r="N43" s="323"/>
      <c r="O43" s="323"/>
      <c r="P43" s="323"/>
    </row>
    <row r="44" spans="1:16" ht="14.4">
      <c r="A44" s="329"/>
      <c r="B44" s="329"/>
      <c r="C44" s="329"/>
      <c r="D44" s="330"/>
      <c r="E44" s="330"/>
      <c r="F44" s="330"/>
      <c r="G44" s="330"/>
      <c r="H44" s="330"/>
      <c r="I44" s="329"/>
      <c r="J44" s="323"/>
      <c r="K44" s="323"/>
      <c r="L44" s="323"/>
      <c r="M44" s="323"/>
      <c r="N44" s="323"/>
      <c r="O44" s="323"/>
      <c r="P44" s="323"/>
    </row>
    <row r="45" spans="1:16" ht="14.4">
      <c r="A45" s="329"/>
      <c r="B45" s="329"/>
      <c r="C45" s="329"/>
      <c r="D45" s="330"/>
      <c r="E45" s="330"/>
      <c r="F45" s="330"/>
      <c r="G45" s="330"/>
      <c r="H45" s="330"/>
      <c r="I45" s="329"/>
      <c r="J45" s="323"/>
      <c r="K45" s="323"/>
      <c r="L45" s="323"/>
      <c r="M45" s="323"/>
      <c r="N45" s="323"/>
      <c r="O45" s="323"/>
      <c r="P45" s="323"/>
    </row>
    <row r="46" spans="1:16" ht="14.4">
      <c r="A46" s="329"/>
      <c r="B46" s="329"/>
      <c r="C46" s="329"/>
      <c r="D46" s="330"/>
      <c r="E46" s="330"/>
      <c r="F46" s="330"/>
      <c r="G46" s="330"/>
      <c r="H46" s="330"/>
      <c r="I46" s="329"/>
      <c r="J46" s="323"/>
      <c r="K46" s="323"/>
      <c r="L46" s="323"/>
      <c r="M46" s="323"/>
      <c r="N46" s="323"/>
      <c r="O46" s="323"/>
      <c r="P46" s="323"/>
    </row>
    <row r="47" spans="1:16" ht="14.4">
      <c r="A47" s="329"/>
      <c r="B47" s="329"/>
      <c r="C47" s="329"/>
      <c r="D47" s="330"/>
      <c r="E47" s="330"/>
      <c r="F47" s="330"/>
      <c r="G47" s="330"/>
      <c r="H47" s="330"/>
      <c r="I47" s="329"/>
      <c r="J47" s="323"/>
      <c r="K47" s="323"/>
      <c r="L47" s="323"/>
      <c r="M47" s="323"/>
      <c r="N47" s="323"/>
      <c r="O47" s="323"/>
      <c r="P47" s="323"/>
    </row>
    <row r="48" spans="1:16" ht="14.4">
      <c r="A48" s="329"/>
      <c r="B48" s="329"/>
      <c r="C48" s="329"/>
      <c r="D48" s="330"/>
      <c r="E48" s="330"/>
      <c r="F48" s="330"/>
      <c r="G48" s="330"/>
      <c r="H48" s="330"/>
      <c r="I48" s="329"/>
      <c r="J48" s="323"/>
      <c r="K48" s="323"/>
      <c r="L48" s="323"/>
      <c r="M48" s="323"/>
      <c r="N48" s="323"/>
      <c r="O48" s="323"/>
      <c r="P48" s="323"/>
    </row>
    <row r="49" spans="1:16" ht="14.4">
      <c r="A49" s="329"/>
      <c r="B49" s="329"/>
      <c r="C49" s="329"/>
      <c r="D49" s="330"/>
      <c r="E49" s="330"/>
      <c r="F49" s="330"/>
      <c r="G49" s="330"/>
      <c r="H49" s="330"/>
      <c r="I49" s="329"/>
      <c r="J49" s="323"/>
      <c r="K49" s="323"/>
      <c r="L49" s="323"/>
      <c r="M49" s="323"/>
      <c r="N49" s="323"/>
      <c r="O49" s="323"/>
      <c r="P49" s="323"/>
    </row>
    <row r="50" spans="1:16" ht="14.4">
      <c r="A50" s="329"/>
      <c r="B50" s="329"/>
      <c r="C50" s="329"/>
      <c r="D50" s="330"/>
      <c r="E50" s="330"/>
      <c r="F50" s="330"/>
      <c r="G50" s="330"/>
      <c r="H50" s="330"/>
      <c r="I50" s="329"/>
      <c r="J50" s="323"/>
      <c r="K50" s="323"/>
      <c r="L50" s="323"/>
      <c r="M50" s="323"/>
      <c r="N50" s="323"/>
      <c r="O50" s="323"/>
      <c r="P50" s="323"/>
    </row>
    <row r="51" spans="1:16" ht="14.4">
      <c r="A51" s="329"/>
      <c r="B51" s="329"/>
      <c r="C51" s="329"/>
      <c r="D51" s="330"/>
      <c r="E51" s="330"/>
      <c r="F51" s="330"/>
      <c r="G51" s="330"/>
      <c r="H51" s="330"/>
      <c r="I51" s="329"/>
      <c r="J51" s="323"/>
      <c r="K51" s="323"/>
      <c r="L51" s="323"/>
      <c r="M51" s="323"/>
      <c r="N51" s="323"/>
      <c r="O51" s="323"/>
      <c r="P51" s="323"/>
    </row>
    <row r="52" spans="1:16" ht="14.4">
      <c r="A52" s="329"/>
      <c r="B52" s="329"/>
      <c r="C52" s="329"/>
      <c r="D52" s="330"/>
      <c r="E52" s="330"/>
      <c r="F52" s="330"/>
      <c r="G52" s="330"/>
      <c r="H52" s="330"/>
      <c r="I52" s="329"/>
      <c r="J52" s="323"/>
      <c r="K52" s="323"/>
      <c r="L52" s="323"/>
      <c r="M52" s="323"/>
      <c r="N52" s="323"/>
      <c r="O52" s="323"/>
      <c r="P52" s="323"/>
    </row>
    <row r="53" spans="1:16" ht="14.4">
      <c r="A53" s="329"/>
      <c r="B53" s="329"/>
      <c r="C53" s="329"/>
      <c r="D53" s="330"/>
      <c r="E53" s="330"/>
      <c r="F53" s="330"/>
      <c r="G53" s="330"/>
      <c r="H53" s="330"/>
      <c r="I53" s="329"/>
      <c r="J53" s="323"/>
      <c r="K53" s="323"/>
      <c r="L53" s="323"/>
      <c r="M53" s="323"/>
      <c r="N53" s="323"/>
      <c r="O53" s="323"/>
      <c r="P53" s="323"/>
    </row>
    <row r="54" spans="1:16" ht="14.4">
      <c r="A54" s="329"/>
      <c r="B54" s="329"/>
      <c r="C54" s="329"/>
      <c r="D54" s="330"/>
      <c r="E54" s="330"/>
      <c r="F54" s="330"/>
      <c r="G54" s="330"/>
      <c r="H54" s="330"/>
      <c r="I54" s="329"/>
      <c r="J54" s="323"/>
      <c r="K54" s="323"/>
      <c r="L54" s="323"/>
      <c r="M54" s="323"/>
      <c r="N54" s="323"/>
      <c r="O54" s="323"/>
      <c r="P54" s="323"/>
    </row>
    <row r="55" spans="1:16" ht="14.4">
      <c r="A55" s="329"/>
      <c r="B55" s="329"/>
      <c r="C55" s="329"/>
      <c r="D55" s="330"/>
      <c r="E55" s="330"/>
      <c r="F55" s="330"/>
      <c r="G55" s="330"/>
      <c r="H55" s="330"/>
      <c r="I55" s="329"/>
      <c r="J55" s="323"/>
      <c r="K55" s="323"/>
      <c r="L55" s="323"/>
      <c r="M55" s="323"/>
      <c r="N55" s="323"/>
      <c r="O55" s="323"/>
      <c r="P55" s="323"/>
    </row>
    <row r="56" spans="1:16" ht="14.4">
      <c r="A56" s="329"/>
      <c r="B56" s="329"/>
      <c r="C56" s="329"/>
      <c r="D56" s="330"/>
      <c r="E56" s="330"/>
      <c r="F56" s="330"/>
      <c r="G56" s="330"/>
      <c r="H56" s="330"/>
      <c r="I56" s="329"/>
      <c r="J56" s="323"/>
      <c r="K56" s="323"/>
      <c r="L56" s="323"/>
      <c r="M56" s="323"/>
      <c r="N56" s="323"/>
      <c r="O56" s="323"/>
      <c r="P56" s="323"/>
    </row>
    <row r="57" spans="1:16" ht="14.4">
      <c r="A57" s="329"/>
      <c r="B57" s="329"/>
      <c r="C57" s="329"/>
      <c r="D57" s="330"/>
      <c r="E57" s="330"/>
      <c r="F57" s="330"/>
      <c r="G57" s="330"/>
      <c r="H57" s="330"/>
      <c r="I57" s="329"/>
      <c r="J57" s="323"/>
      <c r="K57" s="323"/>
      <c r="L57" s="323"/>
      <c r="M57" s="323"/>
      <c r="N57" s="323"/>
      <c r="O57" s="323"/>
      <c r="P57" s="323"/>
    </row>
    <row r="58" spans="1:16" ht="14.4">
      <c r="A58" s="329"/>
      <c r="B58" s="329"/>
      <c r="C58" s="329"/>
      <c r="D58" s="330"/>
      <c r="E58" s="330"/>
      <c r="F58" s="330"/>
      <c r="G58" s="330"/>
      <c r="H58" s="330"/>
      <c r="I58" s="329"/>
      <c r="J58" s="323"/>
      <c r="K58" s="323"/>
      <c r="L58" s="323"/>
      <c r="M58" s="323"/>
      <c r="N58" s="323"/>
      <c r="O58" s="323"/>
      <c r="P58" s="323"/>
    </row>
    <row r="59" spans="1:16" ht="14.4">
      <c r="A59" s="329"/>
      <c r="B59" s="329"/>
      <c r="C59" s="329"/>
      <c r="D59" s="330"/>
      <c r="E59" s="330"/>
      <c r="F59" s="330"/>
      <c r="G59" s="330"/>
      <c r="H59" s="330"/>
      <c r="I59" s="329"/>
      <c r="J59" s="323"/>
      <c r="K59" s="323"/>
      <c r="L59" s="323"/>
      <c r="M59" s="323"/>
      <c r="N59" s="323"/>
      <c r="O59" s="323"/>
      <c r="P59" s="323"/>
    </row>
    <row r="60" spans="1:16" ht="14.4">
      <c r="A60" s="329"/>
      <c r="B60" s="329"/>
      <c r="C60" s="329"/>
      <c r="D60" s="330"/>
      <c r="E60" s="330"/>
      <c r="F60" s="330"/>
      <c r="G60" s="330"/>
      <c r="H60" s="330"/>
      <c r="I60" s="329"/>
      <c r="J60" s="323"/>
      <c r="K60" s="323"/>
      <c r="L60" s="323"/>
      <c r="M60" s="323"/>
      <c r="N60" s="323"/>
      <c r="O60" s="323"/>
      <c r="P60" s="323"/>
    </row>
    <row r="61" spans="1:16" ht="14.4">
      <c r="A61" s="329"/>
      <c r="B61" s="329"/>
      <c r="C61" s="329"/>
      <c r="D61" s="330"/>
      <c r="E61" s="330"/>
      <c r="F61" s="330"/>
      <c r="G61" s="330"/>
      <c r="H61" s="330"/>
      <c r="I61" s="329"/>
      <c r="J61" s="323"/>
      <c r="K61" s="323"/>
      <c r="L61" s="323"/>
      <c r="M61" s="323"/>
      <c r="N61" s="323"/>
      <c r="O61" s="323"/>
      <c r="P61" s="323"/>
    </row>
    <row r="62" spans="1:16" ht="14.4">
      <c r="A62" s="329"/>
      <c r="B62" s="329"/>
      <c r="C62" s="329"/>
      <c r="D62" s="330"/>
      <c r="E62" s="330"/>
      <c r="F62" s="330"/>
      <c r="G62" s="330"/>
      <c r="H62" s="330"/>
      <c r="I62" s="329"/>
      <c r="J62" s="323"/>
      <c r="K62" s="323"/>
      <c r="L62" s="323"/>
      <c r="M62" s="323"/>
      <c r="N62" s="323"/>
      <c r="O62" s="323"/>
      <c r="P62" s="323"/>
    </row>
    <row r="63" spans="1:16" ht="14.4">
      <c r="A63" s="329"/>
      <c r="B63" s="329"/>
      <c r="C63" s="329"/>
      <c r="D63" s="330"/>
      <c r="E63" s="330"/>
      <c r="F63" s="330"/>
      <c r="G63" s="330"/>
      <c r="H63" s="330"/>
      <c r="I63" s="329"/>
      <c r="J63" s="323"/>
      <c r="K63" s="323"/>
      <c r="L63" s="323"/>
      <c r="M63" s="323"/>
      <c r="N63" s="323"/>
      <c r="O63" s="323"/>
      <c r="P63" s="323"/>
    </row>
    <row r="64" spans="1:16" ht="14.4">
      <c r="A64" s="329"/>
      <c r="B64" s="329"/>
      <c r="C64" s="329"/>
      <c r="D64" s="330"/>
      <c r="E64" s="330"/>
      <c r="F64" s="330"/>
      <c r="G64" s="330"/>
      <c r="H64" s="330"/>
      <c r="I64" s="329"/>
      <c r="J64" s="323"/>
      <c r="K64" s="323"/>
      <c r="L64" s="323"/>
      <c r="M64" s="323"/>
      <c r="N64" s="323"/>
      <c r="O64" s="323"/>
      <c r="P64" s="323"/>
    </row>
    <row r="65" spans="1:16" ht="14.4">
      <c r="A65" s="329"/>
      <c r="B65" s="329"/>
      <c r="C65" s="329"/>
      <c r="D65" s="330"/>
      <c r="E65" s="330"/>
      <c r="F65" s="330"/>
      <c r="G65" s="330"/>
      <c r="H65" s="330"/>
      <c r="I65" s="329"/>
      <c r="J65" s="323"/>
      <c r="K65" s="323"/>
      <c r="L65" s="323"/>
      <c r="M65" s="323"/>
      <c r="N65" s="323"/>
      <c r="O65" s="323"/>
      <c r="P65" s="323"/>
    </row>
    <row r="66" spans="1:16" ht="14.4">
      <c r="A66" s="329"/>
      <c r="B66" s="329"/>
      <c r="C66" s="329"/>
      <c r="D66" s="330"/>
      <c r="E66" s="330"/>
      <c r="F66" s="330"/>
      <c r="G66" s="330"/>
      <c r="H66" s="330"/>
      <c r="I66" s="329"/>
      <c r="J66" s="323"/>
      <c r="K66" s="323"/>
      <c r="L66" s="323"/>
      <c r="M66" s="323"/>
      <c r="N66" s="323"/>
      <c r="O66" s="323"/>
      <c r="P66" s="323"/>
    </row>
    <row r="67" spans="1:16" ht="14.4">
      <c r="A67" s="329"/>
      <c r="B67" s="329"/>
      <c r="C67" s="329"/>
      <c r="D67" s="330"/>
      <c r="E67" s="330"/>
      <c r="F67" s="330"/>
      <c r="G67" s="330"/>
      <c r="H67" s="330"/>
      <c r="I67" s="329"/>
      <c r="J67" s="323"/>
      <c r="K67" s="323"/>
      <c r="L67" s="323"/>
      <c r="M67" s="323"/>
      <c r="N67" s="323"/>
      <c r="O67" s="323"/>
      <c r="P67" s="323"/>
    </row>
    <row r="68" spans="1:16" ht="14.4">
      <c r="A68" s="329"/>
      <c r="B68" s="329"/>
      <c r="C68" s="329"/>
      <c r="D68" s="330"/>
      <c r="E68" s="330"/>
      <c r="F68" s="330"/>
      <c r="G68" s="330"/>
      <c r="H68" s="330"/>
      <c r="I68" s="329"/>
      <c r="J68" s="323"/>
      <c r="K68" s="323"/>
      <c r="L68" s="323"/>
      <c r="M68" s="323"/>
      <c r="N68" s="323"/>
      <c r="O68" s="323"/>
      <c r="P68" s="323"/>
    </row>
    <row r="69" spans="1:16" ht="14.4">
      <c r="A69" s="329"/>
      <c r="B69" s="329"/>
      <c r="C69" s="329"/>
      <c r="D69" s="330"/>
      <c r="E69" s="330"/>
      <c r="F69" s="330"/>
      <c r="G69" s="330"/>
      <c r="H69" s="330"/>
      <c r="I69" s="329"/>
      <c r="J69" s="323"/>
      <c r="K69" s="323"/>
      <c r="L69" s="323"/>
      <c r="M69" s="323"/>
      <c r="N69" s="323"/>
      <c r="O69" s="323"/>
      <c r="P69" s="323"/>
    </row>
    <row r="70" spans="1:16" ht="14.4">
      <c r="A70" s="329"/>
      <c r="B70" s="329"/>
      <c r="C70" s="329"/>
      <c r="D70" s="330"/>
      <c r="E70" s="330"/>
      <c r="F70" s="330"/>
      <c r="G70" s="330"/>
      <c r="H70" s="330"/>
      <c r="I70" s="329"/>
      <c r="J70" s="323"/>
      <c r="K70" s="323"/>
      <c r="L70" s="323"/>
      <c r="M70" s="323"/>
      <c r="N70" s="323"/>
      <c r="O70" s="323"/>
      <c r="P70" s="323"/>
    </row>
    <row r="71" spans="1:16" ht="14.4">
      <c r="A71" s="329"/>
      <c r="B71" s="329"/>
      <c r="C71" s="329"/>
      <c r="D71" s="330"/>
      <c r="E71" s="330"/>
      <c r="F71" s="330"/>
      <c r="G71" s="330"/>
      <c r="H71" s="330"/>
      <c r="I71" s="329"/>
      <c r="J71" s="323"/>
      <c r="K71" s="323"/>
      <c r="L71" s="323"/>
      <c r="M71" s="323"/>
      <c r="N71" s="323"/>
      <c r="O71" s="323"/>
      <c r="P71" s="323"/>
    </row>
    <row r="72" spans="1:16" ht="14.4">
      <c r="A72" s="329"/>
      <c r="B72" s="329"/>
      <c r="C72" s="329"/>
      <c r="D72" s="330"/>
      <c r="E72" s="330"/>
      <c r="F72" s="330"/>
      <c r="G72" s="330"/>
      <c r="H72" s="330"/>
      <c r="I72" s="329"/>
      <c r="J72" s="323"/>
      <c r="K72" s="323"/>
      <c r="L72" s="323"/>
      <c r="M72" s="323"/>
      <c r="N72" s="323"/>
      <c r="O72" s="323"/>
      <c r="P72" s="323"/>
    </row>
    <row r="73" spans="1:16" ht="14.4">
      <c r="A73" s="329"/>
      <c r="B73" s="329"/>
      <c r="C73" s="329"/>
      <c r="D73" s="330"/>
      <c r="E73" s="330"/>
      <c r="F73" s="330"/>
      <c r="G73" s="330"/>
      <c r="H73" s="330"/>
      <c r="I73" s="329"/>
      <c r="J73" s="323"/>
      <c r="K73" s="323"/>
      <c r="L73" s="323"/>
      <c r="M73" s="323"/>
      <c r="N73" s="323"/>
      <c r="O73" s="323"/>
      <c r="P73" s="323"/>
    </row>
    <row r="74" spans="1:16" ht="14.4">
      <c r="A74" s="329"/>
      <c r="B74" s="329"/>
      <c r="C74" s="329"/>
      <c r="D74" s="330"/>
      <c r="E74" s="330"/>
      <c r="F74" s="330"/>
      <c r="G74" s="330"/>
      <c r="H74" s="330"/>
      <c r="I74" s="329"/>
      <c r="J74" s="323"/>
      <c r="K74" s="323"/>
      <c r="L74" s="323"/>
      <c r="M74" s="323"/>
      <c r="N74" s="323"/>
      <c r="O74" s="323"/>
      <c r="P74" s="323"/>
    </row>
    <row r="75" spans="1:16" ht="14.4">
      <c r="A75" s="329"/>
      <c r="B75" s="329"/>
      <c r="C75" s="329"/>
      <c r="D75" s="330"/>
      <c r="E75" s="330"/>
      <c r="F75" s="330"/>
      <c r="G75" s="330"/>
      <c r="H75" s="330"/>
      <c r="I75" s="329"/>
      <c r="J75" s="323"/>
      <c r="K75" s="323"/>
      <c r="L75" s="323"/>
      <c r="M75" s="323"/>
      <c r="N75" s="323"/>
      <c r="O75" s="323"/>
      <c r="P75" s="323"/>
    </row>
    <row r="76" spans="1:16" ht="14.4">
      <c r="A76" s="329"/>
      <c r="B76" s="329"/>
      <c r="C76" s="329"/>
      <c r="D76" s="330"/>
      <c r="E76" s="330"/>
      <c r="F76" s="330"/>
      <c r="G76" s="330"/>
      <c r="H76" s="330"/>
      <c r="I76" s="329"/>
      <c r="J76" s="323"/>
      <c r="K76" s="323"/>
      <c r="L76" s="323"/>
      <c r="M76" s="323"/>
      <c r="N76" s="323"/>
      <c r="O76" s="323"/>
      <c r="P76" s="323"/>
    </row>
    <row r="77" spans="1:16" ht="14.4">
      <c r="A77" s="329"/>
      <c r="B77" s="329"/>
      <c r="C77" s="329"/>
      <c r="D77" s="330"/>
      <c r="E77" s="330"/>
      <c r="F77" s="330"/>
      <c r="G77" s="330"/>
      <c r="H77" s="330"/>
      <c r="I77" s="329"/>
      <c r="J77" s="323"/>
      <c r="K77" s="323"/>
      <c r="L77" s="323"/>
      <c r="M77" s="323"/>
      <c r="N77" s="323"/>
      <c r="O77" s="323"/>
      <c r="P77" s="323"/>
    </row>
    <row r="78" spans="1:16" ht="14.4">
      <c r="A78" s="329"/>
      <c r="B78" s="329"/>
      <c r="C78" s="329"/>
      <c r="D78" s="330"/>
      <c r="E78" s="330"/>
      <c r="F78" s="330"/>
      <c r="G78" s="330"/>
      <c r="H78" s="330"/>
      <c r="I78" s="329"/>
      <c r="J78" s="323"/>
      <c r="K78" s="323"/>
      <c r="L78" s="323"/>
      <c r="M78" s="323"/>
      <c r="N78" s="323"/>
      <c r="O78" s="323"/>
      <c r="P78" s="323"/>
    </row>
    <row r="79" spans="1:16" ht="14.4">
      <c r="A79" s="329"/>
      <c r="B79" s="329"/>
      <c r="C79" s="329"/>
      <c r="D79" s="330"/>
      <c r="E79" s="330"/>
      <c r="F79" s="330"/>
      <c r="G79" s="330"/>
      <c r="H79" s="330"/>
      <c r="I79" s="329"/>
      <c r="J79" s="323"/>
      <c r="K79" s="323"/>
      <c r="L79" s="323"/>
      <c r="M79" s="323"/>
      <c r="N79" s="323"/>
      <c r="O79" s="323"/>
      <c r="P79" s="323"/>
    </row>
    <row r="80" spans="1:16" ht="14.4">
      <c r="A80" s="329"/>
      <c r="B80" s="329"/>
      <c r="C80" s="329"/>
      <c r="D80" s="330"/>
      <c r="E80" s="330"/>
      <c r="F80" s="330"/>
      <c r="G80" s="330"/>
      <c r="H80" s="330"/>
      <c r="I80" s="329"/>
      <c r="J80" s="323"/>
      <c r="K80" s="323"/>
      <c r="L80" s="323"/>
      <c r="M80" s="323"/>
      <c r="N80" s="323"/>
      <c r="O80" s="323"/>
      <c r="P80" s="323"/>
    </row>
    <row r="81" spans="1:16" ht="14.4">
      <c r="A81" s="329"/>
      <c r="B81" s="329"/>
      <c r="C81" s="329"/>
      <c r="D81" s="330"/>
      <c r="E81" s="330"/>
      <c r="F81" s="330"/>
      <c r="G81" s="330"/>
      <c r="H81" s="330"/>
      <c r="I81" s="329"/>
      <c r="J81" s="323"/>
      <c r="K81" s="323"/>
      <c r="L81" s="323"/>
      <c r="M81" s="323"/>
      <c r="N81" s="323"/>
      <c r="O81" s="323"/>
      <c r="P81" s="323"/>
    </row>
    <row r="82" spans="1:16" ht="14.4">
      <c r="A82" s="329"/>
      <c r="B82" s="329"/>
      <c r="C82" s="329"/>
      <c r="D82" s="330"/>
      <c r="E82" s="330"/>
      <c r="F82" s="330"/>
      <c r="G82" s="330"/>
      <c r="H82" s="330"/>
      <c r="I82" s="329"/>
      <c r="J82" s="323"/>
      <c r="K82" s="323"/>
      <c r="L82" s="323"/>
      <c r="M82" s="323"/>
      <c r="N82" s="323"/>
      <c r="O82" s="323"/>
      <c r="P82" s="323"/>
    </row>
    <row r="83" spans="1:16" ht="14.4">
      <c r="A83" s="329"/>
      <c r="B83" s="329"/>
      <c r="C83" s="329"/>
      <c r="D83" s="330"/>
      <c r="E83" s="330"/>
      <c r="F83" s="330"/>
      <c r="G83" s="330"/>
      <c r="H83" s="330"/>
      <c r="I83" s="329"/>
      <c r="J83" s="323"/>
      <c r="K83" s="323"/>
      <c r="L83" s="323"/>
      <c r="M83" s="323"/>
      <c r="N83" s="323"/>
      <c r="O83" s="323"/>
      <c r="P83" s="323"/>
    </row>
    <row r="84" spans="1:16" ht="14.4">
      <c r="A84" s="329"/>
      <c r="B84" s="329"/>
      <c r="C84" s="329"/>
      <c r="D84" s="330"/>
      <c r="E84" s="330"/>
      <c r="F84" s="330"/>
      <c r="G84" s="330"/>
      <c r="H84" s="330"/>
      <c r="I84" s="329"/>
      <c r="J84" s="323"/>
      <c r="K84" s="323"/>
      <c r="L84" s="323"/>
      <c r="M84" s="323"/>
      <c r="N84" s="323"/>
      <c r="O84" s="323"/>
      <c r="P84" s="323"/>
    </row>
    <row r="85" spans="1:16" ht="14.4">
      <c r="A85" s="329"/>
      <c r="B85" s="329"/>
      <c r="C85" s="329"/>
      <c r="D85" s="330"/>
      <c r="E85" s="330"/>
      <c r="F85" s="330"/>
      <c r="G85" s="330"/>
      <c r="H85" s="330"/>
      <c r="I85" s="329"/>
      <c r="J85" s="323"/>
      <c r="K85" s="323"/>
      <c r="L85" s="323"/>
      <c r="M85" s="323"/>
      <c r="N85" s="323"/>
      <c r="O85" s="323"/>
      <c r="P85" s="323"/>
    </row>
    <row r="86" spans="1:16" ht="14.4">
      <c r="A86" s="329"/>
      <c r="B86" s="329"/>
      <c r="C86" s="329"/>
      <c r="D86" s="330"/>
      <c r="E86" s="330"/>
      <c r="F86" s="330"/>
      <c r="G86" s="330"/>
      <c r="H86" s="330"/>
      <c r="I86" s="329"/>
      <c r="J86" s="323"/>
      <c r="K86" s="323"/>
      <c r="L86" s="323"/>
      <c r="M86" s="323"/>
      <c r="N86" s="323"/>
      <c r="O86" s="323"/>
      <c r="P86" s="323"/>
    </row>
    <row r="87" spans="1:16" ht="14.4">
      <c r="A87" s="329"/>
      <c r="B87" s="329"/>
      <c r="C87" s="329"/>
      <c r="D87" s="330"/>
      <c r="E87" s="330"/>
      <c r="F87" s="330"/>
      <c r="G87" s="330"/>
      <c r="H87" s="330"/>
      <c r="I87" s="329"/>
      <c r="J87" s="323"/>
      <c r="K87" s="323"/>
      <c r="L87" s="323"/>
      <c r="M87" s="323"/>
      <c r="N87" s="323"/>
      <c r="O87" s="323"/>
      <c r="P87" s="323"/>
    </row>
    <row r="88" spans="1:16" ht="14.4">
      <c r="A88" s="329"/>
      <c r="B88" s="329"/>
      <c r="C88" s="329"/>
      <c r="D88" s="330"/>
      <c r="E88" s="330"/>
      <c r="F88" s="330"/>
      <c r="G88" s="330"/>
      <c r="H88" s="330"/>
      <c r="I88" s="329"/>
      <c r="J88" s="323"/>
      <c r="K88" s="323"/>
      <c r="L88" s="323"/>
      <c r="M88" s="323"/>
      <c r="N88" s="323"/>
      <c r="O88" s="323"/>
      <c r="P88" s="323"/>
    </row>
    <row r="89" spans="1:16" ht="14.4">
      <c r="A89" s="329"/>
      <c r="B89" s="329"/>
      <c r="C89" s="329"/>
      <c r="D89" s="330"/>
      <c r="E89" s="330"/>
      <c r="F89" s="330"/>
      <c r="G89" s="330"/>
      <c r="H89" s="330"/>
      <c r="I89" s="329"/>
      <c r="J89" s="323"/>
      <c r="K89" s="323"/>
      <c r="L89" s="323"/>
      <c r="M89" s="323"/>
      <c r="N89" s="323"/>
      <c r="O89" s="323"/>
      <c r="P89" s="323"/>
    </row>
    <row r="90" spans="1:16" ht="14.4">
      <c r="A90" s="329"/>
      <c r="B90" s="329"/>
      <c r="C90" s="329"/>
      <c r="D90" s="330"/>
      <c r="E90" s="330"/>
      <c r="F90" s="330"/>
      <c r="G90" s="330"/>
      <c r="H90" s="330"/>
      <c r="I90" s="329"/>
      <c r="J90" s="323"/>
      <c r="K90" s="323"/>
      <c r="L90" s="323"/>
      <c r="M90" s="323"/>
      <c r="N90" s="323"/>
      <c r="O90" s="323"/>
      <c r="P90" s="323"/>
    </row>
    <row r="91" spans="1:16" ht="14.4">
      <c r="A91" s="329"/>
      <c r="B91" s="329"/>
      <c r="C91" s="329"/>
      <c r="D91" s="330"/>
      <c r="E91" s="330"/>
      <c r="F91" s="330"/>
      <c r="G91" s="330"/>
      <c r="H91" s="330"/>
      <c r="I91" s="329"/>
      <c r="J91" s="323"/>
      <c r="K91" s="323"/>
      <c r="L91" s="323"/>
      <c r="M91" s="323"/>
      <c r="N91" s="323"/>
      <c r="O91" s="323"/>
      <c r="P91" s="323"/>
    </row>
    <row r="92" spans="1:16" ht="14.4">
      <c r="A92" s="329"/>
      <c r="B92" s="329"/>
      <c r="C92" s="329"/>
      <c r="D92" s="330"/>
      <c r="E92" s="330"/>
      <c r="F92" s="330"/>
      <c r="G92" s="330"/>
      <c r="H92" s="330"/>
      <c r="I92" s="329"/>
      <c r="J92" s="323"/>
      <c r="K92" s="323"/>
      <c r="L92" s="323"/>
      <c r="M92" s="323"/>
      <c r="N92" s="323"/>
      <c r="O92" s="323"/>
      <c r="P92" s="323"/>
    </row>
    <row r="93" spans="1:16" ht="14.4">
      <c r="A93" s="329"/>
      <c r="B93" s="329"/>
      <c r="C93" s="329"/>
      <c r="D93" s="330"/>
      <c r="E93" s="330"/>
      <c r="F93" s="330"/>
      <c r="G93" s="330"/>
      <c r="H93" s="330"/>
      <c r="I93" s="329"/>
      <c r="J93" s="323"/>
      <c r="K93" s="323"/>
      <c r="L93" s="323"/>
      <c r="M93" s="323"/>
      <c r="N93" s="323"/>
      <c r="O93" s="323"/>
      <c r="P93" s="323"/>
    </row>
    <row r="94" spans="1:16" ht="14.4">
      <c r="A94" s="329"/>
      <c r="B94" s="329"/>
      <c r="C94" s="329"/>
      <c r="D94" s="330"/>
      <c r="E94" s="330"/>
      <c r="F94" s="330"/>
      <c r="G94" s="330"/>
      <c r="H94" s="330"/>
      <c r="I94" s="329"/>
      <c r="J94" s="323"/>
      <c r="K94" s="323"/>
      <c r="L94" s="323"/>
      <c r="M94" s="323"/>
      <c r="N94" s="323"/>
      <c r="O94" s="323"/>
      <c r="P94" s="323"/>
    </row>
    <row r="95" spans="1:16" ht="14.4">
      <c r="A95" s="329"/>
      <c r="B95" s="329"/>
      <c r="C95" s="329"/>
      <c r="D95" s="330"/>
      <c r="E95" s="330"/>
      <c r="F95" s="330"/>
      <c r="G95" s="330"/>
      <c r="H95" s="330"/>
      <c r="I95" s="329"/>
      <c r="J95" s="323"/>
      <c r="K95" s="323"/>
      <c r="L95" s="323"/>
      <c r="M95" s="323"/>
      <c r="N95" s="323"/>
      <c r="O95" s="323"/>
      <c r="P95" s="323"/>
    </row>
    <row r="96" spans="1:16" ht="14.4">
      <c r="A96" s="329"/>
      <c r="B96" s="329"/>
      <c r="C96" s="329"/>
      <c r="D96" s="330"/>
      <c r="E96" s="330"/>
      <c r="F96" s="330"/>
      <c r="G96" s="330"/>
      <c r="H96" s="330"/>
      <c r="I96" s="329"/>
      <c r="J96" s="323"/>
      <c r="K96" s="323"/>
      <c r="L96" s="323"/>
      <c r="M96" s="323"/>
      <c r="N96" s="323"/>
      <c r="O96" s="323"/>
      <c r="P96" s="323"/>
    </row>
    <row r="97" spans="1:16" ht="14.4">
      <c r="A97" s="329"/>
      <c r="B97" s="329"/>
      <c r="C97" s="329"/>
      <c r="D97" s="330"/>
      <c r="E97" s="330"/>
      <c r="F97" s="330"/>
      <c r="G97" s="330"/>
      <c r="H97" s="330"/>
      <c r="I97" s="329"/>
      <c r="J97" s="323"/>
      <c r="K97" s="323"/>
      <c r="L97" s="323"/>
      <c r="M97" s="323"/>
      <c r="N97" s="323"/>
      <c r="O97" s="323"/>
      <c r="P97" s="323"/>
    </row>
    <row r="98" spans="1:16" ht="14.4">
      <c r="A98" s="329"/>
      <c r="B98" s="329"/>
      <c r="C98" s="329"/>
      <c r="D98" s="330"/>
      <c r="E98" s="330"/>
      <c r="F98" s="330"/>
      <c r="G98" s="330"/>
      <c r="H98" s="330"/>
      <c r="I98" s="329"/>
      <c r="J98" s="323"/>
      <c r="K98" s="323"/>
      <c r="L98" s="323"/>
      <c r="M98" s="323"/>
      <c r="N98" s="323"/>
      <c r="O98" s="323"/>
      <c r="P98" s="323"/>
    </row>
    <row r="99" spans="1:16" ht="14.4">
      <c r="A99" s="329"/>
      <c r="B99" s="329"/>
      <c r="C99" s="329"/>
      <c r="D99" s="330"/>
      <c r="E99" s="330"/>
      <c r="F99" s="330"/>
      <c r="G99" s="330"/>
      <c r="H99" s="330"/>
      <c r="I99" s="329"/>
      <c r="J99" s="323"/>
      <c r="K99" s="323"/>
      <c r="L99" s="323"/>
      <c r="M99" s="323"/>
      <c r="N99" s="323"/>
      <c r="O99" s="323"/>
      <c r="P99" s="323"/>
    </row>
    <row r="100" spans="1:16" ht="14.4">
      <c r="A100" s="329"/>
      <c r="B100" s="329"/>
      <c r="C100" s="329"/>
      <c r="D100" s="330"/>
      <c r="E100" s="330"/>
      <c r="F100" s="330"/>
      <c r="G100" s="330"/>
      <c r="H100" s="330"/>
      <c r="I100" s="329"/>
      <c r="J100" s="323"/>
      <c r="K100" s="323"/>
      <c r="L100" s="323"/>
      <c r="M100" s="323"/>
      <c r="N100" s="323"/>
      <c r="O100" s="323"/>
      <c r="P100" s="323"/>
    </row>
    <row r="101" spans="1:16" ht="14.4">
      <c r="A101" s="329"/>
      <c r="B101" s="329"/>
      <c r="C101" s="329"/>
      <c r="D101" s="330"/>
      <c r="E101" s="330"/>
      <c r="F101" s="330"/>
      <c r="G101" s="330"/>
      <c r="H101" s="330"/>
      <c r="I101" s="329"/>
      <c r="J101" s="323"/>
      <c r="K101" s="323"/>
      <c r="L101" s="323"/>
      <c r="M101" s="323"/>
      <c r="N101" s="323"/>
      <c r="O101" s="323"/>
      <c r="P101" s="323"/>
    </row>
    <row r="102" spans="1:16" ht="14.4">
      <c r="A102" s="329"/>
      <c r="B102" s="329"/>
      <c r="C102" s="329"/>
      <c r="D102" s="330"/>
      <c r="E102" s="330"/>
      <c r="F102" s="330"/>
      <c r="G102" s="330"/>
      <c r="H102" s="330"/>
      <c r="I102" s="329"/>
      <c r="J102" s="323"/>
      <c r="K102" s="323"/>
      <c r="L102" s="323"/>
      <c r="M102" s="323"/>
      <c r="N102" s="323"/>
      <c r="O102" s="323"/>
      <c r="P102" s="323"/>
    </row>
    <row r="103" spans="1:16" ht="14.4">
      <c r="A103" s="329"/>
      <c r="B103" s="329"/>
      <c r="C103" s="329"/>
      <c r="D103" s="330"/>
      <c r="E103" s="330"/>
      <c r="F103" s="330"/>
      <c r="G103" s="330"/>
      <c r="H103" s="330"/>
      <c r="I103" s="329"/>
      <c r="J103" s="323"/>
      <c r="K103" s="323"/>
      <c r="L103" s="323"/>
      <c r="M103" s="323"/>
      <c r="N103" s="323"/>
      <c r="O103" s="323"/>
      <c r="P103" s="323"/>
    </row>
    <row r="104" spans="1:16" ht="14.4">
      <c r="A104" s="329"/>
      <c r="B104" s="329"/>
      <c r="C104" s="329"/>
      <c r="D104" s="330"/>
      <c r="E104" s="330"/>
      <c r="F104" s="330"/>
      <c r="G104" s="330"/>
      <c r="H104" s="330"/>
      <c r="I104" s="329"/>
      <c r="J104" s="323"/>
      <c r="K104" s="323"/>
      <c r="L104" s="323"/>
      <c r="M104" s="323"/>
      <c r="N104" s="323"/>
      <c r="O104" s="323"/>
      <c r="P104" s="323"/>
    </row>
    <row r="105" spans="1:16" ht="14.4">
      <c r="A105" s="329"/>
      <c r="B105" s="329"/>
      <c r="C105" s="329"/>
      <c r="D105" s="330"/>
      <c r="E105" s="330"/>
      <c r="F105" s="330"/>
      <c r="G105" s="330"/>
      <c r="H105" s="330"/>
      <c r="I105" s="329"/>
      <c r="J105" s="323"/>
      <c r="K105" s="323"/>
      <c r="L105" s="323"/>
      <c r="M105" s="323"/>
      <c r="N105" s="323"/>
      <c r="O105" s="323"/>
      <c r="P105" s="323"/>
    </row>
    <row r="106" spans="1:16" ht="14.4">
      <c r="A106" s="329"/>
      <c r="B106" s="329"/>
      <c r="C106" s="329"/>
      <c r="D106" s="330"/>
      <c r="E106" s="330"/>
      <c r="F106" s="330"/>
      <c r="G106" s="330"/>
      <c r="H106" s="330"/>
      <c r="I106" s="329"/>
      <c r="J106" s="323"/>
      <c r="K106" s="323"/>
      <c r="L106" s="323"/>
      <c r="M106" s="323"/>
      <c r="N106" s="323"/>
      <c r="O106" s="323"/>
      <c r="P106" s="323"/>
    </row>
    <row r="107" spans="1:16" ht="14.4">
      <c r="A107" s="329"/>
      <c r="B107" s="329"/>
      <c r="C107" s="329"/>
      <c r="D107" s="330"/>
      <c r="E107" s="330"/>
      <c r="F107" s="330"/>
      <c r="G107" s="330"/>
      <c r="H107" s="330"/>
      <c r="I107" s="329"/>
      <c r="J107" s="323"/>
      <c r="K107" s="323"/>
      <c r="L107" s="323"/>
      <c r="M107" s="323"/>
      <c r="N107" s="323"/>
      <c r="O107" s="323"/>
      <c r="P107" s="323"/>
    </row>
    <row r="108" spans="1:16" ht="14.4">
      <c r="A108" s="329"/>
      <c r="B108" s="329"/>
      <c r="C108" s="329"/>
      <c r="D108" s="330"/>
      <c r="E108" s="330"/>
      <c r="F108" s="330"/>
      <c r="G108" s="330"/>
      <c r="H108" s="330"/>
      <c r="I108" s="329"/>
      <c r="J108" s="323"/>
      <c r="K108" s="323"/>
      <c r="L108" s="323"/>
      <c r="M108" s="323"/>
      <c r="N108" s="323"/>
      <c r="O108" s="323"/>
      <c r="P108" s="323"/>
    </row>
    <row r="109" spans="1:16" ht="14.4">
      <c r="A109" s="329"/>
      <c r="B109" s="329"/>
      <c r="C109" s="329"/>
      <c r="D109" s="330"/>
      <c r="E109" s="330"/>
      <c r="F109" s="330"/>
      <c r="G109" s="330"/>
      <c r="H109" s="330"/>
      <c r="I109" s="329"/>
      <c r="J109" s="323"/>
      <c r="K109" s="323"/>
      <c r="L109" s="323"/>
      <c r="M109" s="323"/>
      <c r="N109" s="323"/>
      <c r="O109" s="323"/>
      <c r="P109" s="323"/>
    </row>
    <row r="110" spans="1:16" ht="14.4">
      <c r="A110" s="329"/>
      <c r="B110" s="329"/>
      <c r="C110" s="329"/>
      <c r="D110" s="330"/>
      <c r="E110" s="330"/>
      <c r="F110" s="330"/>
      <c r="G110" s="330"/>
      <c r="H110" s="330"/>
      <c r="I110" s="329"/>
      <c r="J110" s="323"/>
      <c r="K110" s="323"/>
      <c r="L110" s="323"/>
      <c r="M110" s="323"/>
      <c r="N110" s="323"/>
      <c r="O110" s="323"/>
      <c r="P110" s="323"/>
    </row>
    <row r="111" spans="1:16" ht="14.4">
      <c r="A111" s="329"/>
      <c r="B111" s="329"/>
      <c r="C111" s="329"/>
      <c r="D111" s="330"/>
      <c r="E111" s="330"/>
      <c r="F111" s="330"/>
      <c r="G111" s="330"/>
      <c r="H111" s="330"/>
      <c r="I111" s="329"/>
      <c r="J111" s="323"/>
      <c r="K111" s="323"/>
      <c r="L111" s="323"/>
      <c r="M111" s="323"/>
      <c r="N111" s="323"/>
      <c r="O111" s="323"/>
      <c r="P111" s="323"/>
    </row>
    <row r="112" spans="1:16" ht="14.4">
      <c r="A112" s="329"/>
      <c r="B112" s="329"/>
      <c r="C112" s="329"/>
      <c r="D112" s="330"/>
      <c r="E112" s="330"/>
      <c r="F112" s="330"/>
      <c r="G112" s="330"/>
      <c r="H112" s="330"/>
      <c r="I112" s="329"/>
      <c r="J112" s="323"/>
      <c r="K112" s="323"/>
      <c r="L112" s="323"/>
      <c r="M112" s="323"/>
      <c r="N112" s="323"/>
      <c r="O112" s="323"/>
      <c r="P112" s="323"/>
    </row>
    <row r="113" spans="1:16" ht="14.4">
      <c r="A113" s="329"/>
      <c r="B113" s="329"/>
      <c r="C113" s="329"/>
      <c r="D113" s="330"/>
      <c r="E113" s="330"/>
      <c r="F113" s="330"/>
      <c r="G113" s="330"/>
      <c r="H113" s="330"/>
      <c r="I113" s="329"/>
      <c r="J113" s="323"/>
      <c r="K113" s="323"/>
      <c r="L113" s="323"/>
      <c r="M113" s="323"/>
      <c r="N113" s="323"/>
      <c r="O113" s="323"/>
      <c r="P113" s="323"/>
    </row>
    <row r="114" spans="1:16" ht="14.4">
      <c r="A114" s="329"/>
      <c r="B114" s="329"/>
      <c r="C114" s="329"/>
      <c r="D114" s="330"/>
      <c r="E114" s="330"/>
      <c r="F114" s="330"/>
      <c r="G114" s="330"/>
      <c r="H114" s="330"/>
      <c r="I114" s="329"/>
      <c r="J114" s="323"/>
      <c r="K114" s="323"/>
      <c r="L114" s="323"/>
      <c r="M114" s="323"/>
      <c r="N114" s="323"/>
      <c r="O114" s="323"/>
      <c r="P114" s="323"/>
    </row>
    <row r="115" spans="1:16" ht="14.4">
      <c r="A115" s="329"/>
      <c r="B115" s="329"/>
      <c r="C115" s="329"/>
      <c r="D115" s="330"/>
      <c r="E115" s="330"/>
      <c r="F115" s="330"/>
      <c r="G115" s="330"/>
      <c r="H115" s="330"/>
      <c r="I115" s="329"/>
      <c r="J115" s="323"/>
      <c r="K115" s="323"/>
      <c r="L115" s="323"/>
      <c r="M115" s="323"/>
      <c r="N115" s="323"/>
      <c r="O115" s="323"/>
      <c r="P115" s="323"/>
    </row>
    <row r="116" spans="1:16" ht="14.4">
      <c r="A116" s="329"/>
      <c r="B116" s="329"/>
      <c r="C116" s="329"/>
      <c r="D116" s="330"/>
      <c r="E116" s="330"/>
      <c r="F116" s="330"/>
      <c r="G116" s="330"/>
      <c r="H116" s="330"/>
      <c r="I116" s="329"/>
      <c r="J116" s="323"/>
      <c r="K116" s="323"/>
      <c r="L116" s="323"/>
      <c r="M116" s="323"/>
      <c r="N116" s="323"/>
      <c r="O116" s="323"/>
      <c r="P116" s="323"/>
    </row>
    <row r="117" spans="1:16" ht="14.4">
      <c r="A117" s="329"/>
      <c r="B117" s="329"/>
      <c r="C117" s="329"/>
      <c r="D117" s="330"/>
      <c r="E117" s="330"/>
      <c r="F117" s="330"/>
      <c r="G117" s="330"/>
      <c r="H117" s="330"/>
      <c r="I117" s="329"/>
      <c r="J117" s="323"/>
      <c r="K117" s="323"/>
      <c r="L117" s="323"/>
      <c r="M117" s="323"/>
      <c r="N117" s="323"/>
      <c r="O117" s="323"/>
      <c r="P117" s="323"/>
    </row>
    <row r="118" spans="1:16" ht="14.4">
      <c r="A118" s="329"/>
      <c r="B118" s="329"/>
      <c r="C118" s="329"/>
      <c r="D118" s="330"/>
      <c r="E118" s="330"/>
      <c r="F118" s="330"/>
      <c r="G118" s="330"/>
      <c r="H118" s="330"/>
      <c r="I118" s="329"/>
      <c r="J118" s="323"/>
      <c r="K118" s="323"/>
      <c r="L118" s="323"/>
      <c r="M118" s="323"/>
      <c r="N118" s="323"/>
      <c r="O118" s="323"/>
      <c r="P118" s="323"/>
    </row>
    <row r="119" spans="1:16" ht="14.4">
      <c r="A119" s="329"/>
      <c r="B119" s="329"/>
      <c r="C119" s="329"/>
      <c r="D119" s="330"/>
      <c r="E119" s="330"/>
      <c r="F119" s="330"/>
      <c r="G119" s="330"/>
      <c r="H119" s="330"/>
      <c r="I119" s="329"/>
      <c r="J119" s="323"/>
      <c r="K119" s="323"/>
      <c r="L119" s="323"/>
      <c r="M119" s="323"/>
      <c r="N119" s="323"/>
      <c r="O119" s="323"/>
      <c r="P119" s="323"/>
    </row>
    <row r="120" spans="1:16" ht="14.4">
      <c r="A120" s="329"/>
      <c r="B120" s="329"/>
      <c r="C120" s="329"/>
      <c r="D120" s="330"/>
      <c r="E120" s="330"/>
      <c r="F120" s="330"/>
      <c r="G120" s="330"/>
      <c r="H120" s="330"/>
      <c r="I120" s="329"/>
      <c r="J120" s="323"/>
      <c r="K120" s="323"/>
      <c r="L120" s="323"/>
      <c r="M120" s="323"/>
      <c r="N120" s="323"/>
      <c r="O120" s="323"/>
      <c r="P120" s="323"/>
    </row>
    <row r="121" spans="1:16" ht="14.4">
      <c r="A121" s="329"/>
      <c r="B121" s="329"/>
      <c r="C121" s="329"/>
      <c r="D121" s="330"/>
      <c r="E121" s="330"/>
      <c r="F121" s="330"/>
      <c r="G121" s="330"/>
      <c r="H121" s="330"/>
      <c r="I121" s="329"/>
      <c r="J121" s="323"/>
      <c r="K121" s="323"/>
      <c r="L121" s="323"/>
      <c r="M121" s="323"/>
      <c r="N121" s="323"/>
      <c r="O121" s="323"/>
      <c r="P121" s="323"/>
    </row>
    <row r="122" spans="1:16" ht="14.4">
      <c r="A122" s="329"/>
      <c r="B122" s="329"/>
      <c r="C122" s="329"/>
      <c r="D122" s="330"/>
      <c r="E122" s="330"/>
      <c r="F122" s="330"/>
      <c r="G122" s="330"/>
      <c r="H122" s="330"/>
      <c r="I122" s="329"/>
      <c r="J122" s="323"/>
      <c r="K122" s="323"/>
      <c r="L122" s="323"/>
      <c r="M122" s="323"/>
      <c r="N122" s="323"/>
      <c r="O122" s="323"/>
      <c r="P122" s="323"/>
    </row>
    <row r="123" spans="1:16" ht="14.4">
      <c r="A123" s="329"/>
      <c r="B123" s="329"/>
      <c r="C123" s="329"/>
      <c r="D123" s="330"/>
      <c r="E123" s="330"/>
      <c r="F123" s="330"/>
      <c r="G123" s="330"/>
      <c r="H123" s="330"/>
      <c r="I123" s="329"/>
      <c r="J123" s="323"/>
      <c r="K123" s="323"/>
      <c r="L123" s="323"/>
      <c r="M123" s="323"/>
      <c r="N123" s="323"/>
      <c r="O123" s="323"/>
      <c r="P123" s="323"/>
    </row>
    <row r="124" spans="1:16" ht="14.4">
      <c r="A124" s="329"/>
      <c r="B124" s="329"/>
      <c r="C124" s="329"/>
      <c r="D124" s="330"/>
      <c r="E124" s="330"/>
      <c r="F124" s="330"/>
      <c r="G124" s="330"/>
      <c r="H124" s="330"/>
      <c r="I124" s="329"/>
      <c r="J124" s="323"/>
      <c r="K124" s="323"/>
      <c r="L124" s="323"/>
      <c r="M124" s="323"/>
      <c r="N124" s="323"/>
      <c r="O124" s="323"/>
      <c r="P124" s="323"/>
    </row>
    <row r="125" spans="1:16" ht="14.4">
      <c r="A125" s="329"/>
      <c r="B125" s="329"/>
      <c r="C125" s="329"/>
      <c r="D125" s="330"/>
      <c r="E125" s="330"/>
      <c r="F125" s="330"/>
      <c r="G125" s="330"/>
      <c r="H125" s="330"/>
      <c r="I125" s="329"/>
      <c r="J125" s="323"/>
      <c r="K125" s="323"/>
      <c r="L125" s="323"/>
      <c r="M125" s="323"/>
      <c r="N125" s="323"/>
      <c r="O125" s="323"/>
      <c r="P125" s="323"/>
    </row>
    <row r="126" spans="1:16" ht="14.4">
      <c r="A126" s="329"/>
      <c r="B126" s="329"/>
      <c r="C126" s="329"/>
      <c r="D126" s="330"/>
      <c r="E126" s="330"/>
      <c r="F126" s="330"/>
      <c r="G126" s="330"/>
      <c r="H126" s="330"/>
      <c r="I126" s="329"/>
      <c r="J126" s="323"/>
      <c r="K126" s="323"/>
      <c r="L126" s="323"/>
      <c r="M126" s="323"/>
      <c r="N126" s="323"/>
      <c r="O126" s="323"/>
      <c r="P126" s="323"/>
    </row>
    <row r="127" spans="1:16" ht="14.4">
      <c r="A127" s="329"/>
      <c r="B127" s="329"/>
      <c r="C127" s="329"/>
      <c r="D127" s="330"/>
      <c r="E127" s="330"/>
      <c r="F127" s="330"/>
      <c r="G127" s="330"/>
      <c r="H127" s="330"/>
      <c r="I127" s="329"/>
      <c r="J127" s="323"/>
      <c r="K127" s="323"/>
      <c r="L127" s="323"/>
      <c r="M127" s="323"/>
      <c r="N127" s="323"/>
      <c r="O127" s="323"/>
      <c r="P127" s="323"/>
    </row>
    <row r="128" spans="1:16" ht="14.4">
      <c r="A128" s="329"/>
      <c r="B128" s="329"/>
      <c r="C128" s="329"/>
      <c r="D128" s="330"/>
      <c r="E128" s="330"/>
      <c r="F128" s="330"/>
      <c r="G128" s="330"/>
      <c r="H128" s="330"/>
      <c r="I128" s="329"/>
      <c r="J128" s="323"/>
      <c r="K128" s="323"/>
      <c r="L128" s="323"/>
      <c r="M128" s="323"/>
      <c r="N128" s="323"/>
      <c r="O128" s="323"/>
      <c r="P128" s="323"/>
    </row>
    <row r="129" spans="1:16" ht="14.4">
      <c r="A129" s="329"/>
      <c r="B129" s="329"/>
      <c r="C129" s="329"/>
      <c r="D129" s="330"/>
      <c r="E129" s="330"/>
      <c r="F129" s="330"/>
      <c r="G129" s="330"/>
      <c r="H129" s="330"/>
      <c r="I129" s="329"/>
      <c r="J129" s="323"/>
      <c r="K129" s="323"/>
      <c r="L129" s="323"/>
      <c r="M129" s="323"/>
      <c r="N129" s="323"/>
      <c r="O129" s="323"/>
      <c r="P129" s="323"/>
    </row>
    <row r="130" spans="1:16" ht="14.4">
      <c r="A130" s="329"/>
      <c r="B130" s="329"/>
      <c r="C130" s="329"/>
      <c r="D130" s="330"/>
      <c r="E130" s="330"/>
      <c r="F130" s="330"/>
      <c r="G130" s="330"/>
      <c r="H130" s="330"/>
      <c r="I130" s="329"/>
      <c r="J130" s="323"/>
      <c r="K130" s="323"/>
      <c r="L130" s="323"/>
      <c r="M130" s="323"/>
      <c r="N130" s="323"/>
      <c r="O130" s="323"/>
      <c r="P130" s="323"/>
    </row>
    <row r="131" spans="1:16" ht="14.4">
      <c r="A131" s="329"/>
      <c r="B131" s="329"/>
      <c r="C131" s="329"/>
      <c r="D131" s="330"/>
      <c r="E131" s="330"/>
      <c r="F131" s="330"/>
      <c r="G131" s="330"/>
      <c r="H131" s="330"/>
      <c r="I131" s="329"/>
      <c r="J131" s="323"/>
      <c r="K131" s="323"/>
      <c r="L131" s="323"/>
      <c r="M131" s="323"/>
      <c r="N131" s="323"/>
      <c r="O131" s="323"/>
      <c r="P131" s="323"/>
    </row>
    <row r="132" spans="1:16" ht="14.4">
      <c r="A132" s="329"/>
      <c r="B132" s="329"/>
      <c r="C132" s="329"/>
      <c r="D132" s="330"/>
      <c r="E132" s="330"/>
      <c r="F132" s="330"/>
      <c r="G132" s="330"/>
      <c r="H132" s="330"/>
      <c r="I132" s="329"/>
      <c r="J132" s="323"/>
      <c r="K132" s="323"/>
      <c r="L132" s="323"/>
      <c r="M132" s="323"/>
      <c r="N132" s="323"/>
      <c r="O132" s="323"/>
      <c r="P132" s="323"/>
    </row>
    <row r="133" spans="1:16" ht="14.4">
      <c r="A133" s="329"/>
      <c r="B133" s="329"/>
      <c r="C133" s="329"/>
      <c r="D133" s="330"/>
      <c r="E133" s="330"/>
      <c r="F133" s="330"/>
      <c r="G133" s="330"/>
      <c r="H133" s="330"/>
      <c r="I133" s="329"/>
      <c r="J133" s="323"/>
      <c r="K133" s="323"/>
      <c r="L133" s="323"/>
      <c r="M133" s="323"/>
      <c r="N133" s="323"/>
      <c r="O133" s="323"/>
      <c r="P133" s="323"/>
    </row>
    <row r="134" spans="1:16" ht="14.4">
      <c r="A134" s="329"/>
      <c r="B134" s="329"/>
      <c r="C134" s="329"/>
      <c r="D134" s="330"/>
      <c r="E134" s="330"/>
      <c r="F134" s="330"/>
      <c r="G134" s="330"/>
      <c r="H134" s="330"/>
      <c r="I134" s="329"/>
      <c r="J134" s="323"/>
      <c r="K134" s="323"/>
      <c r="L134" s="323"/>
      <c r="M134" s="323"/>
      <c r="N134" s="323"/>
      <c r="O134" s="323"/>
      <c r="P134" s="323"/>
    </row>
    <row r="135" spans="1:16" ht="14.4">
      <c r="A135" s="329"/>
      <c r="B135" s="329"/>
      <c r="C135" s="329"/>
      <c r="D135" s="330"/>
      <c r="E135" s="330"/>
      <c r="F135" s="330"/>
      <c r="G135" s="330"/>
      <c r="H135" s="330"/>
      <c r="I135" s="329"/>
      <c r="J135" s="323"/>
      <c r="K135" s="323"/>
      <c r="L135" s="323"/>
      <c r="M135" s="323"/>
      <c r="N135" s="323"/>
      <c r="O135" s="323"/>
      <c r="P135" s="323"/>
    </row>
    <row r="136" spans="1:16" ht="14.4">
      <c r="A136" s="329"/>
      <c r="B136" s="329"/>
      <c r="C136" s="329"/>
      <c r="D136" s="330"/>
      <c r="E136" s="330"/>
      <c r="F136" s="330"/>
      <c r="G136" s="330"/>
      <c r="H136" s="330"/>
      <c r="I136" s="329"/>
      <c r="J136" s="323"/>
      <c r="K136" s="323"/>
      <c r="L136" s="323"/>
      <c r="M136" s="323"/>
      <c r="N136" s="323"/>
      <c r="O136" s="323"/>
      <c r="P136" s="323"/>
    </row>
    <row r="137" spans="1:16" ht="14.4">
      <c r="A137" s="329"/>
      <c r="B137" s="329"/>
      <c r="C137" s="329"/>
      <c r="D137" s="330"/>
      <c r="E137" s="330"/>
      <c r="F137" s="330"/>
      <c r="G137" s="330"/>
      <c r="H137" s="330"/>
      <c r="I137" s="329"/>
      <c r="J137" s="323"/>
      <c r="K137" s="323"/>
      <c r="L137" s="323"/>
      <c r="M137" s="323"/>
      <c r="N137" s="323"/>
      <c r="O137" s="323"/>
      <c r="P137" s="323"/>
    </row>
    <row r="138" spans="1:16" ht="14.4">
      <c r="A138" s="329"/>
      <c r="B138" s="329"/>
      <c r="C138" s="329"/>
      <c r="D138" s="330"/>
      <c r="E138" s="330"/>
      <c r="F138" s="330"/>
      <c r="G138" s="330"/>
      <c r="H138" s="330"/>
      <c r="I138" s="329"/>
      <c r="J138" s="323"/>
      <c r="K138" s="323"/>
      <c r="L138" s="323"/>
      <c r="M138" s="323"/>
      <c r="N138" s="323"/>
      <c r="O138" s="323"/>
      <c r="P138" s="323"/>
    </row>
    <row r="139" spans="1:16" ht="14.4">
      <c r="A139" s="329"/>
      <c r="B139" s="329"/>
      <c r="C139" s="329"/>
      <c r="D139" s="330"/>
      <c r="E139" s="330"/>
      <c r="F139" s="330"/>
      <c r="G139" s="330"/>
      <c r="H139" s="330"/>
      <c r="I139" s="329"/>
      <c r="J139" s="323"/>
      <c r="K139" s="323"/>
      <c r="L139" s="323"/>
      <c r="M139" s="323"/>
      <c r="N139" s="323"/>
      <c r="O139" s="323"/>
      <c r="P139" s="323"/>
    </row>
    <row r="140" spans="1:16" ht="14.4">
      <c r="A140" s="329"/>
      <c r="B140" s="329"/>
      <c r="C140" s="329"/>
      <c r="D140" s="330"/>
      <c r="E140" s="330"/>
      <c r="F140" s="330"/>
      <c r="G140" s="330"/>
      <c r="H140" s="330"/>
      <c r="I140" s="329"/>
      <c r="J140" s="323"/>
      <c r="K140" s="323"/>
      <c r="L140" s="323"/>
      <c r="M140" s="323"/>
      <c r="N140" s="323"/>
      <c r="O140" s="323"/>
      <c r="P140" s="323"/>
    </row>
    <row r="141" spans="1:16" ht="14.4">
      <c r="A141" s="329"/>
      <c r="B141" s="329"/>
      <c r="C141" s="329"/>
      <c r="D141" s="330"/>
      <c r="E141" s="330"/>
      <c r="F141" s="330"/>
      <c r="G141" s="330"/>
      <c r="H141" s="330"/>
      <c r="I141" s="329"/>
      <c r="J141" s="323"/>
      <c r="K141" s="323"/>
      <c r="L141" s="323"/>
      <c r="M141" s="323"/>
      <c r="N141" s="323"/>
      <c r="O141" s="323"/>
      <c r="P141" s="323"/>
    </row>
    <row r="142" spans="1:16" ht="14.4">
      <c r="A142" s="329"/>
      <c r="B142" s="329"/>
      <c r="C142" s="329"/>
      <c r="D142" s="330"/>
      <c r="E142" s="330"/>
      <c r="F142" s="330"/>
      <c r="G142" s="330"/>
      <c r="H142" s="330"/>
      <c r="I142" s="329"/>
      <c r="J142" s="323"/>
      <c r="K142" s="323"/>
      <c r="L142" s="323"/>
      <c r="M142" s="323"/>
      <c r="N142" s="323"/>
      <c r="O142" s="323"/>
      <c r="P142" s="323"/>
    </row>
    <row r="143" spans="1:16" ht="14.4">
      <c r="A143" s="329"/>
      <c r="B143" s="329"/>
      <c r="C143" s="329"/>
      <c r="D143" s="330"/>
      <c r="E143" s="330"/>
      <c r="F143" s="330"/>
      <c r="G143" s="330"/>
      <c r="H143" s="330"/>
      <c r="I143" s="329"/>
      <c r="J143" s="323"/>
      <c r="K143" s="323"/>
      <c r="L143" s="323"/>
      <c r="M143" s="323"/>
      <c r="N143" s="323"/>
      <c r="O143" s="323"/>
      <c r="P143" s="323"/>
    </row>
    <row r="144" spans="1:16" ht="14.4">
      <c r="A144" s="329"/>
      <c r="B144" s="329"/>
      <c r="C144" s="329"/>
      <c r="D144" s="330"/>
      <c r="E144" s="330"/>
      <c r="F144" s="330"/>
      <c r="G144" s="330"/>
      <c r="H144" s="330"/>
      <c r="I144" s="329"/>
      <c r="J144" s="323"/>
      <c r="K144" s="323"/>
      <c r="L144" s="323"/>
      <c r="M144" s="323"/>
      <c r="N144" s="323"/>
      <c r="O144" s="323"/>
      <c r="P144" s="323"/>
    </row>
    <row r="145" spans="1:16" ht="14.4">
      <c r="A145" s="329"/>
      <c r="B145" s="329"/>
      <c r="C145" s="329"/>
      <c r="D145" s="330"/>
      <c r="E145" s="330"/>
      <c r="F145" s="330"/>
      <c r="G145" s="330"/>
      <c r="H145" s="330"/>
      <c r="I145" s="329"/>
      <c r="J145" s="323"/>
      <c r="K145" s="323"/>
      <c r="L145" s="323"/>
      <c r="M145" s="323"/>
      <c r="N145" s="323"/>
      <c r="O145" s="323"/>
      <c r="P145" s="323"/>
    </row>
    <row r="146" spans="1:16" ht="14.4">
      <c r="A146" s="329"/>
      <c r="B146" s="329"/>
      <c r="C146" s="329"/>
      <c r="D146" s="330"/>
      <c r="E146" s="330"/>
      <c r="F146" s="330"/>
      <c r="G146" s="330"/>
      <c r="H146" s="330"/>
      <c r="I146" s="329"/>
      <c r="J146" s="323"/>
      <c r="K146" s="323"/>
      <c r="L146" s="323"/>
      <c r="M146" s="323"/>
      <c r="N146" s="323"/>
      <c r="O146" s="323"/>
      <c r="P146" s="323"/>
    </row>
    <row r="147" spans="1:16" ht="14.4">
      <c r="A147" s="329"/>
      <c r="B147" s="329"/>
      <c r="C147" s="329"/>
      <c r="D147" s="330"/>
      <c r="E147" s="330"/>
      <c r="F147" s="330"/>
      <c r="G147" s="330"/>
      <c r="H147" s="330"/>
      <c r="I147" s="329"/>
      <c r="J147" s="323"/>
      <c r="K147" s="323"/>
      <c r="L147" s="323"/>
      <c r="M147" s="323"/>
      <c r="N147" s="323"/>
      <c r="O147" s="323"/>
      <c r="P147" s="323"/>
    </row>
    <row r="148" spans="1:16" ht="14.4">
      <c r="A148" s="329"/>
      <c r="B148" s="329"/>
      <c r="C148" s="329"/>
      <c r="D148" s="330"/>
      <c r="E148" s="330"/>
      <c r="F148" s="330"/>
      <c r="G148" s="330"/>
      <c r="H148" s="330"/>
      <c r="I148" s="329"/>
      <c r="J148" s="323"/>
      <c r="K148" s="323"/>
      <c r="L148" s="323"/>
      <c r="M148" s="323"/>
      <c r="N148" s="323"/>
      <c r="O148" s="323"/>
      <c r="P148" s="323"/>
    </row>
    <row r="149" spans="1:16" ht="14.4">
      <c r="A149" s="329"/>
      <c r="B149" s="329"/>
      <c r="C149" s="329"/>
      <c r="D149" s="330"/>
      <c r="E149" s="330"/>
      <c r="F149" s="330"/>
      <c r="G149" s="330"/>
      <c r="H149" s="330"/>
      <c r="I149" s="329"/>
      <c r="J149" s="323"/>
      <c r="K149" s="323"/>
      <c r="L149" s="323"/>
      <c r="M149" s="323"/>
      <c r="N149" s="323"/>
      <c r="O149" s="323"/>
      <c r="P149" s="323"/>
    </row>
    <row r="150" spans="1:16" ht="14.4">
      <c r="A150" s="329"/>
      <c r="B150" s="329"/>
      <c r="C150" s="329"/>
      <c r="D150" s="330"/>
      <c r="E150" s="330"/>
      <c r="F150" s="330"/>
      <c r="G150" s="330"/>
      <c r="H150" s="330"/>
      <c r="I150" s="329"/>
      <c r="J150" s="323"/>
      <c r="K150" s="323"/>
      <c r="L150" s="323"/>
      <c r="M150" s="323"/>
      <c r="N150" s="323"/>
      <c r="O150" s="323"/>
      <c r="P150" s="323"/>
    </row>
    <row r="151" spans="1:16" ht="14.4">
      <c r="A151" s="329"/>
      <c r="B151" s="329"/>
      <c r="C151" s="329"/>
      <c r="D151" s="330"/>
      <c r="E151" s="330"/>
      <c r="F151" s="330"/>
      <c r="G151" s="330"/>
      <c r="H151" s="330"/>
      <c r="I151" s="329"/>
      <c r="J151" s="323"/>
      <c r="K151" s="323"/>
      <c r="L151" s="323"/>
      <c r="M151" s="323"/>
      <c r="N151" s="323"/>
      <c r="O151" s="323"/>
      <c r="P151" s="323"/>
    </row>
    <row r="152" spans="1:16" ht="14.4">
      <c r="A152" s="329"/>
      <c r="B152" s="329"/>
      <c r="C152" s="329"/>
      <c r="D152" s="330"/>
      <c r="E152" s="330"/>
      <c r="F152" s="330"/>
      <c r="G152" s="330"/>
      <c r="H152" s="330"/>
      <c r="I152" s="329"/>
      <c r="J152" s="323"/>
      <c r="K152" s="323"/>
      <c r="L152" s="323"/>
      <c r="M152" s="323"/>
      <c r="N152" s="323"/>
      <c r="O152" s="323"/>
      <c r="P152" s="323"/>
    </row>
    <row r="153" spans="1:16" ht="14.4">
      <c r="A153" s="329"/>
      <c r="B153" s="329"/>
      <c r="C153" s="329"/>
      <c r="D153" s="330"/>
      <c r="E153" s="330"/>
      <c r="F153" s="330"/>
      <c r="G153" s="330"/>
      <c r="H153" s="330"/>
      <c r="I153" s="329"/>
      <c r="J153" s="323"/>
      <c r="K153" s="323"/>
      <c r="L153" s="323"/>
      <c r="M153" s="323"/>
      <c r="N153" s="323"/>
      <c r="O153" s="323"/>
      <c r="P153" s="323"/>
    </row>
    <row r="154" spans="1:16" ht="14.4">
      <c r="A154" s="329"/>
      <c r="B154" s="329"/>
      <c r="C154" s="329"/>
      <c r="D154" s="330"/>
      <c r="E154" s="330"/>
      <c r="F154" s="330"/>
      <c r="G154" s="330"/>
      <c r="H154" s="330"/>
      <c r="I154" s="329"/>
      <c r="J154" s="323"/>
      <c r="K154" s="323"/>
      <c r="L154" s="323"/>
      <c r="M154" s="323"/>
      <c r="N154" s="323"/>
      <c r="O154" s="323"/>
      <c r="P154" s="323"/>
    </row>
    <row r="155" spans="1:16" ht="14.4">
      <c r="A155" s="329"/>
      <c r="B155" s="329"/>
      <c r="C155" s="329"/>
      <c r="D155" s="330"/>
      <c r="E155" s="330"/>
      <c r="F155" s="330"/>
      <c r="G155" s="330"/>
      <c r="H155" s="330"/>
      <c r="I155" s="329"/>
      <c r="J155" s="323"/>
      <c r="K155" s="323"/>
      <c r="L155" s="323"/>
      <c r="M155" s="323"/>
      <c r="N155" s="323"/>
      <c r="O155" s="323"/>
      <c r="P155" s="323"/>
    </row>
    <row r="156" spans="1:16" ht="14.4">
      <c r="A156" s="329"/>
      <c r="B156" s="329"/>
      <c r="C156" s="329"/>
      <c r="D156" s="330"/>
      <c r="E156" s="330"/>
      <c r="F156" s="330"/>
      <c r="G156" s="330"/>
      <c r="H156" s="330"/>
      <c r="I156" s="329"/>
      <c r="J156" s="323"/>
      <c r="K156" s="323"/>
      <c r="L156" s="323"/>
      <c r="M156" s="323"/>
      <c r="N156" s="323"/>
      <c r="O156" s="323"/>
      <c r="P156" s="323"/>
    </row>
    <row r="157" spans="1:16" ht="14.4">
      <c r="A157" s="329"/>
      <c r="B157" s="329"/>
      <c r="C157" s="329"/>
      <c r="D157" s="330"/>
      <c r="E157" s="330"/>
      <c r="F157" s="330"/>
      <c r="G157" s="330"/>
      <c r="H157" s="330"/>
      <c r="I157" s="329"/>
      <c r="J157" s="323"/>
      <c r="K157" s="323"/>
      <c r="L157" s="323"/>
      <c r="M157" s="323"/>
      <c r="N157" s="323"/>
      <c r="O157" s="323"/>
      <c r="P157" s="323"/>
    </row>
    <row r="158" spans="1:16" ht="14.4">
      <c r="A158" s="329"/>
      <c r="B158" s="329"/>
      <c r="C158" s="329"/>
      <c r="D158" s="330"/>
      <c r="E158" s="330"/>
      <c r="F158" s="330"/>
      <c r="G158" s="330"/>
      <c r="H158" s="330"/>
      <c r="I158" s="329"/>
      <c r="J158" s="323"/>
      <c r="K158" s="323"/>
      <c r="L158" s="323"/>
      <c r="M158" s="323"/>
      <c r="N158" s="323"/>
      <c r="O158" s="323"/>
      <c r="P158" s="323"/>
    </row>
    <row r="159" spans="1:16" ht="14.4">
      <c r="A159" s="329"/>
      <c r="B159" s="329"/>
      <c r="C159" s="329"/>
      <c r="D159" s="330"/>
      <c r="E159" s="330"/>
      <c r="F159" s="330"/>
      <c r="G159" s="330"/>
      <c r="H159" s="330"/>
      <c r="I159" s="329"/>
      <c r="J159" s="323"/>
      <c r="K159" s="323"/>
      <c r="L159" s="323"/>
      <c r="M159" s="323"/>
      <c r="N159" s="323"/>
      <c r="O159" s="323"/>
      <c r="P159" s="323"/>
    </row>
    <row r="160" spans="1:16" ht="14.4">
      <c r="A160" s="329"/>
      <c r="B160" s="329"/>
      <c r="C160" s="329"/>
      <c r="D160" s="330"/>
      <c r="E160" s="330"/>
      <c r="F160" s="330"/>
      <c r="G160" s="330"/>
      <c r="H160" s="330"/>
      <c r="I160" s="329"/>
      <c r="J160" s="323"/>
      <c r="K160" s="323"/>
      <c r="L160" s="323"/>
      <c r="M160" s="323"/>
      <c r="N160" s="323"/>
      <c r="O160" s="323"/>
      <c r="P160" s="323"/>
    </row>
    <row r="161" spans="1:16" ht="14.4">
      <c r="A161" s="329"/>
      <c r="B161" s="329"/>
      <c r="C161" s="329"/>
      <c r="D161" s="330"/>
      <c r="E161" s="330"/>
      <c r="F161" s="330"/>
      <c r="G161" s="330"/>
      <c r="H161" s="330"/>
      <c r="I161" s="329"/>
      <c r="J161" s="323"/>
      <c r="K161" s="323"/>
      <c r="L161" s="323"/>
      <c r="M161" s="323"/>
      <c r="N161" s="323"/>
      <c r="O161" s="323"/>
      <c r="P161" s="323"/>
    </row>
    <row r="162" spans="1:16" ht="14.4">
      <c r="A162" s="329"/>
      <c r="B162" s="329"/>
      <c r="C162" s="329"/>
      <c r="D162" s="330"/>
      <c r="E162" s="330"/>
      <c r="F162" s="330"/>
      <c r="G162" s="330"/>
      <c r="H162" s="330"/>
      <c r="I162" s="329"/>
      <c r="J162" s="323"/>
      <c r="K162" s="323"/>
      <c r="L162" s="323"/>
      <c r="M162" s="323"/>
      <c r="N162" s="323"/>
      <c r="O162" s="323"/>
      <c r="P162" s="323"/>
    </row>
    <row r="163" spans="1:16" ht="14.4">
      <c r="A163" s="329"/>
      <c r="B163" s="329"/>
      <c r="C163" s="329"/>
      <c r="D163" s="330"/>
      <c r="E163" s="330"/>
      <c r="F163" s="330"/>
      <c r="G163" s="330"/>
      <c r="H163" s="330"/>
      <c r="I163" s="329"/>
      <c r="J163" s="323"/>
      <c r="K163" s="323"/>
      <c r="L163" s="323"/>
      <c r="M163" s="323"/>
      <c r="N163" s="323"/>
      <c r="O163" s="323"/>
      <c r="P163" s="323"/>
    </row>
    <row r="164" spans="1:16" ht="14.4">
      <c r="A164" s="329"/>
      <c r="B164" s="329"/>
      <c r="C164" s="329"/>
      <c r="D164" s="330"/>
      <c r="E164" s="330"/>
      <c r="F164" s="330"/>
      <c r="G164" s="330"/>
      <c r="H164" s="330"/>
      <c r="I164" s="329"/>
      <c r="J164" s="323"/>
      <c r="K164" s="323"/>
      <c r="L164" s="323"/>
      <c r="M164" s="323"/>
      <c r="N164" s="323"/>
      <c r="O164" s="323"/>
      <c r="P164" s="323"/>
    </row>
    <row r="165" spans="1:16" ht="14.4">
      <c r="A165" s="329"/>
      <c r="B165" s="329"/>
      <c r="C165" s="329"/>
      <c r="D165" s="330"/>
      <c r="E165" s="330"/>
      <c r="F165" s="330"/>
      <c r="G165" s="330"/>
      <c r="H165" s="330"/>
      <c r="I165" s="329"/>
      <c r="J165" s="323"/>
      <c r="K165" s="323"/>
      <c r="L165" s="323"/>
      <c r="M165" s="323"/>
      <c r="N165" s="323"/>
      <c r="O165" s="323"/>
      <c r="P165" s="323"/>
    </row>
    <row r="166" spans="1:16" ht="14.4">
      <c r="A166" s="329"/>
      <c r="B166" s="329"/>
      <c r="C166" s="329"/>
      <c r="D166" s="330"/>
      <c r="E166" s="330"/>
      <c r="F166" s="330"/>
      <c r="G166" s="330"/>
      <c r="H166" s="330"/>
      <c r="I166" s="329"/>
      <c r="J166" s="323"/>
      <c r="K166" s="323"/>
      <c r="L166" s="323"/>
      <c r="M166" s="323"/>
      <c r="N166" s="323"/>
      <c r="O166" s="323"/>
      <c r="P166" s="323"/>
    </row>
    <row r="167" spans="1:16" ht="14.4">
      <c r="A167" s="329"/>
      <c r="B167" s="329"/>
      <c r="C167" s="329"/>
      <c r="D167" s="330"/>
      <c r="E167" s="330"/>
      <c r="F167" s="330"/>
      <c r="G167" s="330"/>
      <c r="H167" s="330"/>
      <c r="I167" s="329"/>
      <c r="J167" s="323"/>
      <c r="K167" s="323"/>
      <c r="L167" s="323"/>
      <c r="M167" s="323"/>
      <c r="N167" s="323"/>
      <c r="O167" s="323"/>
      <c r="P167" s="323"/>
    </row>
    <row r="168" spans="1:16" ht="14.4">
      <c r="A168" s="329"/>
      <c r="B168" s="329"/>
      <c r="C168" s="329"/>
      <c r="D168" s="330"/>
      <c r="E168" s="330"/>
      <c r="F168" s="330"/>
      <c r="G168" s="330"/>
      <c r="H168" s="330"/>
      <c r="I168" s="329"/>
      <c r="J168" s="323"/>
      <c r="K168" s="323"/>
      <c r="L168" s="323"/>
      <c r="M168" s="323"/>
      <c r="N168" s="323"/>
      <c r="O168" s="323"/>
      <c r="P168" s="323"/>
    </row>
    <row r="169" spans="1:16" ht="14.4">
      <c r="A169" s="329"/>
      <c r="B169" s="329"/>
      <c r="C169" s="329"/>
      <c r="D169" s="330"/>
      <c r="E169" s="330"/>
      <c r="F169" s="330"/>
      <c r="G169" s="330"/>
      <c r="H169" s="330"/>
      <c r="I169" s="329"/>
      <c r="J169" s="323"/>
      <c r="K169" s="323"/>
      <c r="L169" s="323"/>
      <c r="M169" s="323"/>
      <c r="N169" s="323"/>
      <c r="O169" s="323"/>
      <c r="P169" s="323"/>
    </row>
    <row r="170" spans="1:16" ht="14.4">
      <c r="A170" s="329"/>
      <c r="B170" s="329"/>
      <c r="C170" s="329"/>
      <c r="D170" s="330"/>
      <c r="E170" s="330"/>
      <c r="F170" s="330"/>
      <c r="G170" s="330"/>
      <c r="H170" s="330"/>
      <c r="I170" s="329"/>
      <c r="J170" s="323"/>
      <c r="K170" s="323"/>
      <c r="L170" s="323"/>
      <c r="M170" s="323"/>
      <c r="N170" s="323"/>
      <c r="O170" s="323"/>
      <c r="P170" s="323"/>
    </row>
    <row r="171" spans="1:16" ht="14.4">
      <c r="A171" s="329"/>
      <c r="B171" s="329"/>
      <c r="C171" s="329"/>
      <c r="D171" s="330"/>
      <c r="E171" s="330"/>
      <c r="F171" s="330"/>
      <c r="G171" s="330"/>
      <c r="H171" s="330"/>
      <c r="I171" s="329"/>
      <c r="J171" s="323"/>
      <c r="K171" s="323"/>
      <c r="L171" s="323"/>
      <c r="M171" s="323"/>
      <c r="N171" s="323"/>
      <c r="O171" s="323"/>
      <c r="P171" s="323"/>
    </row>
    <row r="172" spans="1:16" ht="14.4">
      <c r="A172" s="329"/>
      <c r="B172" s="329"/>
      <c r="C172" s="329"/>
      <c r="D172" s="330"/>
      <c r="E172" s="330"/>
      <c r="F172" s="330"/>
      <c r="G172" s="330"/>
      <c r="H172" s="330"/>
      <c r="I172" s="329"/>
      <c r="J172" s="323"/>
      <c r="K172" s="323"/>
      <c r="L172" s="323"/>
      <c r="M172" s="323"/>
      <c r="N172" s="323"/>
      <c r="O172" s="323"/>
      <c r="P172" s="323"/>
    </row>
    <row r="173" spans="1:16" ht="14.4">
      <c r="A173" s="329"/>
      <c r="B173" s="329"/>
      <c r="C173" s="329"/>
      <c r="D173" s="330"/>
      <c r="E173" s="330"/>
      <c r="F173" s="330"/>
      <c r="G173" s="330"/>
      <c r="H173" s="330"/>
      <c r="I173" s="329"/>
      <c r="J173" s="323"/>
      <c r="K173" s="323"/>
      <c r="L173" s="323"/>
      <c r="M173" s="323"/>
      <c r="N173" s="323"/>
      <c r="O173" s="323"/>
      <c r="P173" s="323"/>
    </row>
    <row r="174" spans="1:16" ht="14.4">
      <c r="A174" s="329"/>
      <c r="B174" s="329"/>
      <c r="C174" s="329"/>
      <c r="D174" s="330"/>
      <c r="E174" s="330"/>
      <c r="F174" s="330"/>
      <c r="G174" s="330"/>
      <c r="H174" s="330"/>
      <c r="I174" s="329"/>
      <c r="J174" s="323"/>
      <c r="K174" s="323"/>
      <c r="L174" s="323"/>
      <c r="M174" s="323"/>
      <c r="N174" s="323"/>
      <c r="O174" s="323"/>
      <c r="P174" s="323"/>
    </row>
    <row r="175" spans="1:16" ht="14.4">
      <c r="A175" s="329"/>
      <c r="B175" s="329"/>
      <c r="C175" s="329"/>
      <c r="D175" s="330"/>
      <c r="E175" s="330"/>
      <c r="F175" s="330"/>
      <c r="G175" s="330"/>
      <c r="H175" s="330"/>
      <c r="I175" s="329"/>
      <c r="J175" s="323"/>
      <c r="K175" s="323"/>
      <c r="L175" s="323"/>
      <c r="M175" s="323"/>
      <c r="N175" s="323"/>
      <c r="O175" s="323"/>
      <c r="P175" s="323"/>
    </row>
    <row r="176" spans="1:16" ht="14.4">
      <c r="A176" s="329"/>
      <c r="B176" s="329"/>
      <c r="C176" s="329"/>
      <c r="D176" s="330"/>
      <c r="E176" s="330"/>
      <c r="F176" s="330"/>
      <c r="G176" s="330"/>
      <c r="H176" s="330"/>
      <c r="I176" s="329"/>
      <c r="J176" s="323"/>
      <c r="K176" s="323"/>
      <c r="L176" s="323"/>
      <c r="M176" s="323"/>
      <c r="N176" s="323"/>
      <c r="O176" s="323"/>
      <c r="P176" s="323"/>
    </row>
    <row r="177" spans="1:16" ht="14.4">
      <c r="A177" s="329"/>
      <c r="B177" s="329"/>
      <c r="C177" s="329"/>
      <c r="D177" s="330"/>
      <c r="E177" s="330"/>
      <c r="F177" s="330"/>
      <c r="G177" s="330"/>
      <c r="H177" s="330"/>
      <c r="I177" s="329"/>
      <c r="J177" s="323"/>
      <c r="K177" s="323"/>
      <c r="L177" s="323"/>
      <c r="M177" s="323"/>
      <c r="N177" s="323"/>
      <c r="O177" s="323"/>
      <c r="P177" s="323"/>
    </row>
    <row r="178" spans="1:16" ht="14.4">
      <c r="A178" s="329"/>
      <c r="B178" s="329"/>
      <c r="C178" s="329"/>
      <c r="D178" s="330"/>
      <c r="E178" s="330"/>
      <c r="F178" s="330"/>
      <c r="G178" s="330"/>
      <c r="H178" s="330"/>
      <c r="I178" s="329"/>
      <c r="J178" s="323"/>
      <c r="K178" s="323"/>
      <c r="L178" s="323"/>
      <c r="M178" s="323"/>
      <c r="N178" s="323"/>
      <c r="O178" s="323"/>
      <c r="P178" s="323"/>
    </row>
    <row r="179" spans="1:16" ht="14.4">
      <c r="A179" s="329"/>
      <c r="B179" s="329"/>
      <c r="C179" s="329"/>
      <c r="D179" s="330"/>
      <c r="E179" s="330"/>
      <c r="F179" s="330"/>
      <c r="G179" s="330"/>
      <c r="H179" s="330"/>
      <c r="I179" s="329"/>
      <c r="J179" s="323"/>
      <c r="K179" s="323"/>
      <c r="L179" s="323"/>
      <c r="M179" s="323"/>
      <c r="N179" s="323"/>
      <c r="O179" s="323"/>
      <c r="P179" s="323"/>
    </row>
    <row r="180" spans="1:16" ht="14.4">
      <c r="A180" s="329"/>
      <c r="B180" s="329"/>
      <c r="C180" s="329"/>
      <c r="D180" s="330"/>
      <c r="E180" s="330"/>
      <c r="F180" s="330"/>
      <c r="G180" s="330"/>
      <c r="H180" s="330"/>
      <c r="I180" s="329"/>
      <c r="J180" s="323"/>
      <c r="K180" s="323"/>
      <c r="L180" s="323"/>
      <c r="M180" s="323"/>
      <c r="N180" s="323"/>
      <c r="O180" s="323"/>
      <c r="P180" s="323"/>
    </row>
    <row r="181" spans="1:16" ht="14.4">
      <c r="A181" s="329"/>
      <c r="B181" s="329"/>
      <c r="C181" s="329"/>
      <c r="D181" s="330"/>
      <c r="E181" s="330"/>
      <c r="F181" s="330"/>
      <c r="G181" s="330"/>
      <c r="H181" s="330"/>
      <c r="I181" s="329"/>
      <c r="J181" s="323"/>
      <c r="K181" s="323"/>
      <c r="L181" s="323"/>
      <c r="M181" s="323"/>
      <c r="N181" s="323"/>
      <c r="O181" s="323"/>
      <c r="P181" s="323"/>
    </row>
    <row r="182" spans="1:16" ht="14.4">
      <c r="A182" s="329"/>
      <c r="B182" s="329"/>
      <c r="C182" s="329"/>
      <c r="D182" s="330"/>
      <c r="E182" s="330"/>
      <c r="F182" s="330"/>
      <c r="G182" s="330"/>
      <c r="H182" s="330"/>
      <c r="I182" s="329"/>
      <c r="J182" s="323"/>
      <c r="K182" s="323"/>
      <c r="L182" s="323"/>
      <c r="M182" s="323"/>
      <c r="N182" s="323"/>
      <c r="O182" s="323"/>
      <c r="P182" s="323"/>
    </row>
    <row r="183" spans="1:16" ht="14.4">
      <c r="A183" s="329"/>
      <c r="B183" s="329"/>
      <c r="C183" s="329"/>
      <c r="D183" s="330"/>
      <c r="E183" s="330"/>
      <c r="F183" s="330"/>
      <c r="G183" s="330"/>
      <c r="H183" s="330"/>
      <c r="I183" s="329"/>
      <c r="J183" s="323"/>
      <c r="K183" s="323"/>
      <c r="L183" s="323"/>
      <c r="M183" s="323"/>
      <c r="N183" s="323"/>
      <c r="O183" s="323"/>
      <c r="P183" s="323"/>
    </row>
    <row r="184" spans="1:16" ht="14.4">
      <c r="A184" s="329"/>
      <c r="B184" s="329"/>
      <c r="C184" s="329"/>
      <c r="D184" s="330"/>
      <c r="E184" s="330"/>
      <c r="F184" s="330"/>
      <c r="G184" s="330"/>
      <c r="H184" s="330"/>
      <c r="I184" s="329"/>
      <c r="J184" s="323"/>
      <c r="K184" s="323"/>
      <c r="L184" s="323"/>
      <c r="M184" s="323"/>
      <c r="N184" s="323"/>
      <c r="O184" s="323"/>
      <c r="P184" s="323"/>
    </row>
    <row r="185" spans="1:16" ht="14.4">
      <c r="A185" s="329"/>
      <c r="B185" s="329"/>
      <c r="C185" s="329"/>
      <c r="D185" s="330"/>
      <c r="E185" s="330"/>
      <c r="F185" s="330"/>
      <c r="G185" s="330"/>
      <c r="H185" s="330"/>
      <c r="I185" s="329"/>
      <c r="J185" s="323"/>
      <c r="K185" s="323"/>
      <c r="L185" s="323"/>
      <c r="M185" s="323"/>
      <c r="N185" s="323"/>
      <c r="O185" s="323"/>
      <c r="P185" s="323"/>
    </row>
    <row r="186" spans="1:16" ht="14.4">
      <c r="A186" s="329"/>
      <c r="B186" s="329"/>
      <c r="C186" s="329"/>
      <c r="D186" s="330"/>
      <c r="E186" s="330"/>
      <c r="F186" s="330"/>
      <c r="G186" s="330"/>
      <c r="H186" s="330"/>
      <c r="I186" s="329"/>
      <c r="J186" s="323"/>
      <c r="K186" s="323"/>
      <c r="L186" s="323"/>
      <c r="M186" s="323"/>
      <c r="N186" s="323"/>
      <c r="O186" s="323"/>
      <c r="P186" s="323"/>
    </row>
    <row r="187" spans="1:16" ht="14.4">
      <c r="A187" s="329"/>
      <c r="B187" s="329"/>
      <c r="C187" s="329"/>
      <c r="D187" s="330"/>
      <c r="E187" s="330"/>
      <c r="F187" s="330"/>
      <c r="G187" s="330"/>
      <c r="H187" s="330"/>
      <c r="I187" s="329"/>
      <c r="J187" s="323"/>
      <c r="K187" s="323"/>
      <c r="L187" s="323"/>
      <c r="M187" s="323"/>
      <c r="N187" s="323"/>
      <c r="O187" s="323"/>
      <c r="P187" s="323"/>
    </row>
    <row r="188" spans="1:16" ht="14.4">
      <c r="A188" s="329"/>
      <c r="B188" s="329"/>
      <c r="C188" s="329"/>
      <c r="D188" s="330"/>
      <c r="E188" s="330"/>
      <c r="F188" s="330"/>
      <c r="G188" s="330"/>
      <c r="H188" s="330"/>
      <c r="I188" s="329"/>
      <c r="J188" s="323"/>
      <c r="K188" s="323"/>
      <c r="L188" s="323"/>
      <c r="M188" s="323"/>
      <c r="N188" s="323"/>
      <c r="O188" s="323"/>
      <c r="P188" s="323"/>
    </row>
    <row r="189" spans="1:16" ht="14.4">
      <c r="A189" s="329"/>
      <c r="B189" s="329"/>
      <c r="C189" s="329"/>
      <c r="D189" s="330"/>
      <c r="E189" s="330"/>
      <c r="F189" s="330"/>
      <c r="G189" s="330"/>
      <c r="H189" s="330"/>
      <c r="I189" s="329"/>
      <c r="J189" s="323"/>
      <c r="K189" s="323"/>
      <c r="L189" s="323"/>
      <c r="M189" s="323"/>
      <c r="N189" s="323"/>
      <c r="O189" s="323"/>
      <c r="P189" s="323"/>
    </row>
    <row r="190" spans="1:16" ht="14.4">
      <c r="A190" s="329"/>
      <c r="B190" s="329"/>
      <c r="C190" s="329"/>
      <c r="D190" s="330"/>
      <c r="E190" s="330"/>
      <c r="F190" s="330"/>
      <c r="G190" s="330"/>
      <c r="H190" s="330"/>
      <c r="I190" s="329"/>
      <c r="J190" s="323"/>
      <c r="K190" s="323"/>
      <c r="L190" s="323"/>
      <c r="M190" s="323"/>
      <c r="N190" s="323"/>
      <c r="O190" s="323"/>
      <c r="P190" s="323"/>
    </row>
    <row r="191" spans="1:16" ht="14.4">
      <c r="A191" s="329"/>
      <c r="B191" s="329"/>
      <c r="C191" s="329"/>
      <c r="D191" s="330"/>
      <c r="E191" s="330"/>
      <c r="F191" s="330"/>
      <c r="G191" s="330"/>
      <c r="H191" s="330"/>
      <c r="I191" s="329"/>
      <c r="J191" s="323"/>
      <c r="K191" s="323"/>
      <c r="L191" s="323"/>
      <c r="M191" s="323"/>
      <c r="N191" s="323"/>
      <c r="O191" s="323"/>
      <c r="P191" s="323"/>
    </row>
    <row r="192" spans="1:16" ht="14.4">
      <c r="A192" s="329"/>
      <c r="B192" s="329"/>
      <c r="C192" s="329"/>
      <c r="D192" s="330"/>
      <c r="E192" s="330"/>
      <c r="F192" s="330"/>
      <c r="G192" s="330"/>
      <c r="H192" s="330"/>
      <c r="I192" s="329"/>
      <c r="J192" s="323"/>
      <c r="K192" s="323"/>
      <c r="L192" s="323"/>
      <c r="M192" s="323"/>
      <c r="N192" s="323"/>
      <c r="O192" s="323"/>
      <c r="P192" s="323"/>
    </row>
    <row r="193" spans="1:16" ht="14.4">
      <c r="A193" s="329"/>
      <c r="B193" s="329"/>
      <c r="C193" s="329"/>
      <c r="D193" s="330"/>
      <c r="E193" s="330"/>
      <c r="F193" s="330"/>
      <c r="G193" s="330"/>
      <c r="H193" s="330"/>
      <c r="I193" s="329"/>
      <c r="J193" s="323"/>
      <c r="K193" s="323"/>
      <c r="L193" s="323"/>
      <c r="M193" s="323"/>
      <c r="N193" s="323"/>
      <c r="O193" s="323"/>
      <c r="P193" s="323"/>
    </row>
    <row r="194" spans="1:16" ht="14.4">
      <c r="A194" s="329"/>
      <c r="B194" s="329"/>
      <c r="C194" s="329"/>
      <c r="D194" s="330"/>
      <c r="E194" s="330"/>
      <c r="F194" s="330"/>
      <c r="G194" s="330"/>
      <c r="H194" s="330"/>
      <c r="I194" s="329"/>
      <c r="J194" s="323"/>
      <c r="K194" s="323"/>
      <c r="L194" s="323"/>
      <c r="M194" s="323"/>
      <c r="N194" s="323"/>
      <c r="O194" s="323"/>
      <c r="P194" s="323"/>
    </row>
    <row r="195" spans="1:16" ht="14.4">
      <c r="A195" s="329"/>
      <c r="B195" s="329"/>
      <c r="C195" s="329"/>
      <c r="D195" s="330"/>
      <c r="E195" s="330"/>
      <c r="F195" s="330"/>
      <c r="G195" s="330"/>
      <c r="H195" s="330"/>
      <c r="I195" s="329"/>
      <c r="J195" s="323"/>
      <c r="K195" s="323"/>
      <c r="L195" s="323"/>
      <c r="M195" s="323"/>
      <c r="N195" s="323"/>
      <c r="O195" s="323"/>
      <c r="P195" s="323"/>
    </row>
    <row r="196" spans="1:16" ht="14.4">
      <c r="A196" s="329"/>
      <c r="B196" s="329"/>
      <c r="C196" s="329"/>
      <c r="D196" s="330"/>
      <c r="E196" s="330"/>
      <c r="F196" s="330"/>
      <c r="G196" s="330"/>
      <c r="H196" s="330"/>
      <c r="I196" s="329"/>
      <c r="J196" s="323"/>
      <c r="K196" s="323"/>
      <c r="L196" s="323"/>
      <c r="M196" s="323"/>
      <c r="N196" s="323"/>
      <c r="O196" s="323"/>
      <c r="P196" s="323"/>
    </row>
    <row r="197" spans="1:16" ht="14.4">
      <c r="A197" s="329"/>
      <c r="B197" s="329"/>
      <c r="C197" s="329"/>
      <c r="D197" s="330"/>
      <c r="E197" s="330"/>
      <c r="F197" s="330"/>
      <c r="G197" s="330"/>
      <c r="H197" s="330"/>
      <c r="I197" s="329"/>
      <c r="J197" s="323"/>
      <c r="K197" s="323"/>
      <c r="L197" s="323"/>
      <c r="M197" s="323"/>
      <c r="N197" s="323"/>
      <c r="O197" s="323"/>
      <c r="P197" s="323"/>
    </row>
    <row r="198" spans="1:16" ht="14.4">
      <c r="A198" s="329"/>
      <c r="B198" s="329"/>
      <c r="C198" s="329"/>
      <c r="D198" s="330"/>
      <c r="E198" s="330"/>
      <c r="F198" s="330"/>
      <c r="G198" s="330"/>
      <c r="H198" s="330"/>
      <c r="I198" s="329"/>
      <c r="J198" s="323"/>
      <c r="K198" s="323"/>
      <c r="L198" s="323"/>
      <c r="M198" s="323"/>
      <c r="N198" s="323"/>
      <c r="O198" s="323"/>
      <c r="P198" s="323"/>
    </row>
    <row r="199" spans="1:16" ht="14.4">
      <c r="A199" s="329"/>
      <c r="B199" s="329"/>
      <c r="C199" s="329"/>
      <c r="D199" s="330"/>
      <c r="E199" s="330"/>
      <c r="F199" s="330"/>
      <c r="G199" s="330"/>
      <c r="H199" s="330"/>
      <c r="I199" s="329"/>
      <c r="J199" s="323"/>
      <c r="K199" s="323"/>
      <c r="L199" s="323"/>
      <c r="M199" s="323"/>
      <c r="N199" s="323"/>
      <c r="O199" s="323"/>
      <c r="P199" s="323"/>
    </row>
    <row r="200" spans="1:16" ht="14.4">
      <c r="A200" s="329"/>
      <c r="B200" s="329"/>
      <c r="C200" s="329"/>
      <c r="D200" s="330"/>
      <c r="E200" s="330"/>
      <c r="F200" s="330"/>
      <c r="G200" s="330"/>
      <c r="H200" s="330"/>
      <c r="I200" s="329"/>
      <c r="J200" s="323"/>
      <c r="K200" s="323"/>
      <c r="L200" s="323"/>
      <c r="M200" s="323"/>
      <c r="N200" s="323"/>
      <c r="O200" s="323"/>
      <c r="P200" s="323"/>
    </row>
    <row r="201" spans="1:16" ht="14.4">
      <c r="A201" s="329"/>
      <c r="B201" s="329"/>
      <c r="C201" s="329"/>
      <c r="D201" s="330"/>
      <c r="E201" s="330"/>
      <c r="F201" s="330"/>
      <c r="G201" s="330"/>
      <c r="H201" s="330"/>
      <c r="I201" s="329"/>
      <c r="J201" s="323"/>
      <c r="K201" s="323"/>
      <c r="L201" s="323"/>
      <c r="M201" s="323"/>
      <c r="N201" s="323"/>
      <c r="O201" s="323"/>
      <c r="P201" s="323"/>
    </row>
    <row r="202" spans="1:16" ht="14.4">
      <c r="A202" s="329"/>
      <c r="B202" s="329"/>
      <c r="C202" s="329"/>
      <c r="D202" s="330"/>
      <c r="E202" s="330"/>
      <c r="F202" s="330"/>
      <c r="G202" s="330"/>
      <c r="H202" s="330"/>
      <c r="I202" s="329"/>
      <c r="J202" s="323"/>
      <c r="K202" s="323"/>
      <c r="L202" s="323"/>
      <c r="M202" s="323"/>
      <c r="N202" s="323"/>
      <c r="O202" s="323"/>
      <c r="P202" s="323"/>
    </row>
    <row r="203" spans="1:16" ht="14.4">
      <c r="A203" s="329"/>
      <c r="B203" s="329"/>
      <c r="C203" s="329"/>
      <c r="D203" s="330"/>
      <c r="E203" s="330"/>
      <c r="F203" s="330"/>
      <c r="G203" s="330"/>
      <c r="H203" s="330"/>
      <c r="I203" s="329"/>
      <c r="J203" s="323"/>
      <c r="K203" s="323"/>
      <c r="L203" s="323"/>
      <c r="M203" s="323"/>
      <c r="N203" s="323"/>
      <c r="O203" s="323"/>
      <c r="P203" s="323"/>
    </row>
    <row r="204" spans="1:16" ht="14.4">
      <c r="A204" s="329"/>
      <c r="B204" s="329"/>
      <c r="C204" s="329"/>
      <c r="D204" s="330"/>
      <c r="E204" s="330"/>
      <c r="F204" s="330"/>
      <c r="G204" s="330"/>
      <c r="H204" s="330"/>
      <c r="I204" s="329"/>
      <c r="J204" s="323"/>
      <c r="K204" s="323"/>
      <c r="L204" s="323"/>
      <c r="M204" s="323"/>
      <c r="N204" s="323"/>
      <c r="O204" s="323"/>
      <c r="P204" s="323"/>
    </row>
    <row r="205" spans="1:16" ht="14.4">
      <c r="A205" s="329"/>
      <c r="B205" s="329"/>
      <c r="C205" s="329"/>
      <c r="D205" s="330"/>
      <c r="E205" s="330"/>
      <c r="F205" s="330"/>
      <c r="G205" s="330"/>
      <c r="H205" s="330"/>
      <c r="I205" s="329"/>
      <c r="J205" s="323"/>
      <c r="K205" s="323"/>
      <c r="L205" s="323"/>
      <c r="M205" s="323"/>
      <c r="N205" s="323"/>
      <c r="O205" s="323"/>
      <c r="P205" s="323"/>
    </row>
    <row r="206" spans="1:16" ht="14.4">
      <c r="A206" s="329"/>
      <c r="B206" s="329"/>
      <c r="C206" s="329"/>
      <c r="D206" s="330"/>
      <c r="E206" s="330"/>
      <c r="F206" s="330"/>
      <c r="G206" s="330"/>
      <c r="H206" s="330"/>
      <c r="I206" s="329"/>
      <c r="J206" s="323"/>
      <c r="K206" s="323"/>
      <c r="L206" s="323"/>
      <c r="M206" s="323"/>
      <c r="N206" s="323"/>
      <c r="O206" s="323"/>
      <c r="P206" s="323"/>
    </row>
    <row r="207" spans="1:16" ht="14.4">
      <c r="A207" s="329"/>
      <c r="B207" s="329"/>
      <c r="C207" s="329"/>
      <c r="D207" s="330"/>
      <c r="E207" s="330"/>
      <c r="F207" s="330"/>
      <c r="G207" s="330"/>
      <c r="H207" s="330"/>
      <c r="I207" s="329"/>
      <c r="J207" s="323"/>
      <c r="K207" s="323"/>
      <c r="L207" s="323"/>
      <c r="M207" s="323"/>
      <c r="N207" s="323"/>
      <c r="O207" s="323"/>
      <c r="P207" s="323"/>
    </row>
    <row r="208" spans="1:16" ht="14.4">
      <c r="A208" s="329"/>
      <c r="B208" s="329"/>
      <c r="C208" s="329"/>
      <c r="D208" s="330"/>
      <c r="E208" s="330"/>
      <c r="F208" s="330"/>
      <c r="G208" s="330"/>
      <c r="H208" s="330"/>
      <c r="I208" s="329"/>
      <c r="J208" s="323"/>
      <c r="K208" s="323"/>
      <c r="L208" s="323"/>
      <c r="M208" s="323"/>
      <c r="N208" s="323"/>
      <c r="O208" s="323"/>
      <c r="P208" s="323"/>
    </row>
    <row r="209" spans="1:16" ht="14.4">
      <c r="A209" s="329"/>
      <c r="B209" s="329"/>
      <c r="C209" s="329"/>
      <c r="D209" s="330"/>
      <c r="E209" s="330"/>
      <c r="F209" s="330"/>
      <c r="G209" s="330"/>
      <c r="H209" s="330"/>
      <c r="I209" s="329"/>
      <c r="J209" s="323"/>
      <c r="K209" s="323"/>
      <c r="L209" s="323"/>
      <c r="M209" s="323"/>
      <c r="N209" s="323"/>
      <c r="O209" s="323"/>
      <c r="P209" s="323"/>
    </row>
    <row r="210" spans="1:16" ht="14.4">
      <c r="A210" s="329"/>
      <c r="B210" s="329"/>
      <c r="C210" s="329"/>
      <c r="D210" s="330"/>
      <c r="E210" s="330"/>
      <c r="F210" s="330"/>
      <c r="G210" s="330"/>
      <c r="H210" s="330"/>
      <c r="I210" s="329"/>
      <c r="J210" s="323"/>
      <c r="K210" s="323"/>
      <c r="L210" s="323"/>
      <c r="M210" s="323"/>
      <c r="N210" s="323"/>
      <c r="O210" s="323"/>
      <c r="P210" s="323"/>
    </row>
    <row r="211" spans="1:16" ht="14.4">
      <c r="A211" s="329"/>
      <c r="B211" s="329"/>
      <c r="C211" s="329"/>
      <c r="D211" s="330"/>
      <c r="E211" s="330"/>
      <c r="F211" s="330"/>
      <c r="G211" s="330"/>
      <c r="H211" s="330"/>
      <c r="I211" s="329"/>
      <c r="J211" s="323"/>
      <c r="K211" s="323"/>
      <c r="L211" s="323"/>
      <c r="M211" s="323"/>
      <c r="N211" s="323"/>
      <c r="O211" s="323"/>
      <c r="P211" s="323"/>
    </row>
    <row r="212" spans="1:16" ht="14.4">
      <c r="A212" s="329"/>
      <c r="B212" s="329"/>
      <c r="C212" s="329"/>
      <c r="D212" s="330"/>
      <c r="E212" s="330"/>
      <c r="F212" s="330"/>
      <c r="G212" s="330"/>
      <c r="H212" s="330"/>
      <c r="I212" s="329"/>
      <c r="J212" s="323"/>
      <c r="K212" s="323"/>
      <c r="L212" s="323"/>
      <c r="M212" s="323"/>
      <c r="N212" s="323"/>
      <c r="O212" s="323"/>
      <c r="P212" s="323"/>
    </row>
    <row r="213" spans="1:16" ht="14.4">
      <c r="A213" s="329"/>
      <c r="B213" s="329"/>
      <c r="C213" s="329"/>
      <c r="D213" s="330"/>
      <c r="E213" s="330"/>
      <c r="F213" s="330"/>
      <c r="G213" s="330"/>
      <c r="H213" s="330"/>
      <c r="I213" s="329"/>
      <c r="J213" s="323"/>
      <c r="K213" s="323"/>
      <c r="L213" s="323"/>
      <c r="M213" s="323"/>
      <c r="N213" s="323"/>
      <c r="O213" s="323"/>
      <c r="P213" s="323"/>
    </row>
    <row r="214" spans="1:16" ht="14.4">
      <c r="A214" s="329"/>
      <c r="B214" s="329"/>
      <c r="C214" s="329"/>
      <c r="D214" s="330"/>
      <c r="E214" s="330"/>
      <c r="F214" s="330"/>
      <c r="G214" s="330"/>
      <c r="H214" s="330"/>
      <c r="I214" s="329"/>
      <c r="J214" s="323"/>
      <c r="K214" s="323"/>
      <c r="L214" s="323"/>
      <c r="M214" s="323"/>
      <c r="N214" s="323"/>
      <c r="O214" s="323"/>
      <c r="P214" s="323"/>
    </row>
    <row r="215" spans="1:16" ht="14.4">
      <c r="A215" s="329"/>
      <c r="B215" s="329"/>
      <c r="C215" s="329"/>
      <c r="D215" s="330"/>
      <c r="E215" s="330"/>
      <c r="F215" s="330"/>
      <c r="G215" s="330"/>
      <c r="H215" s="330"/>
      <c r="I215" s="329"/>
      <c r="J215" s="323"/>
      <c r="K215" s="323"/>
      <c r="L215" s="323"/>
      <c r="M215" s="323"/>
      <c r="N215" s="323"/>
      <c r="O215" s="323"/>
      <c r="P215" s="323"/>
    </row>
    <row r="216" spans="1:16" ht="14.4">
      <c r="A216" s="329"/>
      <c r="B216" s="329"/>
      <c r="C216" s="329"/>
      <c r="D216" s="330"/>
      <c r="E216" s="330"/>
      <c r="F216" s="330"/>
      <c r="G216" s="330"/>
      <c r="H216" s="330"/>
      <c r="I216" s="329"/>
      <c r="J216" s="323"/>
      <c r="K216" s="323"/>
      <c r="L216" s="323"/>
      <c r="M216" s="323"/>
      <c r="N216" s="323"/>
      <c r="O216" s="323"/>
      <c r="P216" s="323"/>
    </row>
    <row r="217" spans="1:16" ht="14.4">
      <c r="A217" s="329"/>
      <c r="B217" s="329"/>
      <c r="C217" s="329"/>
      <c r="D217" s="330"/>
      <c r="E217" s="330"/>
      <c r="F217" s="330"/>
      <c r="G217" s="330"/>
      <c r="H217" s="330"/>
      <c r="I217" s="329"/>
      <c r="J217" s="323"/>
      <c r="K217" s="323"/>
      <c r="L217" s="323"/>
      <c r="M217" s="323"/>
      <c r="N217" s="323"/>
      <c r="O217" s="323"/>
      <c r="P217" s="323"/>
    </row>
    <row r="218" spans="1:16" ht="14.4">
      <c r="A218" s="329"/>
      <c r="B218" s="329"/>
      <c r="C218" s="329"/>
      <c r="D218" s="330"/>
      <c r="E218" s="330"/>
      <c r="F218" s="330"/>
      <c r="G218" s="330"/>
      <c r="H218" s="330"/>
      <c r="I218" s="329"/>
      <c r="J218" s="323"/>
      <c r="K218" s="323"/>
      <c r="L218" s="323"/>
      <c r="M218" s="323"/>
      <c r="N218" s="323"/>
      <c r="O218" s="323"/>
      <c r="P218" s="323"/>
    </row>
    <row r="219" spans="1:16" ht="14.4">
      <c r="A219" s="329"/>
      <c r="B219" s="329"/>
      <c r="C219" s="329"/>
      <c r="D219" s="330"/>
      <c r="E219" s="330"/>
      <c r="F219" s="330"/>
      <c r="G219" s="330"/>
      <c r="H219" s="330"/>
      <c r="I219" s="329"/>
      <c r="J219" s="323"/>
      <c r="K219" s="323"/>
      <c r="L219" s="323"/>
      <c r="M219" s="323"/>
      <c r="N219" s="323"/>
      <c r="O219" s="323"/>
      <c r="P219" s="323"/>
    </row>
    <row r="220" spans="1:16" ht="14.4">
      <c r="A220" s="329"/>
      <c r="B220" s="329"/>
      <c r="C220" s="329"/>
      <c r="D220" s="330"/>
      <c r="E220" s="330"/>
      <c r="F220" s="330"/>
      <c r="G220" s="330"/>
      <c r="H220" s="330"/>
      <c r="I220" s="329"/>
      <c r="J220" s="323"/>
      <c r="K220" s="323"/>
      <c r="L220" s="323"/>
      <c r="M220" s="323"/>
      <c r="N220" s="323"/>
      <c r="O220" s="323"/>
      <c r="P220" s="323"/>
    </row>
    <row r="221" spans="1:16" ht="14.4">
      <c r="A221" s="329"/>
      <c r="B221" s="329"/>
      <c r="C221" s="329"/>
      <c r="D221" s="330"/>
      <c r="E221" s="330"/>
      <c r="F221" s="330"/>
      <c r="G221" s="330"/>
      <c r="H221" s="330"/>
      <c r="I221" s="329"/>
      <c r="J221" s="323"/>
      <c r="K221" s="323"/>
      <c r="L221" s="323"/>
      <c r="M221" s="323"/>
      <c r="N221" s="323"/>
      <c r="O221" s="323"/>
      <c r="P221" s="323"/>
    </row>
    <row r="222" spans="1:16" ht="14.4">
      <c r="A222" s="329"/>
      <c r="B222" s="329"/>
      <c r="C222" s="329"/>
      <c r="D222" s="330"/>
      <c r="E222" s="330"/>
      <c r="F222" s="330"/>
      <c r="G222" s="330"/>
      <c r="H222" s="330"/>
      <c r="I222" s="329"/>
      <c r="J222" s="323"/>
      <c r="K222" s="323"/>
      <c r="L222" s="323"/>
      <c r="M222" s="323"/>
      <c r="N222" s="323"/>
      <c r="O222" s="323"/>
      <c r="P222" s="323"/>
    </row>
    <row r="223" spans="1:16" ht="14.4">
      <c r="A223" s="329"/>
      <c r="B223" s="329"/>
      <c r="C223" s="329"/>
      <c r="D223" s="330"/>
      <c r="E223" s="330"/>
      <c r="F223" s="330"/>
      <c r="G223" s="330"/>
      <c r="H223" s="330"/>
      <c r="I223" s="329"/>
      <c r="J223" s="323"/>
      <c r="K223" s="323"/>
      <c r="L223" s="323"/>
      <c r="M223" s="323"/>
      <c r="N223" s="323"/>
      <c r="O223" s="323"/>
      <c r="P223" s="323"/>
    </row>
    <row r="224" spans="1:16" ht="14.4">
      <c r="A224" s="329"/>
      <c r="B224" s="329"/>
      <c r="C224" s="329"/>
      <c r="D224" s="330"/>
      <c r="E224" s="330"/>
      <c r="F224" s="330"/>
      <c r="G224" s="330"/>
      <c r="H224" s="330"/>
      <c r="I224" s="329"/>
      <c r="J224" s="323"/>
      <c r="K224" s="323"/>
      <c r="L224" s="323"/>
      <c r="M224" s="323"/>
      <c r="N224" s="323"/>
      <c r="O224" s="323"/>
      <c r="P224" s="323"/>
    </row>
    <row r="225" spans="1:16" ht="14.4">
      <c r="A225" s="329"/>
      <c r="B225" s="329"/>
      <c r="C225" s="329"/>
      <c r="D225" s="330"/>
      <c r="E225" s="330"/>
      <c r="F225" s="330"/>
      <c r="G225" s="330"/>
      <c r="H225" s="330"/>
      <c r="I225" s="329"/>
      <c r="J225" s="323"/>
      <c r="K225" s="323"/>
      <c r="L225" s="323"/>
      <c r="M225" s="323"/>
      <c r="N225" s="323"/>
      <c r="O225" s="323"/>
      <c r="P225" s="323"/>
    </row>
    <row r="226" spans="1:16" ht="14.4">
      <c r="A226" s="329"/>
      <c r="B226" s="329"/>
      <c r="C226" s="329"/>
      <c r="D226" s="330"/>
      <c r="E226" s="330"/>
      <c r="F226" s="330"/>
      <c r="G226" s="330"/>
      <c r="H226" s="330"/>
      <c r="I226" s="329"/>
      <c r="J226" s="323"/>
      <c r="K226" s="323"/>
      <c r="L226" s="323"/>
      <c r="M226" s="323"/>
      <c r="N226" s="323"/>
      <c r="O226" s="323"/>
      <c r="P226" s="323"/>
    </row>
    <row r="227" spans="1:16" ht="14.4">
      <c r="A227" s="329"/>
      <c r="B227" s="329"/>
      <c r="C227" s="329"/>
      <c r="D227" s="330"/>
      <c r="E227" s="330"/>
      <c r="F227" s="330"/>
      <c r="G227" s="330"/>
      <c r="H227" s="330"/>
      <c r="I227" s="329"/>
      <c r="J227" s="323"/>
      <c r="K227" s="323"/>
      <c r="L227" s="323"/>
      <c r="M227" s="323"/>
      <c r="N227" s="323"/>
      <c r="O227" s="323"/>
      <c r="P227" s="323"/>
    </row>
    <row r="228" spans="1:16" ht="14.4">
      <c r="A228" s="329"/>
      <c r="B228" s="329"/>
      <c r="C228" s="329"/>
      <c r="D228" s="330"/>
      <c r="E228" s="330"/>
      <c r="F228" s="330"/>
      <c r="G228" s="330"/>
      <c r="H228" s="330"/>
      <c r="I228" s="329"/>
      <c r="J228" s="323"/>
      <c r="K228" s="323"/>
      <c r="L228" s="323"/>
      <c r="M228" s="323"/>
      <c r="N228" s="323"/>
      <c r="O228" s="323"/>
      <c r="P228" s="323"/>
    </row>
    <row r="229" spans="1:16" ht="14.4">
      <c r="A229" s="329"/>
      <c r="B229" s="329"/>
      <c r="C229" s="329"/>
      <c r="D229" s="330"/>
      <c r="E229" s="330"/>
      <c r="F229" s="330"/>
      <c r="G229" s="330"/>
      <c r="H229" s="330"/>
      <c r="I229" s="329"/>
      <c r="J229" s="323"/>
      <c r="K229" s="323"/>
      <c r="L229" s="323"/>
      <c r="M229" s="323"/>
      <c r="N229" s="323"/>
      <c r="O229" s="323"/>
      <c r="P229" s="323"/>
    </row>
    <row r="230" spans="1:16" ht="14.4">
      <c r="A230" s="329"/>
      <c r="B230" s="329"/>
      <c r="C230" s="329"/>
      <c r="D230" s="330"/>
      <c r="E230" s="330"/>
      <c r="F230" s="330"/>
      <c r="G230" s="330"/>
      <c r="H230" s="330"/>
      <c r="I230" s="329"/>
      <c r="J230" s="323"/>
      <c r="K230" s="323"/>
      <c r="L230" s="323"/>
      <c r="M230" s="323"/>
      <c r="N230" s="323"/>
      <c r="O230" s="323"/>
      <c r="P230" s="323"/>
    </row>
    <row r="231" spans="1:16" ht="14.4">
      <c r="A231" s="329"/>
      <c r="B231" s="329"/>
      <c r="C231" s="329"/>
      <c r="D231" s="330"/>
      <c r="E231" s="330"/>
      <c r="F231" s="330"/>
      <c r="G231" s="330"/>
      <c r="H231" s="330"/>
      <c r="I231" s="329"/>
      <c r="J231" s="323"/>
      <c r="K231" s="323"/>
      <c r="L231" s="323"/>
      <c r="M231" s="323"/>
      <c r="N231" s="323"/>
      <c r="O231" s="323"/>
      <c r="P231" s="323"/>
    </row>
    <row r="232" spans="1:16" ht="14.4">
      <c r="A232" s="329"/>
      <c r="B232" s="329"/>
      <c r="C232" s="329"/>
      <c r="D232" s="330"/>
      <c r="E232" s="330"/>
      <c r="F232" s="330"/>
      <c r="G232" s="330"/>
      <c r="H232" s="330"/>
      <c r="I232" s="329"/>
      <c r="J232" s="323"/>
      <c r="K232" s="323"/>
      <c r="L232" s="323"/>
      <c r="M232" s="323"/>
      <c r="N232" s="323"/>
      <c r="O232" s="323"/>
      <c r="P232" s="323"/>
    </row>
    <row r="233" spans="1:16" ht="14.4">
      <c r="A233" s="329"/>
      <c r="B233" s="329"/>
      <c r="C233" s="329"/>
      <c r="D233" s="330"/>
      <c r="E233" s="330"/>
      <c r="F233" s="330"/>
      <c r="G233" s="330"/>
      <c r="H233" s="330"/>
      <c r="I233" s="329"/>
      <c r="J233" s="323"/>
      <c r="K233" s="323"/>
      <c r="L233" s="323"/>
      <c r="M233" s="323"/>
      <c r="N233" s="323"/>
      <c r="O233" s="323"/>
      <c r="P233" s="323"/>
    </row>
    <row r="234" spans="1:16" ht="14.4">
      <c r="A234" s="329"/>
      <c r="B234" s="329"/>
      <c r="C234" s="329"/>
      <c r="D234" s="330"/>
      <c r="E234" s="330"/>
      <c r="F234" s="330"/>
      <c r="G234" s="330"/>
      <c r="H234" s="330"/>
      <c r="I234" s="329"/>
      <c r="J234" s="323"/>
      <c r="K234" s="323"/>
      <c r="L234" s="323"/>
      <c r="M234" s="323"/>
      <c r="N234" s="323"/>
      <c r="O234" s="323"/>
      <c r="P234" s="323"/>
    </row>
    <row r="235" spans="1:16" ht="14.4">
      <c r="A235" s="329"/>
      <c r="B235" s="329"/>
      <c r="C235" s="329"/>
      <c r="D235" s="330"/>
      <c r="E235" s="330"/>
      <c r="F235" s="330"/>
      <c r="G235" s="330"/>
      <c r="H235" s="330"/>
      <c r="I235" s="329"/>
      <c r="J235" s="323"/>
      <c r="K235" s="323"/>
      <c r="L235" s="323"/>
      <c r="M235" s="323"/>
      <c r="N235" s="323"/>
      <c r="O235" s="323"/>
      <c r="P235" s="323"/>
    </row>
    <row r="236" spans="1:16" ht="14.4">
      <c r="A236" s="329"/>
      <c r="B236" s="329"/>
      <c r="C236" s="329"/>
      <c r="D236" s="330"/>
      <c r="E236" s="330"/>
      <c r="F236" s="330"/>
      <c r="G236" s="330"/>
      <c r="H236" s="330"/>
      <c r="I236" s="329"/>
      <c r="J236" s="323"/>
      <c r="K236" s="323"/>
      <c r="L236" s="323"/>
      <c r="M236" s="323"/>
      <c r="N236" s="323"/>
      <c r="O236" s="323"/>
      <c r="P236" s="323"/>
    </row>
    <row r="237" spans="1:16" ht="14.4">
      <c r="A237" s="329"/>
      <c r="B237" s="329"/>
      <c r="C237" s="329"/>
      <c r="D237" s="330"/>
      <c r="E237" s="330"/>
      <c r="F237" s="330"/>
      <c r="G237" s="330"/>
      <c r="H237" s="330"/>
      <c r="I237" s="329"/>
      <c r="J237" s="323"/>
      <c r="K237" s="323"/>
      <c r="L237" s="323"/>
      <c r="M237" s="323"/>
      <c r="N237" s="323"/>
      <c r="O237" s="323"/>
      <c r="P237" s="323"/>
    </row>
    <row r="238" spans="1:16" ht="14.4">
      <c r="A238" s="329"/>
      <c r="B238" s="329"/>
      <c r="C238" s="329"/>
      <c r="D238" s="330"/>
      <c r="E238" s="330"/>
      <c r="F238" s="330"/>
      <c r="G238" s="330"/>
      <c r="H238" s="330"/>
      <c r="I238" s="329"/>
      <c r="J238" s="323"/>
      <c r="K238" s="323"/>
      <c r="L238" s="323"/>
      <c r="M238" s="323"/>
      <c r="N238" s="323"/>
      <c r="O238" s="323"/>
      <c r="P238" s="323"/>
    </row>
    <row r="239" spans="1:16" ht="14.4">
      <c r="A239" s="329"/>
      <c r="B239" s="329"/>
      <c r="C239" s="329"/>
      <c r="D239" s="330"/>
      <c r="E239" s="330"/>
      <c r="F239" s="330"/>
      <c r="G239" s="330"/>
      <c r="H239" s="330"/>
      <c r="I239" s="329"/>
      <c r="J239" s="323"/>
      <c r="K239" s="323"/>
      <c r="L239" s="323"/>
      <c r="M239" s="323"/>
      <c r="N239" s="323"/>
      <c r="O239" s="323"/>
      <c r="P239" s="323"/>
    </row>
    <row r="240" spans="1:16" ht="14.4">
      <c r="A240" s="329"/>
      <c r="B240" s="329"/>
      <c r="C240" s="329"/>
      <c r="D240" s="330"/>
      <c r="E240" s="330"/>
      <c r="F240" s="330"/>
      <c r="G240" s="330"/>
      <c r="H240" s="330"/>
      <c r="I240" s="329"/>
      <c r="J240" s="323"/>
      <c r="K240" s="323"/>
      <c r="L240" s="323"/>
      <c r="M240" s="323"/>
      <c r="N240" s="323"/>
      <c r="O240" s="323"/>
      <c r="P240" s="323"/>
    </row>
    <row r="241" spans="1:16" ht="14.4">
      <c r="A241" s="329"/>
      <c r="B241" s="329"/>
      <c r="C241" s="329"/>
      <c r="D241" s="330"/>
      <c r="E241" s="330"/>
      <c r="F241" s="330"/>
      <c r="G241" s="330"/>
      <c r="H241" s="330"/>
      <c r="I241" s="329"/>
      <c r="J241" s="323"/>
      <c r="K241" s="323"/>
      <c r="L241" s="323"/>
      <c r="M241" s="323"/>
      <c r="N241" s="323"/>
      <c r="O241" s="323"/>
      <c r="P241" s="323"/>
    </row>
    <row r="242" spans="1:16" ht="14.4">
      <c r="A242" s="329"/>
      <c r="B242" s="329"/>
      <c r="C242" s="329"/>
      <c r="D242" s="330"/>
      <c r="E242" s="330"/>
      <c r="F242" s="330"/>
      <c r="G242" s="330"/>
      <c r="H242" s="330"/>
      <c r="I242" s="329"/>
      <c r="J242" s="323"/>
      <c r="K242" s="323"/>
      <c r="L242" s="323"/>
      <c r="M242" s="323"/>
      <c r="N242" s="323"/>
      <c r="O242" s="323"/>
      <c r="P242" s="323"/>
    </row>
    <row r="243" spans="1:16" ht="14.4">
      <c r="A243" s="329"/>
      <c r="B243" s="329"/>
      <c r="C243" s="329"/>
      <c r="D243" s="330"/>
      <c r="E243" s="330"/>
      <c r="F243" s="330"/>
      <c r="G243" s="330"/>
      <c r="H243" s="330"/>
      <c r="I243" s="329"/>
      <c r="J243" s="323"/>
      <c r="K243" s="323"/>
      <c r="L243" s="323"/>
      <c r="M243" s="323"/>
      <c r="N243" s="323"/>
      <c r="O243" s="323"/>
      <c r="P243" s="323"/>
    </row>
    <row r="244" spans="1:16" ht="14.4">
      <c r="A244" s="329"/>
      <c r="B244" s="329"/>
      <c r="C244" s="329"/>
      <c r="D244" s="330"/>
      <c r="E244" s="330"/>
      <c r="F244" s="330"/>
      <c r="G244" s="330"/>
      <c r="H244" s="330"/>
      <c r="I244" s="329"/>
      <c r="J244" s="323"/>
      <c r="K244" s="323"/>
      <c r="L244" s="323"/>
      <c r="M244" s="323"/>
      <c r="N244" s="323"/>
      <c r="O244" s="323"/>
      <c r="P244" s="323"/>
    </row>
    <row r="245" spans="1:16" ht="14.4">
      <c r="A245" s="329"/>
      <c r="B245" s="329"/>
      <c r="C245" s="329"/>
      <c r="D245" s="330"/>
      <c r="E245" s="330"/>
      <c r="F245" s="330"/>
      <c r="G245" s="330"/>
      <c r="H245" s="330"/>
      <c r="I245" s="329"/>
      <c r="J245" s="323"/>
      <c r="K245" s="323"/>
      <c r="L245" s="323"/>
      <c r="M245" s="323"/>
      <c r="N245" s="323"/>
      <c r="O245" s="323"/>
      <c r="P245" s="323"/>
    </row>
    <row r="246" spans="1:16" ht="14.4">
      <c r="A246" s="329"/>
      <c r="B246" s="329"/>
      <c r="C246" s="329"/>
      <c r="D246" s="330"/>
      <c r="E246" s="330"/>
      <c r="F246" s="330"/>
      <c r="G246" s="330"/>
      <c r="H246" s="330"/>
      <c r="I246" s="329"/>
      <c r="J246" s="323"/>
      <c r="K246" s="323"/>
      <c r="L246" s="323"/>
      <c r="M246" s="323"/>
      <c r="N246" s="323"/>
      <c r="O246" s="323"/>
      <c r="P246" s="323"/>
    </row>
    <row r="247" spans="1:16" ht="14.4">
      <c r="A247" s="329"/>
      <c r="B247" s="329"/>
      <c r="C247" s="329"/>
      <c r="D247" s="330"/>
      <c r="E247" s="330"/>
      <c r="F247" s="330"/>
      <c r="G247" s="330"/>
      <c r="H247" s="330"/>
      <c r="I247" s="329"/>
      <c r="J247" s="323"/>
      <c r="K247" s="323"/>
      <c r="L247" s="323"/>
      <c r="M247" s="323"/>
      <c r="N247" s="323"/>
      <c r="O247" s="323"/>
      <c r="P247" s="323"/>
    </row>
    <row r="248" spans="1:16" ht="14.4">
      <c r="A248" s="329"/>
      <c r="B248" s="329"/>
      <c r="C248" s="329"/>
      <c r="D248" s="330"/>
      <c r="E248" s="330"/>
      <c r="F248" s="330"/>
      <c r="G248" s="330"/>
      <c r="H248" s="330"/>
      <c r="I248" s="329"/>
      <c r="J248" s="323"/>
      <c r="K248" s="323"/>
      <c r="L248" s="323"/>
      <c r="M248" s="323"/>
      <c r="N248" s="323"/>
      <c r="O248" s="323"/>
      <c r="P248" s="323"/>
    </row>
    <row r="249" spans="1:16" ht="14.4">
      <c r="A249" s="329"/>
      <c r="B249" s="329"/>
      <c r="C249" s="329"/>
      <c r="D249" s="330"/>
      <c r="E249" s="330"/>
      <c r="F249" s="330"/>
      <c r="G249" s="330"/>
      <c r="H249" s="330"/>
      <c r="I249" s="329"/>
      <c r="J249" s="323"/>
      <c r="K249" s="323"/>
      <c r="L249" s="323"/>
      <c r="M249" s="323"/>
      <c r="N249" s="323"/>
      <c r="O249" s="323"/>
      <c r="P249" s="323"/>
    </row>
    <row r="250" spans="1:16" ht="14.4">
      <c r="A250" s="329"/>
      <c r="B250" s="329"/>
      <c r="C250" s="329"/>
      <c r="D250" s="330"/>
      <c r="E250" s="330"/>
      <c r="F250" s="330"/>
      <c r="G250" s="330"/>
      <c r="H250" s="330"/>
      <c r="I250" s="329"/>
      <c r="J250" s="323"/>
      <c r="K250" s="323"/>
      <c r="L250" s="323"/>
      <c r="M250" s="323"/>
      <c r="N250" s="323"/>
      <c r="O250" s="323"/>
      <c r="P250" s="323"/>
    </row>
    <row r="251" spans="1:16" ht="14.4">
      <c r="A251" s="329"/>
      <c r="B251" s="329"/>
      <c r="C251" s="329"/>
      <c r="D251" s="330"/>
      <c r="E251" s="330"/>
      <c r="F251" s="330"/>
      <c r="G251" s="330"/>
      <c r="H251" s="330"/>
      <c r="I251" s="329"/>
      <c r="J251" s="323"/>
      <c r="K251" s="323"/>
      <c r="L251" s="323"/>
      <c r="M251" s="323"/>
      <c r="N251" s="323"/>
      <c r="O251" s="323"/>
      <c r="P251" s="323"/>
    </row>
    <row r="252" spans="1:16" ht="14.4">
      <c r="A252" s="329"/>
      <c r="B252" s="329"/>
      <c r="C252" s="329"/>
      <c r="D252" s="330"/>
      <c r="E252" s="330"/>
      <c r="F252" s="330"/>
      <c r="G252" s="330"/>
      <c r="H252" s="330"/>
      <c r="I252" s="329"/>
      <c r="J252" s="323"/>
      <c r="K252" s="323"/>
      <c r="L252" s="323"/>
      <c r="M252" s="323"/>
      <c r="N252" s="323"/>
      <c r="O252" s="323"/>
      <c r="P252" s="323"/>
    </row>
    <row r="253" spans="1:16" ht="14.4">
      <c r="A253" s="329"/>
      <c r="B253" s="329"/>
      <c r="C253" s="329"/>
      <c r="D253" s="330"/>
      <c r="E253" s="330"/>
      <c r="F253" s="330"/>
      <c r="G253" s="330"/>
      <c r="H253" s="330"/>
      <c r="I253" s="329"/>
      <c r="J253" s="323"/>
      <c r="K253" s="323"/>
      <c r="L253" s="323"/>
      <c r="M253" s="323"/>
      <c r="N253" s="323"/>
      <c r="O253" s="323"/>
      <c r="P253" s="323"/>
    </row>
    <row r="254" spans="1:16" ht="14.4">
      <c r="A254" s="329"/>
      <c r="B254" s="329"/>
      <c r="C254" s="329"/>
      <c r="D254" s="330"/>
      <c r="E254" s="330"/>
      <c r="F254" s="330"/>
      <c r="G254" s="330"/>
      <c r="H254" s="330"/>
      <c r="I254" s="329"/>
      <c r="J254" s="323"/>
      <c r="K254" s="323"/>
      <c r="L254" s="323"/>
      <c r="M254" s="323"/>
      <c r="N254" s="323"/>
      <c r="O254" s="323"/>
      <c r="P254" s="323"/>
    </row>
    <row r="255" spans="1:16" ht="14.4">
      <c r="A255" s="329"/>
      <c r="B255" s="329"/>
      <c r="C255" s="329"/>
      <c r="D255" s="330"/>
      <c r="E255" s="330"/>
      <c r="F255" s="330"/>
      <c r="G255" s="330"/>
      <c r="H255" s="330"/>
      <c r="I255" s="329"/>
      <c r="J255" s="323"/>
      <c r="K255" s="323"/>
      <c r="L255" s="323"/>
      <c r="M255" s="323"/>
      <c r="N255" s="323"/>
      <c r="O255" s="323"/>
      <c r="P255" s="323"/>
    </row>
    <row r="256" spans="1:16" ht="14.4">
      <c r="A256" s="329"/>
      <c r="B256" s="329"/>
      <c r="C256" s="329"/>
      <c r="D256" s="330"/>
      <c r="E256" s="330"/>
      <c r="F256" s="330"/>
      <c r="G256" s="330"/>
      <c r="H256" s="330"/>
      <c r="I256" s="329"/>
      <c r="J256" s="323"/>
      <c r="K256" s="323"/>
      <c r="L256" s="323"/>
      <c r="M256" s="323"/>
      <c r="N256" s="323"/>
      <c r="O256" s="323"/>
      <c r="P256" s="323"/>
    </row>
    <row r="257" spans="1:16" ht="14.4">
      <c r="A257" s="329"/>
      <c r="B257" s="329"/>
      <c r="C257" s="329"/>
      <c r="D257" s="330"/>
      <c r="E257" s="330"/>
      <c r="F257" s="330"/>
      <c r="G257" s="330"/>
      <c r="H257" s="330"/>
      <c r="I257" s="329"/>
      <c r="J257" s="323"/>
      <c r="K257" s="323"/>
      <c r="L257" s="323"/>
      <c r="M257" s="323"/>
      <c r="N257" s="323"/>
      <c r="O257" s="323"/>
      <c r="P257" s="323"/>
    </row>
    <row r="258" spans="1:16" ht="14.4">
      <c r="A258" s="329"/>
      <c r="B258" s="329"/>
      <c r="C258" s="329"/>
      <c r="D258" s="330"/>
      <c r="E258" s="330"/>
      <c r="F258" s="330"/>
      <c r="G258" s="330"/>
      <c r="H258" s="330"/>
      <c r="I258" s="329"/>
      <c r="J258" s="323"/>
      <c r="K258" s="323"/>
      <c r="L258" s="323"/>
      <c r="M258" s="323"/>
      <c r="N258" s="323"/>
      <c r="O258" s="323"/>
      <c r="P258" s="323"/>
    </row>
    <row r="259" spans="1:16" ht="14.4">
      <c r="A259" s="329"/>
      <c r="B259" s="329"/>
      <c r="C259" s="329"/>
      <c r="D259" s="330"/>
      <c r="E259" s="330"/>
      <c r="F259" s="330"/>
      <c r="G259" s="330"/>
      <c r="H259" s="330"/>
      <c r="I259" s="329"/>
      <c r="J259" s="323"/>
      <c r="K259" s="323"/>
      <c r="L259" s="323"/>
      <c r="M259" s="323"/>
      <c r="N259" s="323"/>
      <c r="O259" s="323"/>
      <c r="P259" s="323"/>
    </row>
    <row r="260" spans="1:16" ht="14.4">
      <c r="A260" s="329"/>
      <c r="B260" s="329"/>
      <c r="C260" s="329"/>
      <c r="D260" s="330"/>
      <c r="E260" s="330"/>
      <c r="F260" s="330"/>
      <c r="G260" s="330"/>
      <c r="H260" s="330"/>
      <c r="I260" s="329"/>
      <c r="J260" s="323"/>
      <c r="K260" s="323"/>
      <c r="L260" s="323"/>
      <c r="M260" s="323"/>
      <c r="N260" s="323"/>
      <c r="O260" s="323"/>
      <c r="P260" s="323"/>
    </row>
    <row r="261" spans="1:16" ht="14.4">
      <c r="A261" s="329"/>
      <c r="B261" s="329"/>
      <c r="C261" s="329"/>
      <c r="D261" s="330"/>
      <c r="E261" s="330"/>
      <c r="F261" s="330"/>
      <c r="G261" s="330"/>
      <c r="H261" s="330"/>
      <c r="I261" s="329"/>
      <c r="J261" s="323"/>
      <c r="K261" s="323"/>
      <c r="L261" s="323"/>
      <c r="M261" s="323"/>
      <c r="N261" s="323"/>
      <c r="O261" s="323"/>
      <c r="P261" s="323"/>
    </row>
    <row r="262" spans="1:16" ht="14.4">
      <c r="A262" s="329"/>
      <c r="B262" s="329"/>
      <c r="C262" s="329"/>
      <c r="D262" s="330"/>
      <c r="E262" s="330"/>
      <c r="F262" s="330"/>
      <c r="G262" s="330"/>
      <c r="H262" s="330"/>
      <c r="I262" s="329"/>
      <c r="J262" s="323"/>
      <c r="K262" s="323"/>
      <c r="L262" s="323"/>
      <c r="M262" s="323"/>
      <c r="N262" s="323"/>
      <c r="O262" s="323"/>
      <c r="P262" s="323"/>
    </row>
    <row r="263" spans="1:16" ht="14.4">
      <c r="A263" s="329"/>
      <c r="B263" s="329"/>
      <c r="C263" s="329"/>
      <c r="D263" s="330"/>
      <c r="E263" s="330"/>
      <c r="F263" s="330"/>
      <c r="G263" s="330"/>
      <c r="H263" s="330"/>
      <c r="I263" s="329"/>
      <c r="J263" s="323"/>
      <c r="K263" s="323"/>
      <c r="L263" s="323"/>
      <c r="M263" s="323"/>
      <c r="N263" s="323"/>
      <c r="O263" s="323"/>
      <c r="P263" s="323"/>
    </row>
    <row r="264" spans="1:16" ht="14.4">
      <c r="A264" s="329"/>
      <c r="B264" s="329"/>
      <c r="C264" s="329"/>
      <c r="D264" s="330"/>
      <c r="E264" s="330"/>
      <c r="F264" s="330"/>
      <c r="G264" s="330"/>
      <c r="H264" s="330"/>
      <c r="I264" s="329"/>
      <c r="J264" s="323"/>
      <c r="K264" s="323"/>
      <c r="L264" s="323"/>
      <c r="M264" s="323"/>
      <c r="N264" s="323"/>
      <c r="O264" s="323"/>
      <c r="P264" s="323"/>
    </row>
    <row r="265" spans="1:16" ht="14.4">
      <c r="A265" s="329"/>
      <c r="B265" s="329"/>
      <c r="C265" s="329"/>
      <c r="D265" s="330"/>
      <c r="E265" s="330"/>
      <c r="F265" s="330"/>
      <c r="G265" s="330"/>
      <c r="H265" s="330"/>
      <c r="I265" s="329"/>
      <c r="J265" s="323"/>
      <c r="K265" s="323"/>
      <c r="L265" s="323"/>
      <c r="M265" s="323"/>
      <c r="N265" s="323"/>
      <c r="O265" s="323"/>
      <c r="P265" s="323"/>
    </row>
    <row r="266" spans="1:16" ht="14.4">
      <c r="A266" s="329"/>
      <c r="B266" s="329"/>
      <c r="C266" s="329"/>
      <c r="D266" s="330"/>
      <c r="E266" s="330"/>
      <c r="F266" s="330"/>
      <c r="G266" s="330"/>
      <c r="H266" s="330"/>
      <c r="I266" s="329"/>
      <c r="J266" s="323"/>
      <c r="K266" s="323"/>
      <c r="L266" s="323"/>
      <c r="M266" s="323"/>
      <c r="N266" s="323"/>
      <c r="O266" s="323"/>
      <c r="P266" s="323"/>
    </row>
    <row r="267" spans="1:16" ht="14.4">
      <c r="A267" s="329"/>
      <c r="B267" s="329"/>
      <c r="C267" s="329"/>
      <c r="D267" s="330"/>
      <c r="E267" s="330"/>
      <c r="F267" s="330"/>
      <c r="G267" s="330"/>
      <c r="H267" s="330"/>
      <c r="I267" s="329"/>
      <c r="J267" s="323"/>
      <c r="K267" s="323"/>
      <c r="L267" s="323"/>
      <c r="M267" s="323"/>
      <c r="N267" s="323"/>
      <c r="O267" s="323"/>
      <c r="P267" s="323"/>
    </row>
    <row r="268" spans="1:16" ht="14.4">
      <c r="A268" s="329"/>
      <c r="B268" s="329"/>
      <c r="C268" s="329"/>
      <c r="D268" s="330"/>
      <c r="E268" s="330"/>
      <c r="F268" s="330"/>
      <c r="G268" s="330"/>
      <c r="H268" s="330"/>
      <c r="I268" s="329"/>
      <c r="J268" s="323"/>
      <c r="K268" s="323"/>
      <c r="L268" s="323"/>
      <c r="M268" s="323"/>
      <c r="N268" s="323"/>
      <c r="O268" s="323"/>
      <c r="P268" s="323"/>
    </row>
    <row r="269" spans="1:16" ht="14.4">
      <c r="A269" s="329"/>
      <c r="B269" s="329"/>
      <c r="C269" s="329"/>
      <c r="D269" s="330"/>
      <c r="E269" s="330"/>
      <c r="F269" s="330"/>
      <c r="G269" s="330"/>
      <c r="H269" s="330"/>
      <c r="I269" s="329"/>
      <c r="J269" s="323"/>
      <c r="K269" s="323"/>
      <c r="L269" s="323"/>
      <c r="M269" s="323"/>
      <c r="N269" s="323"/>
      <c r="O269" s="323"/>
      <c r="P269" s="323"/>
    </row>
    <row r="270" spans="1:16" ht="14.4">
      <c r="A270" s="329"/>
      <c r="B270" s="329"/>
      <c r="C270" s="329"/>
      <c r="D270" s="330"/>
      <c r="E270" s="330"/>
      <c r="F270" s="330"/>
      <c r="G270" s="330"/>
      <c r="H270" s="330"/>
      <c r="I270" s="329"/>
      <c r="J270" s="323"/>
      <c r="K270" s="323"/>
      <c r="L270" s="323"/>
      <c r="M270" s="323"/>
      <c r="N270" s="323"/>
      <c r="O270" s="323"/>
      <c r="P270" s="323"/>
    </row>
    <row r="271" spans="1:16" ht="14.4">
      <c r="A271" s="329"/>
      <c r="B271" s="329"/>
      <c r="C271" s="329"/>
      <c r="D271" s="330"/>
      <c r="E271" s="330"/>
      <c r="F271" s="330"/>
      <c r="G271" s="330"/>
      <c r="H271" s="330"/>
      <c r="I271" s="329"/>
      <c r="J271" s="323"/>
      <c r="K271" s="323"/>
      <c r="L271" s="323"/>
      <c r="M271" s="323"/>
      <c r="N271" s="323"/>
      <c r="O271" s="323"/>
      <c r="P271" s="323"/>
    </row>
    <row r="272" spans="1:16" ht="14.4">
      <c r="A272" s="329"/>
      <c r="B272" s="329"/>
      <c r="C272" s="329"/>
      <c r="D272" s="330"/>
      <c r="E272" s="330"/>
      <c r="F272" s="330"/>
      <c r="G272" s="330"/>
      <c r="H272" s="330"/>
      <c r="I272" s="329"/>
      <c r="J272" s="323"/>
      <c r="K272" s="323"/>
      <c r="L272" s="323"/>
      <c r="M272" s="323"/>
      <c r="N272" s="323"/>
      <c r="O272" s="323"/>
      <c r="P272" s="323"/>
    </row>
    <row r="273" spans="1:16" ht="14.4">
      <c r="A273" s="329"/>
      <c r="B273" s="329"/>
      <c r="C273" s="329"/>
      <c r="D273" s="330"/>
      <c r="E273" s="330"/>
      <c r="F273" s="330"/>
      <c r="G273" s="330"/>
      <c r="H273" s="330"/>
      <c r="I273" s="329"/>
      <c r="J273" s="323"/>
      <c r="K273" s="323"/>
      <c r="L273" s="323"/>
      <c r="M273" s="323"/>
      <c r="N273" s="323"/>
      <c r="O273" s="323"/>
      <c r="P273" s="323"/>
    </row>
    <row r="274" spans="1:16" ht="14.4">
      <c r="A274" s="329"/>
      <c r="B274" s="329"/>
      <c r="C274" s="329"/>
      <c r="D274" s="330"/>
      <c r="E274" s="330"/>
      <c r="F274" s="330"/>
      <c r="G274" s="330"/>
      <c r="H274" s="330"/>
      <c r="I274" s="329"/>
      <c r="J274" s="323"/>
      <c r="K274" s="323"/>
      <c r="L274" s="323"/>
      <c r="M274" s="323"/>
      <c r="N274" s="323"/>
      <c r="O274" s="323"/>
      <c r="P274" s="323"/>
    </row>
    <row r="275" spans="1:16" ht="14.4">
      <c r="A275" s="329"/>
      <c r="B275" s="329"/>
      <c r="C275" s="329"/>
      <c r="D275" s="330"/>
      <c r="E275" s="330"/>
      <c r="F275" s="330"/>
      <c r="G275" s="330"/>
      <c r="H275" s="330"/>
      <c r="I275" s="329"/>
      <c r="J275" s="323"/>
      <c r="K275" s="323"/>
      <c r="L275" s="323"/>
      <c r="M275" s="323"/>
      <c r="N275" s="323"/>
      <c r="O275" s="323"/>
      <c r="P275" s="323"/>
    </row>
    <row r="276" spans="1:16" ht="14.4">
      <c r="A276" s="329"/>
      <c r="B276" s="329"/>
      <c r="C276" s="329"/>
      <c r="D276" s="330"/>
      <c r="E276" s="330"/>
      <c r="F276" s="330"/>
      <c r="G276" s="330"/>
      <c r="H276" s="330"/>
      <c r="I276" s="329"/>
      <c r="J276" s="323"/>
      <c r="K276" s="323"/>
      <c r="L276" s="323"/>
      <c r="M276" s="323"/>
      <c r="N276" s="323"/>
      <c r="O276" s="323"/>
      <c r="P276" s="323"/>
    </row>
    <row r="277" spans="1:16" ht="14.4">
      <c r="A277" s="329"/>
      <c r="B277" s="329"/>
      <c r="C277" s="329"/>
      <c r="D277" s="330"/>
      <c r="E277" s="330"/>
      <c r="F277" s="330"/>
      <c r="G277" s="330"/>
      <c r="H277" s="330"/>
      <c r="I277" s="329"/>
      <c r="J277" s="323"/>
      <c r="K277" s="323"/>
      <c r="L277" s="323"/>
      <c r="M277" s="323"/>
      <c r="N277" s="323"/>
      <c r="O277" s="323"/>
      <c r="P277" s="323"/>
    </row>
    <row r="278" spans="1:16" ht="14.4">
      <c r="A278" s="329"/>
      <c r="B278" s="329"/>
      <c r="C278" s="329"/>
      <c r="D278" s="330"/>
      <c r="E278" s="330"/>
      <c r="F278" s="330"/>
      <c r="G278" s="330"/>
      <c r="H278" s="330"/>
      <c r="I278" s="329"/>
      <c r="J278" s="323"/>
      <c r="K278" s="323"/>
      <c r="L278" s="323"/>
      <c r="M278" s="323"/>
      <c r="N278" s="323"/>
      <c r="O278" s="323"/>
      <c r="P278" s="323"/>
    </row>
    <row r="279" spans="1:16" ht="14.4">
      <c r="A279" s="329"/>
      <c r="B279" s="329"/>
      <c r="C279" s="329"/>
      <c r="D279" s="330"/>
      <c r="E279" s="330"/>
      <c r="F279" s="330"/>
      <c r="G279" s="330"/>
      <c r="H279" s="330"/>
      <c r="I279" s="329"/>
      <c r="J279" s="323"/>
      <c r="K279" s="323"/>
      <c r="L279" s="323"/>
      <c r="M279" s="323"/>
      <c r="N279" s="323"/>
      <c r="O279" s="323"/>
      <c r="P279" s="323"/>
    </row>
    <row r="280" spans="1:16" ht="14.4">
      <c r="A280" s="329"/>
      <c r="B280" s="329"/>
      <c r="C280" s="329"/>
      <c r="D280" s="330"/>
      <c r="E280" s="330"/>
      <c r="F280" s="330"/>
      <c r="G280" s="330"/>
      <c r="H280" s="330"/>
      <c r="I280" s="329"/>
      <c r="J280" s="323"/>
      <c r="K280" s="323"/>
      <c r="L280" s="323"/>
      <c r="M280" s="323"/>
      <c r="N280" s="323"/>
      <c r="O280" s="323"/>
      <c r="P280" s="323"/>
    </row>
    <row r="281" spans="1:16" ht="14.4">
      <c r="A281" s="329"/>
      <c r="B281" s="329"/>
      <c r="C281" s="329"/>
      <c r="D281" s="330"/>
      <c r="E281" s="330"/>
      <c r="F281" s="330"/>
      <c r="G281" s="330"/>
      <c r="H281" s="330"/>
      <c r="I281" s="329"/>
      <c r="J281" s="323"/>
      <c r="K281" s="323"/>
      <c r="L281" s="323"/>
      <c r="M281" s="323"/>
      <c r="N281" s="323"/>
      <c r="O281" s="323"/>
      <c r="P281" s="323"/>
    </row>
    <row r="282" spans="1:16" ht="14.4">
      <c r="A282" s="329"/>
      <c r="B282" s="329"/>
      <c r="C282" s="329"/>
      <c r="D282" s="330"/>
      <c r="E282" s="330"/>
      <c r="F282" s="330"/>
      <c r="G282" s="330"/>
      <c r="H282" s="330"/>
      <c r="I282" s="329"/>
      <c r="J282" s="323"/>
      <c r="K282" s="323"/>
      <c r="L282" s="323"/>
      <c r="M282" s="323"/>
      <c r="N282" s="323"/>
      <c r="O282" s="323"/>
      <c r="P282" s="323"/>
    </row>
    <row r="283" spans="1:16" ht="14.4">
      <c r="A283" s="329"/>
      <c r="B283" s="329"/>
      <c r="C283" s="329"/>
      <c r="D283" s="330"/>
      <c r="E283" s="330"/>
      <c r="F283" s="330"/>
      <c r="G283" s="330"/>
      <c r="H283" s="330"/>
      <c r="I283" s="329"/>
      <c r="J283" s="323"/>
      <c r="K283" s="323"/>
      <c r="L283" s="323"/>
      <c r="M283" s="323"/>
      <c r="N283" s="323"/>
      <c r="O283" s="323"/>
      <c r="P283" s="323"/>
    </row>
    <row r="284" spans="1:16" ht="14.4">
      <c r="A284" s="329"/>
      <c r="B284" s="329"/>
      <c r="C284" s="329"/>
      <c r="D284" s="330"/>
      <c r="E284" s="330"/>
      <c r="F284" s="330"/>
      <c r="G284" s="330"/>
      <c r="H284" s="330"/>
      <c r="I284" s="329"/>
      <c r="J284" s="323"/>
      <c r="K284" s="323"/>
      <c r="L284" s="323"/>
      <c r="M284" s="323"/>
      <c r="N284" s="323"/>
      <c r="O284" s="323"/>
      <c r="P284" s="323"/>
    </row>
    <row r="285" spans="1:16" ht="14.4">
      <c r="A285" s="329"/>
      <c r="B285" s="329"/>
      <c r="C285" s="329"/>
      <c r="D285" s="330"/>
      <c r="E285" s="330"/>
      <c r="F285" s="330"/>
      <c r="G285" s="330"/>
      <c r="H285" s="330"/>
      <c r="I285" s="329"/>
      <c r="J285" s="323"/>
      <c r="K285" s="323"/>
      <c r="L285" s="323"/>
      <c r="M285" s="323"/>
      <c r="N285" s="323"/>
      <c r="O285" s="323"/>
      <c r="P285" s="323"/>
    </row>
    <row r="286" spans="1:16" ht="14.4">
      <c r="A286" s="329"/>
      <c r="B286" s="329"/>
      <c r="C286" s="329"/>
      <c r="D286" s="330"/>
      <c r="E286" s="330"/>
      <c r="F286" s="330"/>
      <c r="G286" s="330"/>
      <c r="H286" s="330"/>
      <c r="I286" s="329"/>
      <c r="J286" s="323"/>
      <c r="K286" s="323"/>
      <c r="L286" s="323"/>
      <c r="M286" s="323"/>
      <c r="N286" s="323"/>
      <c r="O286" s="323"/>
      <c r="P286" s="323"/>
    </row>
    <row r="287" spans="1:16" ht="14.4">
      <c r="A287" s="329"/>
      <c r="B287" s="329"/>
      <c r="C287" s="329"/>
      <c r="D287" s="330"/>
      <c r="E287" s="330"/>
      <c r="F287" s="330"/>
      <c r="G287" s="330"/>
      <c r="H287" s="330"/>
      <c r="I287" s="329"/>
      <c r="J287" s="323"/>
      <c r="K287" s="323"/>
      <c r="L287" s="323"/>
      <c r="M287" s="323"/>
      <c r="N287" s="323"/>
      <c r="O287" s="323"/>
      <c r="P287" s="323"/>
    </row>
    <row r="288" spans="1:16" ht="14.4">
      <c r="A288" s="329"/>
      <c r="B288" s="329"/>
      <c r="C288" s="329"/>
      <c r="D288" s="330"/>
      <c r="E288" s="330"/>
      <c r="F288" s="330"/>
      <c r="G288" s="330"/>
      <c r="H288" s="330"/>
      <c r="I288" s="329"/>
      <c r="J288" s="323"/>
      <c r="K288" s="323"/>
      <c r="L288" s="323"/>
      <c r="M288" s="323"/>
      <c r="N288" s="323"/>
      <c r="O288" s="323"/>
      <c r="P288" s="323"/>
    </row>
    <row r="289" spans="1:16" ht="14.4">
      <c r="A289" s="329"/>
      <c r="B289" s="329"/>
      <c r="C289" s="329"/>
      <c r="D289" s="330"/>
      <c r="E289" s="330"/>
      <c r="F289" s="330"/>
      <c r="G289" s="330"/>
      <c r="H289" s="330"/>
      <c r="I289" s="329"/>
      <c r="J289" s="323"/>
      <c r="K289" s="323"/>
      <c r="L289" s="323"/>
      <c r="M289" s="323"/>
      <c r="N289" s="323"/>
      <c r="O289" s="323"/>
      <c r="P289" s="323"/>
    </row>
    <row r="290" spans="1:16" ht="14.4">
      <c r="A290" s="329"/>
      <c r="B290" s="329"/>
      <c r="C290" s="329"/>
      <c r="D290" s="330"/>
      <c r="E290" s="330"/>
      <c r="F290" s="330"/>
      <c r="G290" s="330"/>
      <c r="H290" s="330"/>
      <c r="I290" s="329"/>
      <c r="J290" s="323"/>
      <c r="K290" s="323"/>
      <c r="L290" s="323"/>
      <c r="M290" s="323"/>
      <c r="N290" s="323"/>
      <c r="O290" s="323"/>
      <c r="P290" s="323"/>
    </row>
    <row r="291" spans="1:16" ht="14.4">
      <c r="A291" s="329"/>
      <c r="B291" s="329"/>
      <c r="C291" s="329"/>
      <c r="D291" s="330"/>
      <c r="E291" s="330"/>
      <c r="F291" s="330"/>
      <c r="G291" s="330"/>
      <c r="H291" s="330"/>
      <c r="I291" s="329"/>
      <c r="J291" s="323"/>
      <c r="K291" s="323"/>
      <c r="L291" s="323"/>
      <c r="M291" s="323"/>
      <c r="N291" s="323"/>
      <c r="O291" s="323"/>
      <c r="P291" s="323"/>
    </row>
    <row r="292" spans="1:16" ht="14.4">
      <c r="A292" s="329"/>
      <c r="B292" s="329"/>
      <c r="C292" s="329"/>
      <c r="D292" s="330"/>
      <c r="E292" s="330"/>
      <c r="F292" s="330"/>
      <c r="G292" s="330"/>
      <c r="H292" s="330"/>
      <c r="I292" s="329"/>
      <c r="J292" s="323"/>
      <c r="K292" s="323"/>
      <c r="L292" s="323"/>
      <c r="M292" s="323"/>
      <c r="N292" s="323"/>
      <c r="O292" s="323"/>
      <c r="P292" s="323"/>
    </row>
    <row r="293" spans="1:16" ht="14.4">
      <c r="A293" s="329"/>
      <c r="B293" s="329"/>
      <c r="C293" s="329"/>
      <c r="D293" s="330"/>
      <c r="E293" s="330"/>
      <c r="F293" s="330"/>
      <c r="G293" s="330"/>
      <c r="H293" s="330"/>
      <c r="I293" s="329"/>
      <c r="J293" s="323"/>
      <c r="K293" s="323"/>
      <c r="L293" s="323"/>
      <c r="M293" s="323"/>
      <c r="N293" s="323"/>
      <c r="O293" s="323"/>
      <c r="P293" s="323"/>
    </row>
    <row r="294" spans="1:16" ht="14.4">
      <c r="A294" s="329"/>
      <c r="B294" s="329"/>
      <c r="C294" s="329"/>
      <c r="D294" s="330"/>
      <c r="E294" s="330"/>
      <c r="F294" s="330"/>
      <c r="G294" s="330"/>
      <c r="H294" s="330"/>
      <c r="I294" s="329"/>
      <c r="J294" s="323"/>
      <c r="K294" s="323"/>
      <c r="L294" s="323"/>
      <c r="M294" s="323"/>
      <c r="N294" s="323"/>
      <c r="O294" s="323"/>
      <c r="P294" s="323"/>
    </row>
    <row r="295" spans="1:16" ht="14.4">
      <c r="A295" s="329"/>
      <c r="B295" s="329"/>
      <c r="C295" s="329"/>
      <c r="D295" s="330"/>
      <c r="E295" s="330"/>
      <c r="F295" s="330"/>
      <c r="G295" s="330"/>
      <c r="H295" s="330"/>
      <c r="I295" s="329"/>
      <c r="J295" s="323"/>
      <c r="K295" s="323"/>
      <c r="L295" s="323"/>
      <c r="M295" s="323"/>
      <c r="N295" s="323"/>
      <c r="O295" s="323"/>
      <c r="P295" s="323"/>
    </row>
    <row r="296" spans="1:16" ht="14.4">
      <c r="A296" s="329"/>
      <c r="B296" s="329"/>
      <c r="C296" s="329"/>
      <c r="D296" s="330"/>
      <c r="E296" s="330"/>
      <c r="F296" s="330"/>
      <c r="G296" s="330"/>
      <c r="H296" s="330"/>
      <c r="I296" s="329"/>
      <c r="J296" s="323"/>
      <c r="K296" s="323"/>
      <c r="L296" s="323"/>
      <c r="M296" s="323"/>
      <c r="N296" s="323"/>
      <c r="O296" s="323"/>
      <c r="P296" s="323"/>
    </row>
    <row r="297" spans="1:16" ht="14.4">
      <c r="A297" s="329"/>
      <c r="B297" s="329"/>
      <c r="C297" s="329"/>
      <c r="D297" s="330"/>
      <c r="E297" s="330"/>
      <c r="F297" s="330"/>
      <c r="G297" s="330"/>
      <c r="H297" s="330"/>
      <c r="I297" s="329"/>
      <c r="J297" s="323"/>
      <c r="K297" s="323"/>
      <c r="L297" s="323"/>
      <c r="M297" s="323"/>
      <c r="N297" s="323"/>
      <c r="O297" s="323"/>
      <c r="P297" s="323"/>
    </row>
    <row r="298" spans="1:16" ht="14.4">
      <c r="A298" s="329"/>
      <c r="B298" s="329"/>
      <c r="C298" s="329"/>
      <c r="D298" s="330"/>
      <c r="E298" s="330"/>
      <c r="F298" s="330"/>
      <c r="G298" s="330"/>
      <c r="H298" s="330"/>
      <c r="I298" s="329"/>
      <c r="J298" s="323"/>
      <c r="K298" s="323"/>
      <c r="L298" s="323"/>
      <c r="M298" s="323"/>
      <c r="N298" s="323"/>
      <c r="O298" s="323"/>
      <c r="P298" s="323"/>
    </row>
    <row r="299" spans="1:16" ht="14.4">
      <c r="A299" s="329"/>
      <c r="B299" s="329"/>
      <c r="C299" s="329"/>
      <c r="D299" s="330"/>
      <c r="E299" s="330"/>
      <c r="F299" s="330"/>
      <c r="G299" s="330"/>
      <c r="H299" s="330"/>
      <c r="I299" s="329"/>
      <c r="J299" s="323"/>
      <c r="K299" s="323"/>
      <c r="L299" s="323"/>
      <c r="M299" s="323"/>
      <c r="N299" s="323"/>
      <c r="O299" s="323"/>
      <c r="P299" s="323"/>
    </row>
    <row r="300" spans="1:16" ht="14.4">
      <c r="A300" s="329"/>
      <c r="B300" s="329"/>
      <c r="C300" s="329"/>
      <c r="D300" s="330"/>
      <c r="E300" s="330"/>
      <c r="F300" s="330"/>
      <c r="G300" s="330"/>
      <c r="H300" s="330"/>
      <c r="I300" s="329"/>
      <c r="J300" s="323"/>
      <c r="K300" s="323"/>
      <c r="L300" s="323"/>
      <c r="M300" s="323"/>
      <c r="N300" s="323"/>
      <c r="O300" s="323"/>
      <c r="P300" s="323"/>
    </row>
    <row r="301" spans="1:16" ht="14.4">
      <c r="A301" s="329"/>
      <c r="B301" s="329"/>
      <c r="C301" s="329"/>
      <c r="D301" s="330"/>
      <c r="E301" s="330"/>
      <c r="F301" s="330"/>
      <c r="G301" s="330"/>
      <c r="H301" s="330"/>
      <c r="I301" s="329"/>
      <c r="J301" s="323"/>
      <c r="K301" s="323"/>
      <c r="L301" s="323"/>
      <c r="M301" s="323"/>
      <c r="N301" s="323"/>
      <c r="O301" s="323"/>
      <c r="P301" s="323"/>
    </row>
    <row r="302" spans="1:16" ht="14.4">
      <c r="A302" s="329"/>
      <c r="B302" s="329"/>
      <c r="C302" s="329"/>
      <c r="D302" s="330"/>
      <c r="E302" s="330"/>
      <c r="F302" s="330"/>
      <c r="G302" s="330"/>
      <c r="H302" s="330"/>
      <c r="I302" s="329"/>
      <c r="J302" s="323"/>
      <c r="K302" s="323"/>
      <c r="L302" s="323"/>
      <c r="M302" s="323"/>
      <c r="N302" s="323"/>
      <c r="O302" s="323"/>
      <c r="P302" s="323"/>
    </row>
    <row r="303" spans="1:16" ht="14.4">
      <c r="A303" s="329"/>
      <c r="B303" s="329"/>
      <c r="C303" s="329"/>
      <c r="D303" s="330"/>
      <c r="E303" s="330"/>
      <c r="F303" s="330"/>
      <c r="G303" s="330"/>
      <c r="H303" s="330"/>
      <c r="I303" s="329"/>
      <c r="J303" s="323"/>
      <c r="K303" s="323"/>
      <c r="L303" s="323"/>
      <c r="M303" s="323"/>
      <c r="N303" s="323"/>
      <c r="O303" s="323"/>
      <c r="P303" s="323"/>
    </row>
    <row r="304" spans="1:16" ht="14.4">
      <c r="A304" s="329"/>
      <c r="B304" s="329"/>
      <c r="C304" s="329"/>
      <c r="D304" s="330"/>
      <c r="E304" s="330"/>
      <c r="F304" s="330"/>
      <c r="G304" s="330"/>
      <c r="H304" s="330"/>
      <c r="I304" s="329"/>
      <c r="J304" s="323"/>
      <c r="K304" s="323"/>
      <c r="L304" s="323"/>
      <c r="M304" s="323"/>
      <c r="N304" s="323"/>
      <c r="O304" s="323"/>
      <c r="P304" s="323"/>
    </row>
    <row r="305" spans="1:16" ht="14.4">
      <c r="A305" s="329"/>
      <c r="B305" s="329"/>
      <c r="C305" s="329"/>
      <c r="D305" s="330"/>
      <c r="E305" s="330"/>
      <c r="F305" s="330"/>
      <c r="G305" s="330"/>
      <c r="H305" s="330"/>
      <c r="I305" s="329"/>
      <c r="J305" s="323"/>
      <c r="K305" s="323"/>
      <c r="L305" s="323"/>
      <c r="M305" s="323"/>
      <c r="N305" s="323"/>
      <c r="O305" s="323"/>
      <c r="P305" s="323"/>
    </row>
    <row r="306" spans="1:16" ht="14.4">
      <c r="A306" s="329"/>
      <c r="B306" s="329"/>
      <c r="C306" s="329"/>
      <c r="D306" s="330"/>
      <c r="E306" s="330"/>
      <c r="F306" s="330"/>
      <c r="G306" s="330"/>
      <c r="H306" s="330"/>
      <c r="I306" s="329"/>
      <c r="J306" s="323"/>
      <c r="K306" s="323"/>
      <c r="L306" s="323"/>
      <c r="M306" s="323"/>
      <c r="N306" s="323"/>
      <c r="O306" s="323"/>
      <c r="P306" s="323"/>
    </row>
    <row r="307" spans="1:16" ht="14.4">
      <c r="A307" s="329"/>
      <c r="B307" s="329"/>
      <c r="C307" s="329"/>
      <c r="D307" s="330"/>
      <c r="E307" s="330"/>
      <c r="F307" s="330"/>
      <c r="G307" s="330"/>
      <c r="H307" s="330"/>
      <c r="I307" s="329"/>
      <c r="J307" s="323"/>
      <c r="K307" s="323"/>
      <c r="L307" s="323"/>
      <c r="M307" s="323"/>
      <c r="N307" s="323"/>
      <c r="O307" s="323"/>
      <c r="P307" s="323"/>
    </row>
    <row r="308" spans="1:16" ht="14.4">
      <c r="A308" s="329"/>
      <c r="B308" s="329"/>
      <c r="C308" s="329"/>
      <c r="D308" s="330"/>
      <c r="E308" s="330"/>
      <c r="F308" s="330"/>
      <c r="G308" s="330"/>
      <c r="H308" s="330"/>
      <c r="I308" s="329"/>
      <c r="J308" s="323"/>
      <c r="K308" s="323"/>
      <c r="L308" s="323"/>
      <c r="M308" s="323"/>
      <c r="N308" s="323"/>
      <c r="O308" s="323"/>
      <c r="P308" s="323"/>
    </row>
    <row r="309" spans="1:16" ht="14.4">
      <c r="A309" s="329"/>
      <c r="B309" s="329"/>
      <c r="C309" s="329"/>
      <c r="D309" s="330"/>
      <c r="E309" s="330"/>
      <c r="F309" s="330"/>
      <c r="G309" s="330"/>
      <c r="H309" s="330"/>
      <c r="I309" s="329"/>
      <c r="J309" s="323"/>
      <c r="K309" s="323"/>
      <c r="L309" s="323"/>
      <c r="M309" s="323"/>
      <c r="N309" s="323"/>
      <c r="O309" s="323"/>
      <c r="P309" s="323"/>
    </row>
    <row r="310" spans="1:16" ht="14.4">
      <c r="A310" s="329"/>
      <c r="B310" s="329"/>
      <c r="C310" s="329"/>
      <c r="D310" s="330"/>
      <c r="E310" s="330"/>
      <c r="F310" s="330"/>
      <c r="G310" s="330"/>
      <c r="H310" s="330"/>
      <c r="I310" s="329"/>
      <c r="J310" s="323"/>
      <c r="K310" s="323"/>
      <c r="L310" s="323"/>
      <c r="M310" s="323"/>
      <c r="N310" s="323"/>
      <c r="O310" s="323"/>
      <c r="P310" s="323"/>
    </row>
    <row r="311" spans="1:16" ht="14.4">
      <c r="A311" s="329"/>
      <c r="B311" s="329"/>
      <c r="C311" s="329"/>
      <c r="D311" s="330"/>
      <c r="E311" s="330"/>
      <c r="F311" s="330"/>
      <c r="G311" s="330"/>
      <c r="H311" s="330"/>
      <c r="I311" s="329"/>
      <c r="J311" s="323"/>
      <c r="K311" s="323"/>
      <c r="L311" s="323"/>
      <c r="M311" s="323"/>
      <c r="N311" s="323"/>
      <c r="O311" s="323"/>
      <c r="P311" s="323"/>
    </row>
    <row r="312" spans="1:16" ht="14.4">
      <c r="A312" s="329"/>
      <c r="B312" s="329"/>
      <c r="C312" s="329"/>
      <c r="D312" s="330"/>
      <c r="E312" s="330"/>
      <c r="F312" s="330"/>
      <c r="G312" s="330"/>
      <c r="H312" s="330"/>
      <c r="I312" s="329"/>
      <c r="J312" s="323"/>
      <c r="K312" s="323"/>
      <c r="L312" s="323"/>
      <c r="M312" s="323"/>
      <c r="N312" s="323"/>
      <c r="O312" s="323"/>
      <c r="P312" s="323"/>
    </row>
    <row r="313" spans="1:16" ht="14.4">
      <c r="A313" s="329"/>
      <c r="B313" s="329"/>
      <c r="C313" s="329"/>
      <c r="D313" s="330"/>
      <c r="E313" s="330"/>
      <c r="F313" s="330"/>
      <c r="G313" s="330"/>
      <c r="H313" s="330"/>
      <c r="I313" s="329"/>
      <c r="J313" s="323"/>
      <c r="K313" s="323"/>
      <c r="L313" s="323"/>
      <c r="M313" s="323"/>
      <c r="N313" s="323"/>
      <c r="O313" s="323"/>
      <c r="P313" s="323"/>
    </row>
    <row r="314" spans="1:16" ht="14.4">
      <c r="A314" s="329"/>
      <c r="B314" s="329"/>
      <c r="C314" s="329"/>
      <c r="D314" s="330"/>
      <c r="E314" s="330"/>
      <c r="F314" s="330"/>
      <c r="G314" s="330"/>
      <c r="H314" s="330"/>
      <c r="I314" s="329"/>
      <c r="J314" s="323"/>
      <c r="K314" s="323"/>
      <c r="L314" s="323"/>
      <c r="M314" s="323"/>
      <c r="N314" s="323"/>
      <c r="O314" s="323"/>
      <c r="P314" s="323"/>
    </row>
    <row r="315" spans="1:16" ht="14.4">
      <c r="A315" s="329"/>
      <c r="B315" s="329"/>
      <c r="C315" s="329"/>
      <c r="D315" s="330"/>
      <c r="E315" s="330"/>
      <c r="F315" s="330"/>
      <c r="G315" s="330"/>
      <c r="H315" s="330"/>
      <c r="I315" s="329"/>
      <c r="J315" s="323"/>
      <c r="K315" s="323"/>
      <c r="L315" s="323"/>
      <c r="M315" s="323"/>
      <c r="N315" s="323"/>
      <c r="O315" s="323"/>
      <c r="P315" s="323"/>
    </row>
    <row r="316" spans="1:16" ht="14.4">
      <c r="A316" s="329"/>
      <c r="B316" s="329"/>
      <c r="C316" s="329"/>
      <c r="D316" s="330"/>
      <c r="E316" s="330"/>
      <c r="F316" s="330"/>
      <c r="G316" s="330"/>
      <c r="H316" s="330"/>
      <c r="I316" s="329"/>
      <c r="J316" s="323"/>
      <c r="K316" s="323"/>
      <c r="L316" s="323"/>
      <c r="M316" s="323"/>
      <c r="N316" s="323"/>
      <c r="O316" s="323"/>
      <c r="P316" s="323"/>
    </row>
    <row r="317" spans="1:16" ht="14.4">
      <c r="A317" s="329"/>
      <c r="B317" s="329"/>
      <c r="C317" s="329"/>
      <c r="D317" s="330"/>
      <c r="E317" s="330"/>
      <c r="F317" s="330"/>
      <c r="G317" s="330"/>
      <c r="H317" s="330"/>
      <c r="I317" s="329"/>
      <c r="J317" s="323"/>
      <c r="K317" s="323"/>
      <c r="L317" s="323"/>
      <c r="M317" s="323"/>
      <c r="N317" s="323"/>
      <c r="O317" s="323"/>
      <c r="P317" s="323"/>
    </row>
    <row r="318" spans="1:16" ht="14.4">
      <c r="A318" s="329"/>
      <c r="B318" s="329"/>
      <c r="C318" s="329"/>
      <c r="D318" s="330"/>
      <c r="E318" s="330"/>
      <c r="F318" s="330"/>
      <c r="G318" s="330"/>
      <c r="H318" s="330"/>
      <c r="I318" s="329"/>
      <c r="J318" s="323"/>
      <c r="K318" s="323"/>
      <c r="L318" s="323"/>
      <c r="M318" s="323"/>
      <c r="N318" s="323"/>
      <c r="O318" s="323"/>
      <c r="P318" s="323"/>
    </row>
    <row r="319" spans="1:16" ht="14.4">
      <c r="A319" s="329"/>
      <c r="B319" s="329"/>
      <c r="C319" s="329"/>
      <c r="D319" s="330"/>
      <c r="E319" s="330"/>
      <c r="F319" s="330"/>
      <c r="G319" s="330"/>
      <c r="H319" s="330"/>
      <c r="I319" s="329"/>
      <c r="J319" s="323"/>
      <c r="K319" s="323"/>
      <c r="L319" s="323"/>
      <c r="M319" s="323"/>
      <c r="N319" s="323"/>
      <c r="O319" s="323"/>
      <c r="P319" s="323"/>
    </row>
    <row r="320" spans="1:16" ht="14.4">
      <c r="A320" s="329"/>
      <c r="B320" s="329"/>
      <c r="C320" s="329"/>
      <c r="D320" s="330"/>
      <c r="E320" s="330"/>
      <c r="F320" s="330"/>
      <c r="G320" s="330"/>
      <c r="H320" s="330"/>
      <c r="I320" s="329"/>
      <c r="J320" s="323"/>
      <c r="K320" s="323"/>
      <c r="L320" s="323"/>
      <c r="M320" s="323"/>
      <c r="N320" s="323"/>
      <c r="O320" s="323"/>
      <c r="P320" s="323"/>
    </row>
    <row r="321" spans="1:16" ht="14.4">
      <c r="A321" s="329"/>
      <c r="B321" s="329"/>
      <c r="C321" s="329"/>
      <c r="D321" s="330"/>
      <c r="E321" s="330"/>
      <c r="F321" s="330"/>
      <c r="G321" s="330"/>
      <c r="H321" s="330"/>
      <c r="I321" s="329"/>
      <c r="J321" s="323"/>
      <c r="K321" s="323"/>
      <c r="L321" s="323"/>
      <c r="M321" s="323"/>
      <c r="N321" s="323"/>
      <c r="O321" s="323"/>
      <c r="P321" s="323"/>
    </row>
    <row r="322" spans="1:16" ht="14.4">
      <c r="A322" s="329"/>
      <c r="B322" s="329"/>
      <c r="C322" s="329"/>
      <c r="D322" s="330"/>
      <c r="E322" s="330"/>
      <c r="F322" s="330"/>
      <c r="G322" s="330"/>
      <c r="H322" s="330"/>
      <c r="I322" s="329"/>
      <c r="J322" s="323"/>
      <c r="K322" s="323"/>
      <c r="L322" s="323"/>
      <c r="M322" s="323"/>
      <c r="N322" s="323"/>
      <c r="O322" s="323"/>
      <c r="P322" s="323"/>
    </row>
    <row r="323" spans="1:16" ht="14.4">
      <c r="A323" s="329"/>
      <c r="B323" s="329"/>
      <c r="C323" s="329"/>
      <c r="D323" s="330"/>
      <c r="E323" s="330"/>
      <c r="F323" s="330"/>
      <c r="G323" s="330"/>
      <c r="H323" s="330"/>
      <c r="I323" s="329"/>
      <c r="J323" s="323"/>
      <c r="K323" s="323"/>
      <c r="L323" s="323"/>
      <c r="M323" s="323"/>
      <c r="N323" s="323"/>
      <c r="O323" s="323"/>
      <c r="P323" s="323"/>
    </row>
    <row r="324" spans="1:16" ht="14.4">
      <c r="A324" s="329"/>
      <c r="B324" s="329"/>
      <c r="C324" s="329"/>
      <c r="D324" s="330"/>
      <c r="E324" s="330"/>
      <c r="F324" s="330"/>
      <c r="G324" s="330"/>
      <c r="H324" s="330"/>
      <c r="I324" s="329"/>
      <c r="J324" s="323"/>
      <c r="K324" s="323"/>
      <c r="L324" s="323"/>
      <c r="M324" s="323"/>
      <c r="N324" s="323"/>
      <c r="O324" s="323"/>
      <c r="P324" s="323"/>
    </row>
    <row r="325" spans="1:16" ht="14.4">
      <c r="A325" s="329"/>
      <c r="B325" s="329"/>
      <c r="C325" s="329"/>
      <c r="D325" s="330"/>
      <c r="E325" s="330"/>
      <c r="F325" s="330"/>
      <c r="G325" s="330"/>
      <c r="H325" s="330"/>
      <c r="I325" s="329"/>
      <c r="J325" s="323"/>
      <c r="K325" s="323"/>
      <c r="L325" s="323"/>
      <c r="M325" s="323"/>
      <c r="N325" s="323"/>
      <c r="O325" s="323"/>
      <c r="P325" s="323"/>
    </row>
    <row r="326" spans="1:16" ht="14.4">
      <c r="A326" s="329"/>
      <c r="B326" s="329"/>
      <c r="C326" s="329"/>
      <c r="D326" s="330"/>
      <c r="E326" s="330"/>
      <c r="F326" s="330"/>
      <c r="G326" s="330"/>
      <c r="H326" s="330"/>
      <c r="I326" s="329"/>
      <c r="J326" s="323"/>
      <c r="K326" s="323"/>
      <c r="L326" s="323"/>
      <c r="M326" s="323"/>
      <c r="N326" s="323"/>
      <c r="O326" s="323"/>
      <c r="P326" s="323"/>
    </row>
    <row r="327" spans="1:16" ht="14.4">
      <c r="A327" s="329"/>
      <c r="B327" s="329"/>
      <c r="C327" s="329"/>
      <c r="D327" s="330"/>
      <c r="E327" s="330"/>
      <c r="F327" s="330"/>
      <c r="G327" s="330"/>
      <c r="H327" s="330"/>
      <c r="I327" s="329"/>
      <c r="J327" s="323"/>
      <c r="K327" s="323"/>
      <c r="L327" s="323"/>
      <c r="M327" s="323"/>
      <c r="N327" s="323"/>
      <c r="O327" s="323"/>
      <c r="P327" s="323"/>
    </row>
    <row r="328" spans="1:16" ht="14.4">
      <c r="A328" s="329"/>
      <c r="B328" s="329"/>
      <c r="C328" s="329"/>
      <c r="D328" s="330"/>
      <c r="E328" s="330"/>
      <c r="F328" s="330"/>
      <c r="G328" s="330"/>
      <c r="H328" s="330"/>
      <c r="I328" s="329"/>
      <c r="J328" s="323"/>
      <c r="K328" s="323"/>
      <c r="L328" s="323"/>
      <c r="M328" s="323"/>
      <c r="N328" s="323"/>
      <c r="O328" s="323"/>
      <c r="P328" s="323"/>
    </row>
    <row r="329" spans="1:16" ht="14.4">
      <c r="A329" s="329"/>
      <c r="B329" s="329"/>
      <c r="C329" s="329"/>
      <c r="D329" s="330"/>
      <c r="E329" s="330"/>
      <c r="F329" s="330"/>
      <c r="G329" s="330"/>
      <c r="H329" s="330"/>
      <c r="I329" s="329"/>
      <c r="J329" s="323"/>
      <c r="K329" s="323"/>
      <c r="L329" s="323"/>
      <c r="M329" s="323"/>
      <c r="N329" s="323"/>
      <c r="O329" s="323"/>
      <c r="P329" s="323"/>
    </row>
    <row r="330" spans="1:16" ht="14.4">
      <c r="A330" s="329"/>
      <c r="B330" s="329"/>
      <c r="C330" s="329"/>
      <c r="D330" s="330"/>
      <c r="E330" s="330"/>
      <c r="F330" s="330"/>
      <c r="G330" s="330"/>
      <c r="H330" s="330"/>
      <c r="I330" s="329"/>
      <c r="J330" s="323"/>
      <c r="K330" s="323"/>
      <c r="L330" s="323"/>
      <c r="M330" s="323"/>
      <c r="N330" s="323"/>
      <c r="O330" s="323"/>
      <c r="P330" s="323"/>
    </row>
    <row r="331" spans="1:16" ht="14.4">
      <c r="A331" s="329"/>
      <c r="B331" s="329"/>
      <c r="C331" s="329"/>
      <c r="D331" s="330"/>
      <c r="E331" s="330"/>
      <c r="F331" s="330"/>
      <c r="G331" s="330"/>
      <c r="H331" s="330"/>
      <c r="I331" s="329"/>
      <c r="J331" s="323"/>
      <c r="K331" s="323"/>
      <c r="L331" s="323"/>
      <c r="M331" s="323"/>
      <c r="N331" s="323"/>
      <c r="O331" s="323"/>
      <c r="P331" s="323"/>
    </row>
    <row r="332" spans="1:16" ht="14.4">
      <c r="A332" s="329"/>
      <c r="B332" s="329"/>
      <c r="C332" s="329"/>
      <c r="D332" s="330"/>
      <c r="E332" s="330"/>
      <c r="F332" s="330"/>
      <c r="G332" s="330"/>
      <c r="H332" s="330"/>
      <c r="I332" s="329"/>
      <c r="J332" s="323"/>
      <c r="K332" s="323"/>
      <c r="L332" s="323"/>
      <c r="M332" s="323"/>
      <c r="N332" s="323"/>
      <c r="O332" s="323"/>
      <c r="P332" s="323"/>
    </row>
    <row r="333" spans="1:16" ht="14.4">
      <c r="A333" s="329"/>
      <c r="B333" s="329"/>
      <c r="C333" s="329"/>
      <c r="D333" s="330"/>
      <c r="E333" s="330"/>
      <c r="F333" s="330"/>
      <c r="G333" s="330"/>
      <c r="H333" s="330"/>
      <c r="I333" s="329"/>
      <c r="J333" s="323"/>
      <c r="K333" s="323"/>
      <c r="L333" s="323"/>
      <c r="M333" s="323"/>
      <c r="N333" s="323"/>
      <c r="O333" s="323"/>
      <c r="P333" s="323"/>
    </row>
    <row r="334" spans="1:16" ht="14.4">
      <c r="A334" s="329"/>
      <c r="B334" s="329"/>
      <c r="C334" s="329"/>
      <c r="D334" s="330"/>
      <c r="E334" s="330"/>
      <c r="F334" s="330"/>
      <c r="G334" s="330"/>
      <c r="H334" s="330"/>
      <c r="I334" s="329"/>
      <c r="J334" s="323"/>
      <c r="K334" s="323"/>
      <c r="L334" s="323"/>
      <c r="M334" s="323"/>
      <c r="N334" s="323"/>
      <c r="O334" s="323"/>
      <c r="P334" s="323"/>
    </row>
    <row r="335" spans="1:16" ht="14.4">
      <c r="A335" s="329"/>
      <c r="B335" s="329"/>
      <c r="C335" s="329"/>
      <c r="D335" s="330"/>
      <c r="E335" s="330"/>
      <c r="F335" s="330"/>
      <c r="G335" s="330"/>
      <c r="H335" s="330"/>
      <c r="I335" s="329"/>
      <c r="J335" s="323"/>
      <c r="K335" s="323"/>
      <c r="L335" s="323"/>
      <c r="M335" s="323"/>
      <c r="N335" s="323"/>
      <c r="O335" s="323"/>
      <c r="P335" s="323"/>
    </row>
    <row r="336" spans="1:16" ht="14.4">
      <c r="A336" s="329"/>
      <c r="B336" s="329"/>
      <c r="C336" s="329"/>
      <c r="D336" s="330"/>
      <c r="E336" s="330"/>
      <c r="F336" s="330"/>
      <c r="G336" s="330"/>
      <c r="H336" s="330"/>
      <c r="I336" s="329"/>
      <c r="J336" s="323"/>
      <c r="K336" s="323"/>
      <c r="L336" s="323"/>
      <c r="M336" s="323"/>
      <c r="N336" s="323"/>
      <c r="O336" s="323"/>
      <c r="P336" s="323"/>
    </row>
    <row r="337" spans="1:16" ht="14.4">
      <c r="A337" s="329"/>
      <c r="B337" s="329"/>
      <c r="C337" s="329"/>
      <c r="D337" s="330"/>
      <c r="E337" s="330"/>
      <c r="F337" s="330"/>
      <c r="G337" s="330"/>
      <c r="H337" s="330"/>
      <c r="I337" s="329"/>
      <c r="J337" s="323"/>
      <c r="K337" s="323"/>
      <c r="L337" s="323"/>
      <c r="M337" s="323"/>
      <c r="N337" s="323"/>
      <c r="O337" s="323"/>
      <c r="P337" s="323"/>
    </row>
    <row r="338" spans="1:16" ht="14.4">
      <c r="A338" s="329"/>
      <c r="B338" s="329"/>
      <c r="C338" s="329"/>
      <c r="D338" s="330"/>
      <c r="E338" s="330"/>
      <c r="F338" s="330"/>
      <c r="G338" s="330"/>
      <c r="H338" s="330"/>
      <c r="I338" s="329"/>
      <c r="J338" s="323"/>
      <c r="K338" s="323"/>
      <c r="L338" s="323"/>
      <c r="M338" s="323"/>
      <c r="N338" s="323"/>
      <c r="O338" s="323"/>
      <c r="P338" s="323"/>
    </row>
    <row r="339" spans="1:16" ht="14.4">
      <c r="A339" s="329"/>
      <c r="B339" s="329"/>
      <c r="C339" s="329"/>
      <c r="D339" s="330"/>
      <c r="E339" s="330"/>
      <c r="F339" s="330"/>
      <c r="G339" s="330"/>
      <c r="H339" s="330"/>
      <c r="I339" s="329"/>
      <c r="J339" s="323"/>
      <c r="K339" s="323"/>
      <c r="L339" s="323"/>
      <c r="M339" s="323"/>
      <c r="N339" s="323"/>
      <c r="O339" s="323"/>
      <c r="P339" s="323"/>
    </row>
    <row r="340" spans="1:16" ht="14.4">
      <c r="A340" s="329"/>
      <c r="B340" s="329"/>
      <c r="C340" s="329"/>
      <c r="D340" s="330"/>
      <c r="E340" s="330"/>
      <c r="F340" s="330"/>
      <c r="G340" s="330"/>
      <c r="H340" s="330"/>
      <c r="I340" s="329"/>
      <c r="J340" s="323"/>
      <c r="K340" s="323"/>
      <c r="L340" s="323"/>
      <c r="M340" s="323"/>
      <c r="N340" s="323"/>
      <c r="O340" s="323"/>
      <c r="P340" s="323"/>
    </row>
    <row r="341" spans="1:16" ht="14.4">
      <c r="A341" s="329"/>
      <c r="B341" s="329"/>
      <c r="C341" s="329"/>
      <c r="D341" s="330"/>
      <c r="E341" s="330"/>
      <c r="F341" s="330"/>
      <c r="G341" s="330"/>
      <c r="H341" s="330"/>
      <c r="I341" s="329"/>
      <c r="J341" s="323"/>
      <c r="K341" s="323"/>
      <c r="L341" s="323"/>
      <c r="M341" s="323"/>
      <c r="N341" s="323"/>
      <c r="O341" s="323"/>
      <c r="P341" s="323"/>
    </row>
    <row r="342" spans="1:16" ht="14.4">
      <c r="A342" s="329"/>
      <c r="B342" s="329"/>
      <c r="C342" s="329"/>
      <c r="D342" s="330"/>
      <c r="E342" s="330"/>
      <c r="F342" s="330"/>
      <c r="G342" s="330"/>
      <c r="H342" s="330"/>
      <c r="I342" s="329"/>
      <c r="J342" s="323"/>
      <c r="K342" s="323"/>
      <c r="L342" s="323"/>
      <c r="M342" s="323"/>
      <c r="N342" s="323"/>
      <c r="O342" s="323"/>
      <c r="P342" s="323"/>
    </row>
    <row r="343" spans="1:16" ht="14.4">
      <c r="A343" s="329"/>
      <c r="B343" s="329"/>
      <c r="C343" s="329"/>
      <c r="D343" s="330"/>
      <c r="E343" s="330"/>
      <c r="F343" s="330"/>
      <c r="G343" s="330"/>
      <c r="H343" s="330"/>
      <c r="I343" s="329"/>
      <c r="J343" s="323"/>
      <c r="K343" s="323"/>
      <c r="L343" s="323"/>
      <c r="M343" s="323"/>
      <c r="N343" s="323"/>
      <c r="O343" s="323"/>
      <c r="P343" s="323"/>
    </row>
    <row r="344" spans="1:16" ht="14.4">
      <c r="A344" s="329"/>
      <c r="B344" s="329"/>
      <c r="C344" s="329"/>
      <c r="D344" s="330"/>
      <c r="E344" s="330"/>
      <c r="F344" s="330"/>
      <c r="G344" s="330"/>
      <c r="H344" s="330"/>
      <c r="I344" s="329"/>
      <c r="J344" s="323"/>
      <c r="K344" s="323"/>
      <c r="L344" s="323"/>
      <c r="M344" s="323"/>
      <c r="N344" s="323"/>
      <c r="O344" s="323"/>
      <c r="P344" s="323"/>
    </row>
    <row r="345" spans="1:16" ht="14.4">
      <c r="A345" s="329"/>
      <c r="B345" s="329"/>
      <c r="C345" s="329"/>
      <c r="D345" s="330"/>
      <c r="E345" s="330"/>
      <c r="F345" s="330"/>
      <c r="G345" s="330"/>
      <c r="H345" s="330"/>
      <c r="I345" s="329"/>
      <c r="J345" s="323"/>
      <c r="K345" s="323"/>
      <c r="L345" s="323"/>
      <c r="M345" s="323"/>
      <c r="N345" s="323"/>
      <c r="O345" s="323"/>
      <c r="P345" s="323"/>
    </row>
    <row r="346" spans="1:16" ht="14.4">
      <c r="A346" s="329"/>
      <c r="B346" s="329"/>
      <c r="C346" s="329"/>
      <c r="D346" s="330"/>
      <c r="E346" s="330"/>
      <c r="F346" s="330"/>
      <c r="G346" s="330"/>
      <c r="H346" s="330"/>
      <c r="I346" s="329"/>
      <c r="J346" s="323"/>
      <c r="K346" s="323"/>
      <c r="L346" s="323"/>
      <c r="M346" s="323"/>
      <c r="N346" s="323"/>
      <c r="O346" s="323"/>
      <c r="P346" s="323"/>
    </row>
    <row r="347" spans="1:16" ht="14.4">
      <c r="A347" s="329"/>
      <c r="B347" s="329"/>
      <c r="C347" s="329"/>
      <c r="D347" s="330"/>
      <c r="E347" s="330"/>
      <c r="F347" s="330"/>
      <c r="G347" s="330"/>
      <c r="H347" s="330"/>
      <c r="I347" s="329"/>
      <c r="J347" s="323"/>
      <c r="K347" s="323"/>
      <c r="L347" s="323"/>
      <c r="M347" s="323"/>
      <c r="N347" s="323"/>
      <c r="O347" s="323"/>
      <c r="P347" s="323"/>
    </row>
    <row r="348" spans="1:16" ht="14.4">
      <c r="A348" s="329"/>
      <c r="B348" s="329"/>
      <c r="C348" s="329"/>
      <c r="D348" s="330"/>
      <c r="E348" s="330"/>
      <c r="F348" s="330"/>
      <c r="G348" s="330"/>
      <c r="H348" s="330"/>
      <c r="I348" s="329"/>
      <c r="J348" s="323"/>
      <c r="K348" s="323"/>
      <c r="L348" s="323"/>
      <c r="M348" s="323"/>
      <c r="N348" s="323"/>
      <c r="O348" s="323"/>
      <c r="P348" s="323"/>
    </row>
    <row r="349" spans="1:16" ht="14.4">
      <c r="A349" s="329"/>
      <c r="B349" s="329"/>
      <c r="C349" s="329"/>
      <c r="D349" s="330"/>
      <c r="E349" s="330"/>
      <c r="F349" s="330"/>
      <c r="G349" s="330"/>
      <c r="H349" s="330"/>
      <c r="I349" s="329"/>
      <c r="J349" s="323"/>
      <c r="K349" s="323"/>
      <c r="L349" s="323"/>
      <c r="M349" s="323"/>
      <c r="N349" s="323"/>
      <c r="O349" s="323"/>
      <c r="P349" s="323"/>
    </row>
    <row r="350" spans="1:16" ht="14.4">
      <c r="A350" s="329"/>
      <c r="B350" s="329"/>
      <c r="C350" s="329"/>
      <c r="D350" s="330"/>
      <c r="E350" s="330"/>
      <c r="F350" s="330"/>
      <c r="G350" s="330"/>
      <c r="H350" s="330"/>
      <c r="I350" s="329"/>
      <c r="J350" s="323"/>
      <c r="K350" s="323"/>
      <c r="L350" s="323"/>
      <c r="M350" s="323"/>
      <c r="N350" s="323"/>
      <c r="O350" s="323"/>
      <c r="P350" s="323"/>
    </row>
    <row r="351" spans="1:16" ht="14.4">
      <c r="A351" s="329"/>
      <c r="B351" s="329"/>
      <c r="C351" s="329"/>
      <c r="D351" s="330"/>
      <c r="E351" s="330"/>
      <c r="F351" s="330"/>
      <c r="G351" s="330"/>
      <c r="H351" s="330"/>
      <c r="I351" s="329"/>
      <c r="J351" s="323"/>
      <c r="K351" s="323"/>
      <c r="L351" s="323"/>
      <c r="M351" s="323"/>
      <c r="N351" s="323"/>
      <c r="O351" s="323"/>
      <c r="P351" s="323"/>
    </row>
    <row r="352" spans="1:16" ht="14.4">
      <c r="A352" s="329"/>
      <c r="B352" s="329"/>
      <c r="C352" s="329"/>
      <c r="D352" s="330"/>
      <c r="E352" s="330"/>
      <c r="F352" s="330"/>
      <c r="G352" s="330"/>
      <c r="H352" s="330"/>
      <c r="I352" s="329"/>
      <c r="J352" s="323"/>
      <c r="K352" s="323"/>
      <c r="L352" s="323"/>
      <c r="M352" s="323"/>
      <c r="N352" s="323"/>
      <c r="O352" s="323"/>
      <c r="P352" s="323"/>
    </row>
    <row r="353" spans="1:16" ht="14.4">
      <c r="A353" s="329"/>
      <c r="B353" s="329"/>
      <c r="C353" s="329"/>
      <c r="D353" s="330"/>
      <c r="E353" s="330"/>
      <c r="F353" s="330"/>
      <c r="G353" s="330"/>
      <c r="H353" s="330"/>
      <c r="I353" s="329"/>
      <c r="J353" s="323"/>
      <c r="K353" s="323"/>
      <c r="L353" s="323"/>
      <c r="M353" s="323"/>
      <c r="N353" s="323"/>
      <c r="O353" s="323"/>
      <c r="P353" s="323"/>
    </row>
    <row r="354" spans="1:16" ht="14.4">
      <c r="A354" s="329"/>
      <c r="B354" s="329"/>
      <c r="C354" s="329"/>
      <c r="D354" s="330"/>
      <c r="E354" s="330"/>
      <c r="F354" s="330"/>
      <c r="G354" s="330"/>
      <c r="H354" s="330"/>
      <c r="I354" s="329"/>
      <c r="J354" s="323"/>
      <c r="K354" s="323"/>
      <c r="L354" s="323"/>
      <c r="M354" s="323"/>
      <c r="N354" s="323"/>
      <c r="O354" s="323"/>
      <c r="P354" s="323"/>
    </row>
    <row r="355" spans="1:16" ht="14.4">
      <c r="A355" s="329"/>
      <c r="B355" s="329"/>
      <c r="C355" s="329"/>
      <c r="D355" s="330"/>
      <c r="E355" s="330"/>
      <c r="F355" s="330"/>
      <c r="G355" s="330"/>
      <c r="H355" s="330"/>
      <c r="I355" s="329"/>
      <c r="J355" s="323"/>
      <c r="K355" s="323"/>
      <c r="L355" s="323"/>
      <c r="M355" s="323"/>
      <c r="N355" s="323"/>
      <c r="O355" s="323"/>
      <c r="P355" s="323"/>
    </row>
    <row r="356" spans="1:16" ht="14.4">
      <c r="A356" s="329"/>
      <c r="B356" s="329"/>
      <c r="C356" s="329"/>
      <c r="D356" s="330"/>
      <c r="E356" s="330"/>
      <c r="F356" s="330"/>
      <c r="G356" s="330"/>
      <c r="H356" s="330"/>
      <c r="I356" s="329"/>
      <c r="J356" s="323"/>
      <c r="K356" s="323"/>
      <c r="L356" s="323"/>
      <c r="M356" s="323"/>
      <c r="N356" s="323"/>
      <c r="O356" s="323"/>
      <c r="P356" s="323"/>
    </row>
    <row r="357" spans="1:16" ht="14.4">
      <c r="A357" s="329"/>
      <c r="B357" s="329"/>
      <c r="C357" s="329"/>
      <c r="D357" s="330"/>
      <c r="E357" s="330"/>
      <c r="F357" s="330"/>
      <c r="G357" s="330"/>
      <c r="H357" s="330"/>
      <c r="I357" s="329"/>
      <c r="J357" s="323"/>
      <c r="K357" s="323"/>
      <c r="L357" s="323"/>
      <c r="M357" s="323"/>
      <c r="N357" s="323"/>
      <c r="O357" s="323"/>
      <c r="P357" s="323"/>
    </row>
    <row r="358" spans="1:16" ht="14.4">
      <c r="A358" s="329"/>
      <c r="B358" s="329"/>
      <c r="C358" s="329"/>
      <c r="D358" s="330"/>
      <c r="E358" s="330"/>
      <c r="F358" s="330"/>
      <c r="G358" s="330"/>
      <c r="H358" s="330"/>
      <c r="I358" s="329"/>
      <c r="J358" s="323"/>
      <c r="K358" s="323"/>
      <c r="L358" s="323"/>
      <c r="M358" s="323"/>
      <c r="N358" s="323"/>
      <c r="O358" s="323"/>
      <c r="P358" s="323"/>
    </row>
    <row r="359" spans="1:16" ht="14.4">
      <c r="A359" s="329"/>
      <c r="B359" s="329"/>
      <c r="C359" s="329"/>
      <c r="D359" s="330"/>
      <c r="E359" s="330"/>
      <c r="F359" s="330"/>
      <c r="G359" s="330"/>
      <c r="H359" s="330"/>
      <c r="I359" s="329"/>
      <c r="J359" s="323"/>
      <c r="K359" s="323"/>
      <c r="L359" s="323"/>
      <c r="M359" s="323"/>
      <c r="N359" s="323"/>
      <c r="O359" s="323"/>
      <c r="P359" s="323"/>
    </row>
    <row r="360" spans="1:16" ht="14.4">
      <c r="A360" s="329"/>
      <c r="B360" s="329"/>
      <c r="C360" s="329"/>
      <c r="D360" s="330"/>
      <c r="E360" s="330"/>
      <c r="F360" s="330"/>
      <c r="G360" s="330"/>
      <c r="H360" s="330"/>
      <c r="I360" s="329"/>
      <c r="J360" s="323"/>
      <c r="K360" s="323"/>
      <c r="L360" s="323"/>
      <c r="M360" s="323"/>
      <c r="N360" s="323"/>
      <c r="O360" s="323"/>
      <c r="P360" s="323"/>
    </row>
    <row r="361" spans="1:16" ht="14.4">
      <c r="A361" s="329"/>
      <c r="B361" s="329"/>
      <c r="C361" s="329"/>
      <c r="D361" s="330"/>
      <c r="E361" s="330"/>
      <c r="F361" s="330"/>
      <c r="G361" s="330"/>
      <c r="H361" s="330"/>
      <c r="I361" s="329"/>
      <c r="J361" s="323"/>
      <c r="K361" s="323"/>
      <c r="L361" s="323"/>
      <c r="M361" s="323"/>
      <c r="N361" s="323"/>
      <c r="O361" s="323"/>
      <c r="P361" s="323"/>
    </row>
    <row r="362" spans="1:16" ht="14.4">
      <c r="A362" s="329"/>
      <c r="B362" s="329"/>
      <c r="C362" s="329"/>
      <c r="D362" s="330"/>
      <c r="E362" s="330"/>
      <c r="F362" s="330"/>
      <c r="G362" s="330"/>
      <c r="H362" s="330"/>
      <c r="I362" s="329"/>
      <c r="J362" s="323"/>
      <c r="K362" s="323"/>
      <c r="L362" s="323"/>
      <c r="M362" s="323"/>
      <c r="N362" s="323"/>
      <c r="O362" s="323"/>
      <c r="P362" s="323"/>
    </row>
    <row r="363" spans="1:16" ht="14.4">
      <c r="A363" s="329"/>
      <c r="B363" s="329"/>
      <c r="C363" s="329"/>
      <c r="D363" s="330"/>
      <c r="E363" s="330"/>
      <c r="F363" s="330"/>
      <c r="G363" s="330"/>
      <c r="H363" s="330"/>
      <c r="I363" s="329"/>
      <c r="J363" s="323"/>
      <c r="K363" s="323"/>
      <c r="L363" s="323"/>
      <c r="M363" s="323"/>
      <c r="N363" s="323"/>
      <c r="O363" s="323"/>
      <c r="P363" s="323"/>
    </row>
    <row r="364" spans="1:16" ht="14.4">
      <c r="A364" s="329"/>
      <c r="B364" s="329"/>
      <c r="C364" s="329"/>
      <c r="D364" s="330"/>
      <c r="E364" s="330"/>
      <c r="F364" s="330"/>
      <c r="G364" s="330"/>
      <c r="H364" s="330"/>
      <c r="I364" s="329"/>
      <c r="J364" s="323"/>
      <c r="K364" s="323"/>
      <c r="L364" s="323"/>
      <c r="M364" s="323"/>
      <c r="N364" s="323"/>
      <c r="O364" s="323"/>
      <c r="P364" s="323"/>
    </row>
    <row r="365" spans="1:16" ht="14.4">
      <c r="A365" s="329"/>
      <c r="B365" s="329"/>
      <c r="C365" s="329"/>
      <c r="D365" s="330"/>
      <c r="E365" s="330"/>
      <c r="F365" s="330"/>
      <c r="G365" s="330"/>
      <c r="H365" s="330"/>
      <c r="I365" s="329"/>
      <c r="J365" s="323"/>
      <c r="K365" s="323"/>
      <c r="L365" s="323"/>
      <c r="M365" s="323"/>
      <c r="N365" s="323"/>
      <c r="O365" s="323"/>
      <c r="P365" s="323"/>
    </row>
    <row r="366" spans="1:16" ht="14.4">
      <c r="A366" s="329"/>
      <c r="B366" s="329"/>
      <c r="C366" s="329"/>
      <c r="D366" s="330"/>
      <c r="E366" s="330"/>
      <c r="F366" s="330"/>
      <c r="G366" s="330"/>
      <c r="H366" s="330"/>
      <c r="I366" s="329"/>
      <c r="J366" s="323"/>
      <c r="K366" s="323"/>
      <c r="L366" s="323"/>
      <c r="M366" s="323"/>
      <c r="N366" s="323"/>
      <c r="O366" s="323"/>
      <c r="P366" s="323"/>
    </row>
    <row r="367" spans="1:16" ht="14.4">
      <c r="A367" s="329"/>
      <c r="B367" s="329"/>
      <c r="C367" s="329"/>
      <c r="D367" s="330"/>
      <c r="E367" s="330"/>
      <c r="F367" s="330"/>
      <c r="G367" s="330"/>
      <c r="H367" s="330"/>
      <c r="I367" s="329"/>
      <c r="J367" s="323"/>
      <c r="K367" s="323"/>
      <c r="L367" s="323"/>
      <c r="M367" s="323"/>
      <c r="N367" s="323"/>
      <c r="O367" s="323"/>
      <c r="P367" s="323"/>
    </row>
    <row r="368" spans="1:16" ht="14.4">
      <c r="A368" s="329"/>
      <c r="B368" s="329"/>
      <c r="C368" s="329"/>
      <c r="D368" s="330"/>
      <c r="E368" s="330"/>
      <c r="F368" s="330"/>
      <c r="G368" s="330"/>
      <c r="H368" s="330"/>
      <c r="I368" s="329"/>
      <c r="J368" s="323"/>
      <c r="K368" s="323"/>
      <c r="L368" s="323"/>
      <c r="M368" s="323"/>
      <c r="N368" s="323"/>
      <c r="O368" s="323"/>
      <c r="P368" s="323"/>
    </row>
    <row r="369" spans="1:16" ht="14.4">
      <c r="A369" s="329"/>
      <c r="B369" s="329"/>
      <c r="C369" s="329"/>
      <c r="D369" s="330"/>
      <c r="E369" s="330"/>
      <c r="F369" s="330"/>
      <c r="G369" s="330"/>
      <c r="H369" s="330"/>
      <c r="I369" s="329"/>
      <c r="J369" s="323"/>
      <c r="K369" s="323"/>
      <c r="L369" s="323"/>
      <c r="M369" s="323"/>
      <c r="N369" s="323"/>
      <c r="O369" s="323"/>
      <c r="P369" s="323"/>
    </row>
    <row r="370" spans="1:16" ht="14.4">
      <c r="A370" s="329"/>
      <c r="B370" s="329"/>
      <c r="C370" s="329"/>
      <c r="D370" s="330"/>
      <c r="E370" s="330"/>
      <c r="F370" s="330"/>
      <c r="G370" s="330"/>
      <c r="H370" s="330"/>
      <c r="I370" s="329"/>
      <c r="J370" s="323"/>
      <c r="K370" s="323"/>
      <c r="L370" s="323"/>
      <c r="M370" s="323"/>
      <c r="N370" s="323"/>
      <c r="O370" s="323"/>
      <c r="P370" s="323"/>
    </row>
    <row r="371" spans="1:16" ht="14.4">
      <c r="A371" s="329"/>
      <c r="B371" s="329"/>
      <c r="C371" s="329"/>
      <c r="D371" s="330"/>
      <c r="E371" s="330"/>
      <c r="F371" s="330"/>
      <c r="G371" s="330"/>
      <c r="H371" s="330"/>
      <c r="I371" s="329"/>
      <c r="J371" s="323"/>
      <c r="K371" s="323"/>
      <c r="L371" s="323"/>
      <c r="M371" s="323"/>
      <c r="N371" s="323"/>
      <c r="O371" s="323"/>
      <c r="P371" s="323"/>
    </row>
    <row r="372" spans="1:16" ht="14.4">
      <c r="A372" s="329"/>
      <c r="B372" s="329"/>
      <c r="C372" s="329"/>
      <c r="D372" s="330"/>
      <c r="E372" s="330"/>
      <c r="F372" s="330"/>
      <c r="G372" s="330"/>
      <c r="H372" s="330"/>
      <c r="I372" s="329"/>
      <c r="J372" s="323"/>
      <c r="K372" s="323"/>
      <c r="L372" s="323"/>
      <c r="M372" s="323"/>
      <c r="N372" s="323"/>
      <c r="O372" s="323"/>
      <c r="P372" s="323"/>
    </row>
    <row r="373" spans="1:16" ht="14.4">
      <c r="A373" s="329"/>
      <c r="B373" s="329"/>
      <c r="C373" s="329"/>
      <c r="D373" s="330"/>
      <c r="E373" s="330"/>
      <c r="F373" s="330"/>
      <c r="G373" s="330"/>
      <c r="H373" s="330"/>
      <c r="I373" s="329"/>
      <c r="J373" s="323"/>
      <c r="K373" s="323"/>
      <c r="L373" s="323"/>
      <c r="M373" s="323"/>
      <c r="N373" s="323"/>
      <c r="O373" s="323"/>
      <c r="P373" s="323"/>
    </row>
    <row r="374" spans="1:16" ht="14.4">
      <c r="A374" s="329"/>
      <c r="B374" s="329"/>
      <c r="C374" s="329"/>
      <c r="D374" s="330"/>
      <c r="E374" s="330"/>
      <c r="F374" s="330"/>
      <c r="G374" s="330"/>
      <c r="H374" s="330"/>
      <c r="I374" s="329"/>
      <c r="J374" s="323"/>
      <c r="K374" s="323"/>
      <c r="L374" s="323"/>
      <c r="M374" s="323"/>
      <c r="N374" s="323"/>
      <c r="O374" s="323"/>
      <c r="P374" s="323"/>
    </row>
    <row r="375" spans="1:16" ht="14.4">
      <c r="A375" s="329"/>
      <c r="B375" s="329"/>
      <c r="C375" s="329"/>
      <c r="D375" s="330"/>
      <c r="E375" s="330"/>
      <c r="F375" s="330"/>
      <c r="G375" s="330"/>
      <c r="H375" s="330"/>
      <c r="I375" s="329"/>
      <c r="J375" s="323"/>
      <c r="K375" s="323"/>
      <c r="L375" s="323"/>
      <c r="M375" s="323"/>
      <c r="N375" s="323"/>
      <c r="O375" s="323"/>
      <c r="P375" s="323"/>
    </row>
    <row r="376" spans="1:16" ht="14.4">
      <c r="A376" s="329"/>
      <c r="B376" s="329"/>
      <c r="C376" s="329"/>
      <c r="D376" s="330"/>
      <c r="E376" s="330"/>
      <c r="F376" s="330"/>
      <c r="G376" s="330"/>
      <c r="H376" s="330"/>
      <c r="I376" s="329"/>
      <c r="J376" s="323"/>
      <c r="K376" s="323"/>
      <c r="L376" s="323"/>
      <c r="M376" s="323"/>
      <c r="N376" s="323"/>
      <c r="O376" s="323"/>
      <c r="P376" s="323"/>
    </row>
    <row r="377" spans="1:16">
      <c r="A377" s="323"/>
      <c r="B377" s="323"/>
      <c r="C377" s="323"/>
      <c r="D377" s="323"/>
      <c r="E377" s="323"/>
      <c r="F377" s="323"/>
      <c r="G377" s="323"/>
      <c r="H377" s="323"/>
      <c r="I377" s="323"/>
      <c r="J377" s="323"/>
      <c r="K377" s="323"/>
      <c r="L377" s="323"/>
      <c r="M377" s="323"/>
      <c r="N377" s="323"/>
      <c r="O377" s="323"/>
      <c r="P377" s="323"/>
    </row>
    <row r="378" spans="1:16">
      <c r="A378" s="323"/>
      <c r="B378" s="323"/>
      <c r="C378" s="323"/>
      <c r="D378" s="323"/>
      <c r="E378" s="323"/>
      <c r="F378" s="323"/>
      <c r="G378" s="323"/>
      <c r="H378" s="323"/>
      <c r="I378" s="323"/>
      <c r="J378" s="323"/>
      <c r="K378" s="323"/>
      <c r="L378" s="323"/>
      <c r="M378" s="323"/>
      <c r="N378" s="323"/>
      <c r="O378" s="323"/>
      <c r="P378" s="323"/>
    </row>
    <row r="379" spans="1:16">
      <c r="A379" s="323"/>
      <c r="B379" s="323"/>
      <c r="C379" s="323"/>
      <c r="D379" s="323"/>
      <c r="E379" s="323"/>
      <c r="F379" s="323"/>
      <c r="G379" s="323"/>
      <c r="H379" s="323"/>
      <c r="I379" s="323"/>
      <c r="J379" s="323"/>
      <c r="K379" s="323"/>
      <c r="L379" s="323"/>
      <c r="M379" s="323"/>
      <c r="N379" s="323"/>
      <c r="O379" s="323"/>
      <c r="P379" s="323"/>
    </row>
    <row r="380" spans="1:16">
      <c r="A380" s="323"/>
      <c r="B380" s="323"/>
      <c r="C380" s="323"/>
      <c r="D380" s="323"/>
      <c r="E380" s="323"/>
      <c r="F380" s="323"/>
      <c r="G380" s="323"/>
      <c r="H380" s="323"/>
      <c r="I380" s="323"/>
      <c r="J380" s="323"/>
      <c r="K380" s="323"/>
      <c r="L380" s="323"/>
      <c r="M380" s="323"/>
      <c r="N380" s="323"/>
      <c r="O380" s="323"/>
      <c r="P380" s="323"/>
    </row>
    <row r="381" spans="1:16">
      <c r="A381" s="323"/>
      <c r="B381" s="323"/>
      <c r="C381" s="323"/>
      <c r="D381" s="323"/>
      <c r="E381" s="323"/>
      <c r="F381" s="323"/>
      <c r="G381" s="323"/>
      <c r="H381" s="323"/>
      <c r="I381" s="323"/>
      <c r="J381" s="323"/>
      <c r="K381" s="323"/>
      <c r="L381" s="323"/>
      <c r="M381" s="323"/>
      <c r="N381" s="323"/>
      <c r="O381" s="323"/>
      <c r="P381" s="323"/>
    </row>
    <row r="382" spans="1:16">
      <c r="A382" s="323"/>
      <c r="B382" s="323"/>
      <c r="C382" s="323"/>
      <c r="D382" s="323"/>
      <c r="E382" s="323"/>
      <c r="F382" s="323"/>
      <c r="G382" s="323"/>
      <c r="H382" s="323"/>
      <c r="I382" s="323"/>
      <c r="J382" s="323"/>
      <c r="K382" s="323"/>
      <c r="L382" s="323"/>
      <c r="M382" s="323"/>
      <c r="N382" s="323"/>
      <c r="O382" s="323"/>
      <c r="P382" s="323"/>
    </row>
    <row r="383" spans="1:16">
      <c r="A383" s="323"/>
      <c r="B383" s="323"/>
      <c r="C383" s="323"/>
      <c r="D383" s="323"/>
      <c r="E383" s="323"/>
      <c r="F383" s="323"/>
      <c r="G383" s="323"/>
      <c r="H383" s="323"/>
      <c r="I383" s="323"/>
      <c r="J383" s="323"/>
      <c r="K383" s="323"/>
      <c r="L383" s="323"/>
      <c r="M383" s="323"/>
      <c r="N383" s="323"/>
      <c r="O383" s="323"/>
      <c r="P383" s="323"/>
    </row>
    <row r="384" spans="1:16">
      <c r="A384" s="323"/>
      <c r="B384" s="323"/>
      <c r="C384" s="323"/>
      <c r="D384" s="323"/>
      <c r="E384" s="323"/>
      <c r="F384" s="323"/>
      <c r="G384" s="323"/>
      <c r="H384" s="323"/>
      <c r="I384" s="323"/>
      <c r="J384" s="323"/>
      <c r="K384" s="323"/>
      <c r="L384" s="323"/>
      <c r="M384" s="323"/>
      <c r="N384" s="323"/>
      <c r="O384" s="323"/>
      <c r="P384" s="323"/>
    </row>
    <row r="385" spans="1:16">
      <c r="A385" s="323"/>
      <c r="B385" s="323"/>
      <c r="C385" s="323"/>
      <c r="D385" s="323"/>
      <c r="E385" s="323"/>
      <c r="F385" s="323"/>
      <c r="G385" s="323"/>
      <c r="H385" s="323"/>
      <c r="I385" s="323"/>
      <c r="J385" s="323"/>
      <c r="K385" s="323"/>
      <c r="L385" s="323"/>
      <c r="M385" s="323"/>
      <c r="N385" s="323"/>
      <c r="O385" s="323"/>
      <c r="P385" s="323"/>
    </row>
    <row r="386" spans="1:16">
      <c r="A386" s="323"/>
      <c r="B386" s="323"/>
      <c r="C386" s="323"/>
      <c r="D386" s="323"/>
      <c r="E386" s="323"/>
      <c r="F386" s="323"/>
      <c r="G386" s="323"/>
      <c r="H386" s="323"/>
      <c r="I386" s="323"/>
      <c r="J386" s="323"/>
      <c r="K386" s="323"/>
      <c r="L386" s="323"/>
      <c r="M386" s="323"/>
      <c r="N386" s="323"/>
      <c r="O386" s="323"/>
      <c r="P386" s="323"/>
    </row>
    <row r="387" spans="1:16">
      <c r="A387" s="323"/>
      <c r="B387" s="323"/>
      <c r="C387" s="323"/>
      <c r="D387" s="323"/>
      <c r="E387" s="323"/>
      <c r="F387" s="323"/>
      <c r="G387" s="323"/>
      <c r="H387" s="323"/>
      <c r="I387" s="323"/>
      <c r="J387" s="323"/>
      <c r="K387" s="323"/>
      <c r="L387" s="323"/>
      <c r="M387" s="323"/>
      <c r="N387" s="323"/>
      <c r="O387" s="323"/>
      <c r="P387" s="323"/>
    </row>
    <row r="388" spans="1:16">
      <c r="A388" s="323"/>
      <c r="B388" s="323"/>
      <c r="C388" s="323"/>
      <c r="D388" s="323"/>
      <c r="E388" s="323"/>
      <c r="F388" s="323"/>
      <c r="G388" s="323"/>
      <c r="H388" s="323"/>
      <c r="I388" s="323"/>
      <c r="J388" s="323"/>
      <c r="K388" s="323"/>
      <c r="L388" s="323"/>
      <c r="M388" s="323"/>
      <c r="N388" s="323"/>
      <c r="O388" s="323"/>
      <c r="P388" s="323"/>
    </row>
    <row r="389" spans="1:16">
      <c r="A389" s="323"/>
      <c r="B389" s="323"/>
      <c r="C389" s="323"/>
      <c r="D389" s="323"/>
      <c r="E389" s="323"/>
      <c r="F389" s="323"/>
      <c r="G389" s="323"/>
      <c r="H389" s="323"/>
      <c r="I389" s="323"/>
      <c r="J389" s="323"/>
      <c r="K389" s="323"/>
      <c r="L389" s="323"/>
      <c r="M389" s="323"/>
      <c r="N389" s="323"/>
      <c r="O389" s="323"/>
      <c r="P389" s="323"/>
    </row>
    <row r="390" spans="1:16">
      <c r="A390" s="323"/>
      <c r="B390" s="323"/>
      <c r="C390" s="323"/>
      <c r="D390" s="323"/>
      <c r="E390" s="323"/>
      <c r="F390" s="323"/>
      <c r="G390" s="323"/>
      <c r="H390" s="323"/>
      <c r="I390" s="323"/>
      <c r="J390" s="323"/>
      <c r="K390" s="323"/>
      <c r="L390" s="323"/>
      <c r="M390" s="323"/>
      <c r="N390" s="323"/>
      <c r="O390" s="323"/>
      <c r="P390" s="323"/>
    </row>
    <row r="391" spans="1:16">
      <c r="A391" s="323"/>
      <c r="B391" s="323"/>
      <c r="C391" s="323"/>
      <c r="D391" s="323"/>
      <c r="E391" s="323"/>
      <c r="F391" s="323"/>
      <c r="G391" s="323"/>
      <c r="H391" s="323"/>
      <c r="I391" s="323"/>
      <c r="J391" s="323"/>
      <c r="K391" s="323"/>
      <c r="L391" s="323"/>
      <c r="M391" s="323"/>
      <c r="N391" s="323"/>
      <c r="O391" s="323"/>
      <c r="P391" s="323"/>
    </row>
    <row r="392" spans="1:16">
      <c r="A392" s="323"/>
      <c r="B392" s="323"/>
      <c r="C392" s="323"/>
      <c r="D392" s="323"/>
      <c r="E392" s="323"/>
      <c r="F392" s="323"/>
      <c r="G392" s="323"/>
      <c r="H392" s="323"/>
      <c r="I392" s="323"/>
      <c r="J392" s="323"/>
      <c r="K392" s="323"/>
      <c r="L392" s="323"/>
      <c r="M392" s="323"/>
      <c r="N392" s="323"/>
      <c r="O392" s="323"/>
      <c r="P392" s="323"/>
    </row>
    <row r="393" spans="1:16">
      <c r="A393" s="323"/>
      <c r="B393" s="323"/>
      <c r="C393" s="323"/>
      <c r="D393" s="323"/>
      <c r="E393" s="323"/>
      <c r="F393" s="323"/>
      <c r="G393" s="323"/>
      <c r="H393" s="323"/>
      <c r="I393" s="323"/>
      <c r="J393" s="323"/>
      <c r="K393" s="323"/>
      <c r="L393" s="323"/>
      <c r="M393" s="323"/>
      <c r="N393" s="323"/>
      <c r="O393" s="323"/>
      <c r="P393" s="323"/>
    </row>
    <row r="394" spans="1:16">
      <c r="A394" s="323"/>
      <c r="B394" s="323"/>
      <c r="C394" s="323"/>
      <c r="D394" s="323"/>
      <c r="E394" s="323"/>
      <c r="F394" s="323"/>
      <c r="G394" s="323"/>
      <c r="H394" s="323"/>
      <c r="I394" s="323"/>
      <c r="J394" s="323"/>
      <c r="K394" s="323"/>
      <c r="L394" s="323"/>
      <c r="M394" s="323"/>
      <c r="N394" s="323"/>
      <c r="O394" s="323"/>
      <c r="P394" s="323"/>
    </row>
    <row r="395" spans="1:16">
      <c r="A395" s="323"/>
      <c r="B395" s="323"/>
      <c r="C395" s="323"/>
      <c r="D395" s="323"/>
      <c r="E395" s="323"/>
      <c r="F395" s="323"/>
      <c r="G395" s="323"/>
      <c r="H395" s="323"/>
      <c r="I395" s="323"/>
      <c r="J395" s="323"/>
      <c r="K395" s="323"/>
      <c r="L395" s="323"/>
      <c r="M395" s="323"/>
      <c r="N395" s="323"/>
      <c r="O395" s="323"/>
      <c r="P395" s="323"/>
    </row>
    <row r="396" spans="1:16">
      <c r="A396" s="323"/>
      <c r="B396" s="323"/>
      <c r="C396" s="323"/>
      <c r="D396" s="323"/>
      <c r="E396" s="323"/>
      <c r="F396" s="323"/>
      <c r="G396" s="323"/>
      <c r="H396" s="323"/>
      <c r="I396" s="323"/>
      <c r="J396" s="323"/>
      <c r="K396" s="323"/>
      <c r="L396" s="323"/>
      <c r="M396" s="323"/>
      <c r="N396" s="323"/>
      <c r="O396" s="323"/>
      <c r="P396" s="323"/>
    </row>
    <row r="397" spans="1:16">
      <c r="A397" s="323"/>
      <c r="B397" s="323"/>
      <c r="C397" s="323"/>
      <c r="D397" s="323"/>
      <c r="E397" s="323"/>
      <c r="F397" s="323"/>
      <c r="G397" s="323"/>
      <c r="H397" s="323"/>
      <c r="I397" s="323"/>
      <c r="J397" s="323"/>
      <c r="K397" s="323"/>
      <c r="L397" s="323"/>
      <c r="M397" s="323"/>
      <c r="N397" s="323"/>
      <c r="O397" s="323"/>
      <c r="P397" s="323"/>
    </row>
    <row r="398" spans="1:16">
      <c r="A398" s="323"/>
      <c r="B398" s="323"/>
      <c r="C398" s="323"/>
      <c r="D398" s="323"/>
      <c r="E398" s="323"/>
      <c r="F398" s="323"/>
      <c r="G398" s="323"/>
      <c r="H398" s="323"/>
      <c r="I398" s="323"/>
      <c r="J398" s="323"/>
      <c r="K398" s="323"/>
      <c r="L398" s="323"/>
      <c r="M398" s="323"/>
      <c r="N398" s="323"/>
      <c r="O398" s="323"/>
      <c r="P398" s="323"/>
    </row>
    <row r="399" spans="1:16">
      <c r="A399" s="323"/>
      <c r="B399" s="323"/>
      <c r="C399" s="323"/>
      <c r="D399" s="323"/>
      <c r="E399" s="323"/>
      <c r="F399" s="323"/>
      <c r="G399" s="323"/>
      <c r="H399" s="323"/>
      <c r="I399" s="323"/>
      <c r="J399" s="323"/>
      <c r="K399" s="323"/>
      <c r="L399" s="323"/>
      <c r="M399" s="323"/>
      <c r="N399" s="323"/>
      <c r="O399" s="323"/>
      <c r="P399" s="323"/>
    </row>
    <row r="400" spans="1:16">
      <c r="A400" s="323"/>
      <c r="B400" s="323"/>
      <c r="C400" s="323"/>
      <c r="D400" s="323"/>
      <c r="E400" s="323"/>
      <c r="F400" s="323"/>
      <c r="G400" s="323"/>
      <c r="H400" s="323"/>
      <c r="I400" s="323"/>
      <c r="J400" s="323"/>
      <c r="K400" s="323"/>
      <c r="L400" s="323"/>
      <c r="M400" s="323"/>
      <c r="N400" s="323"/>
      <c r="O400" s="323"/>
      <c r="P400" s="323"/>
    </row>
    <row r="401" spans="1:16">
      <c r="A401" s="323"/>
      <c r="B401" s="323"/>
      <c r="C401" s="323"/>
      <c r="D401" s="323"/>
      <c r="E401" s="323"/>
      <c r="F401" s="323"/>
      <c r="G401" s="323"/>
      <c r="H401" s="323"/>
      <c r="I401" s="323"/>
      <c r="J401" s="323"/>
      <c r="K401" s="323"/>
      <c r="L401" s="323"/>
      <c r="M401" s="323"/>
      <c r="N401" s="323"/>
      <c r="O401" s="323"/>
      <c r="P401" s="323"/>
    </row>
    <row r="402" spans="1:16">
      <c r="A402" s="323"/>
      <c r="B402" s="323"/>
      <c r="C402" s="323"/>
      <c r="D402" s="323"/>
      <c r="E402" s="323"/>
      <c r="F402" s="323"/>
      <c r="G402" s="323"/>
      <c r="H402" s="323"/>
      <c r="I402" s="323"/>
      <c r="J402" s="323"/>
      <c r="K402" s="323"/>
      <c r="L402" s="323"/>
      <c r="M402" s="323"/>
      <c r="N402" s="323"/>
      <c r="O402" s="323"/>
      <c r="P402" s="323"/>
    </row>
    <row r="403" spans="1:16">
      <c r="A403" s="323"/>
      <c r="B403" s="323"/>
      <c r="C403" s="323"/>
      <c r="D403" s="323"/>
      <c r="E403" s="323"/>
      <c r="F403" s="323"/>
      <c r="G403" s="323"/>
      <c r="H403" s="323"/>
      <c r="I403" s="323"/>
      <c r="J403" s="323"/>
      <c r="K403" s="323"/>
      <c r="L403" s="323"/>
      <c r="M403" s="323"/>
      <c r="N403" s="323"/>
      <c r="O403" s="323"/>
      <c r="P403" s="323"/>
    </row>
    <row r="404" spans="1:16">
      <c r="A404" s="323"/>
      <c r="B404" s="323"/>
      <c r="C404" s="323"/>
      <c r="D404" s="323"/>
      <c r="E404" s="323"/>
      <c r="F404" s="323"/>
      <c r="G404" s="323"/>
      <c r="H404" s="323"/>
      <c r="I404" s="323"/>
      <c r="J404" s="323"/>
      <c r="K404" s="323"/>
      <c r="L404" s="323"/>
      <c r="M404" s="323"/>
      <c r="N404" s="323"/>
      <c r="O404" s="323"/>
      <c r="P404" s="323"/>
    </row>
    <row r="405" spans="1:16">
      <c r="A405" s="323"/>
      <c r="B405" s="323"/>
      <c r="C405" s="323"/>
      <c r="D405" s="323"/>
      <c r="E405" s="323"/>
      <c r="F405" s="323"/>
      <c r="G405" s="323"/>
      <c r="H405" s="323"/>
      <c r="I405" s="323"/>
      <c r="J405" s="323"/>
      <c r="K405" s="323"/>
      <c r="L405" s="323"/>
      <c r="M405" s="323"/>
      <c r="N405" s="323"/>
      <c r="O405" s="323"/>
      <c r="P405" s="323"/>
    </row>
    <row r="406" spans="1:16">
      <c r="A406" s="323"/>
      <c r="B406" s="323"/>
      <c r="C406" s="323"/>
      <c r="D406" s="323"/>
      <c r="E406" s="323"/>
      <c r="F406" s="323"/>
      <c r="G406" s="323"/>
      <c r="H406" s="323"/>
      <c r="I406" s="323"/>
      <c r="J406" s="323"/>
      <c r="K406" s="323"/>
      <c r="L406" s="323"/>
      <c r="M406" s="323"/>
      <c r="N406" s="323"/>
      <c r="O406" s="323"/>
      <c r="P406" s="323"/>
    </row>
    <row r="407" spans="1:16">
      <c r="A407" s="323"/>
      <c r="B407" s="323"/>
      <c r="C407" s="323"/>
      <c r="D407" s="323"/>
      <c r="E407" s="323"/>
      <c r="F407" s="323"/>
      <c r="G407" s="323"/>
      <c r="H407" s="323"/>
      <c r="I407" s="323"/>
      <c r="J407" s="323"/>
      <c r="K407" s="323"/>
      <c r="L407" s="323"/>
      <c r="M407" s="323"/>
      <c r="N407" s="323"/>
      <c r="O407" s="323"/>
      <c r="P407" s="323"/>
    </row>
    <row r="408" spans="1:16">
      <c r="A408" s="323"/>
      <c r="B408" s="323"/>
      <c r="C408" s="323"/>
      <c r="D408" s="323"/>
      <c r="E408" s="323"/>
      <c r="F408" s="323"/>
      <c r="G408" s="323"/>
      <c r="H408" s="323"/>
      <c r="I408" s="323"/>
      <c r="J408" s="323"/>
      <c r="K408" s="323"/>
      <c r="L408" s="323"/>
      <c r="M408" s="323"/>
      <c r="N408" s="323"/>
      <c r="O408" s="323"/>
      <c r="P408" s="323"/>
    </row>
    <row r="409" spans="1:16">
      <c r="A409" s="323"/>
      <c r="B409" s="323"/>
      <c r="C409" s="323"/>
      <c r="D409" s="323"/>
      <c r="E409" s="323"/>
      <c r="F409" s="323"/>
      <c r="G409" s="323"/>
      <c r="H409" s="323"/>
      <c r="I409" s="323"/>
      <c r="J409" s="323"/>
      <c r="K409" s="323"/>
      <c r="L409" s="323"/>
      <c r="M409" s="323"/>
      <c r="N409" s="323"/>
      <c r="O409" s="323"/>
      <c r="P409" s="323"/>
    </row>
    <row r="410" spans="1:16">
      <c r="A410" s="323"/>
      <c r="B410" s="323"/>
      <c r="C410" s="323"/>
      <c r="D410" s="323"/>
      <c r="E410" s="323"/>
      <c r="F410" s="323"/>
      <c r="G410" s="323"/>
      <c r="H410" s="323"/>
      <c r="I410" s="323"/>
      <c r="J410" s="323"/>
      <c r="K410" s="323"/>
      <c r="L410" s="323"/>
      <c r="M410" s="323"/>
      <c r="N410" s="323"/>
      <c r="O410" s="323"/>
      <c r="P410" s="323"/>
    </row>
    <row r="411" spans="1:16">
      <c r="A411" s="323"/>
      <c r="B411" s="323"/>
      <c r="C411" s="323"/>
      <c r="D411" s="323"/>
      <c r="E411" s="323"/>
      <c r="F411" s="323"/>
      <c r="G411" s="323"/>
      <c r="H411" s="323"/>
      <c r="I411" s="323"/>
      <c r="J411" s="323"/>
      <c r="K411" s="323"/>
      <c r="L411" s="323"/>
      <c r="M411" s="323"/>
      <c r="N411" s="323"/>
      <c r="O411" s="323"/>
      <c r="P411" s="323"/>
    </row>
    <row r="412" spans="1:16">
      <c r="A412" s="323"/>
      <c r="B412" s="323"/>
      <c r="C412" s="323"/>
      <c r="D412" s="323"/>
      <c r="E412" s="323"/>
      <c r="F412" s="323"/>
      <c r="G412" s="323"/>
      <c r="H412" s="323"/>
      <c r="I412" s="323"/>
      <c r="J412" s="323"/>
      <c r="K412" s="323"/>
      <c r="L412" s="323"/>
      <c r="M412" s="323"/>
      <c r="N412" s="323"/>
      <c r="O412" s="323"/>
      <c r="P412" s="323"/>
    </row>
    <row r="413" spans="1:16">
      <c r="A413" s="323"/>
      <c r="B413" s="323"/>
      <c r="C413" s="323"/>
      <c r="D413" s="323"/>
      <c r="E413" s="323"/>
      <c r="F413" s="323"/>
      <c r="G413" s="323"/>
      <c r="H413" s="323"/>
      <c r="I413" s="323"/>
      <c r="J413" s="323"/>
      <c r="K413" s="323"/>
      <c r="L413" s="323"/>
      <c r="M413" s="323"/>
      <c r="N413" s="323"/>
      <c r="O413" s="323"/>
      <c r="P413" s="323"/>
    </row>
    <row r="414" spans="1:16">
      <c r="A414" s="323"/>
      <c r="B414" s="323"/>
      <c r="C414" s="323"/>
      <c r="D414" s="323"/>
      <c r="E414" s="323"/>
      <c r="F414" s="323"/>
      <c r="G414" s="323"/>
      <c r="H414" s="323"/>
      <c r="I414" s="323"/>
      <c r="J414" s="323"/>
      <c r="K414" s="323"/>
      <c r="L414" s="323"/>
      <c r="M414" s="323"/>
      <c r="N414" s="323"/>
      <c r="O414" s="323"/>
      <c r="P414" s="323"/>
    </row>
    <row r="415" spans="1:16">
      <c r="A415" s="323"/>
      <c r="B415" s="323"/>
      <c r="C415" s="323"/>
      <c r="D415" s="323"/>
      <c r="E415" s="323"/>
      <c r="F415" s="323"/>
      <c r="G415" s="323"/>
      <c r="H415" s="323"/>
      <c r="I415" s="323"/>
      <c r="J415" s="323"/>
      <c r="K415" s="323"/>
      <c r="L415" s="323"/>
      <c r="M415" s="323"/>
      <c r="N415" s="323"/>
      <c r="O415" s="323"/>
      <c r="P415" s="323"/>
    </row>
    <row r="416" spans="1:16">
      <c r="A416" s="323"/>
      <c r="B416" s="323"/>
      <c r="C416" s="323"/>
      <c r="D416" s="323"/>
      <c r="E416" s="323"/>
      <c r="F416" s="323"/>
      <c r="G416" s="323"/>
      <c r="H416" s="323"/>
      <c r="I416" s="323"/>
      <c r="J416" s="323"/>
      <c r="K416" s="323"/>
      <c r="L416" s="323"/>
      <c r="M416" s="323"/>
      <c r="N416" s="323"/>
      <c r="O416" s="323"/>
      <c r="P416" s="323"/>
    </row>
    <row r="417" spans="1:16">
      <c r="A417" s="323"/>
      <c r="B417" s="323"/>
      <c r="C417" s="323"/>
      <c r="D417" s="323"/>
      <c r="E417" s="323"/>
      <c r="F417" s="323"/>
      <c r="G417" s="323"/>
      <c r="H417" s="323"/>
      <c r="I417" s="323"/>
      <c r="J417" s="323"/>
      <c r="K417" s="323"/>
      <c r="L417" s="323"/>
      <c r="M417" s="323"/>
      <c r="N417" s="323"/>
      <c r="O417" s="323"/>
      <c r="P417" s="323"/>
    </row>
    <row r="418" spans="1:16">
      <c r="A418" s="323"/>
      <c r="B418" s="323"/>
      <c r="C418" s="323"/>
      <c r="D418" s="323"/>
      <c r="E418" s="323"/>
      <c r="F418" s="323"/>
      <c r="G418" s="323"/>
      <c r="H418" s="323"/>
      <c r="I418" s="323"/>
      <c r="J418" s="323"/>
      <c r="K418" s="323"/>
      <c r="L418" s="323"/>
      <c r="M418" s="323"/>
      <c r="N418" s="323"/>
      <c r="O418" s="323"/>
      <c r="P418" s="323"/>
    </row>
    <row r="419" spans="1:16">
      <c r="A419" s="323"/>
      <c r="B419" s="323"/>
      <c r="C419" s="323"/>
      <c r="D419" s="323"/>
      <c r="E419" s="323"/>
      <c r="F419" s="323"/>
      <c r="G419" s="323"/>
      <c r="H419" s="323"/>
      <c r="I419" s="323"/>
      <c r="J419" s="323"/>
      <c r="K419" s="323"/>
      <c r="L419" s="323"/>
      <c r="M419" s="323"/>
      <c r="N419" s="323"/>
      <c r="O419" s="323"/>
      <c r="P419" s="323"/>
    </row>
    <row r="420" spans="1:16">
      <c r="A420" s="323"/>
      <c r="B420" s="323"/>
      <c r="C420" s="323"/>
      <c r="D420" s="323"/>
      <c r="E420" s="323"/>
      <c r="F420" s="323"/>
      <c r="G420" s="323"/>
      <c r="H420" s="323"/>
      <c r="I420" s="323"/>
      <c r="J420" s="323"/>
      <c r="K420" s="323"/>
      <c r="L420" s="323"/>
      <c r="M420" s="323"/>
      <c r="N420" s="323"/>
      <c r="O420" s="323"/>
      <c r="P420" s="323"/>
    </row>
    <row r="421" spans="1:16">
      <c r="A421" s="323"/>
      <c r="B421" s="323"/>
      <c r="C421" s="323"/>
      <c r="D421" s="323"/>
      <c r="E421" s="323"/>
      <c r="F421" s="323"/>
      <c r="G421" s="323"/>
      <c r="H421" s="323"/>
      <c r="I421" s="323"/>
      <c r="J421" s="323"/>
      <c r="K421" s="323"/>
      <c r="L421" s="323"/>
      <c r="M421" s="323"/>
      <c r="N421" s="323"/>
      <c r="O421" s="323"/>
      <c r="P421" s="323"/>
    </row>
    <row r="422" spans="1:16">
      <c r="A422" s="323"/>
      <c r="B422" s="323"/>
      <c r="C422" s="323"/>
      <c r="D422" s="323"/>
      <c r="E422" s="323"/>
      <c r="F422" s="323"/>
      <c r="G422" s="323"/>
      <c r="H422" s="323"/>
      <c r="I422" s="323"/>
      <c r="J422" s="323"/>
      <c r="K422" s="323"/>
      <c r="L422" s="323"/>
      <c r="M422" s="323"/>
      <c r="N422" s="323"/>
      <c r="O422" s="323"/>
      <c r="P422" s="323"/>
    </row>
    <row r="423" spans="1:16">
      <c r="A423" s="323"/>
      <c r="B423" s="323"/>
      <c r="C423" s="323"/>
      <c r="D423" s="323"/>
      <c r="E423" s="323"/>
      <c r="F423" s="323"/>
      <c r="G423" s="323"/>
      <c r="H423" s="323"/>
      <c r="I423" s="323"/>
      <c r="J423" s="323"/>
      <c r="K423" s="323"/>
      <c r="L423" s="323"/>
      <c r="M423" s="323"/>
      <c r="N423" s="323"/>
      <c r="O423" s="323"/>
      <c r="P423" s="323"/>
    </row>
    <row r="424" spans="1:16">
      <c r="A424" s="323"/>
      <c r="B424" s="323"/>
      <c r="C424" s="323"/>
      <c r="D424" s="323"/>
      <c r="E424" s="323"/>
      <c r="F424" s="323"/>
      <c r="G424" s="323"/>
      <c r="H424" s="323"/>
      <c r="I424" s="323"/>
      <c r="J424" s="323"/>
      <c r="K424" s="323"/>
      <c r="L424" s="323"/>
      <c r="M424" s="323"/>
      <c r="N424" s="323"/>
      <c r="O424" s="323"/>
      <c r="P424" s="323"/>
    </row>
    <row r="425" spans="1:16">
      <c r="A425" s="323"/>
      <c r="B425" s="323"/>
      <c r="C425" s="323"/>
      <c r="D425" s="323"/>
      <c r="E425" s="323"/>
      <c r="F425" s="323"/>
      <c r="G425" s="323"/>
      <c r="H425" s="323"/>
      <c r="I425" s="323"/>
      <c r="J425" s="323"/>
      <c r="K425" s="323"/>
      <c r="L425" s="323"/>
      <c r="M425" s="323"/>
      <c r="N425" s="323"/>
      <c r="O425" s="323"/>
      <c r="P425" s="323"/>
    </row>
    <row r="426" spans="1:16">
      <c r="A426" s="323"/>
      <c r="B426" s="323"/>
      <c r="C426" s="323"/>
      <c r="D426" s="323"/>
      <c r="E426" s="323"/>
      <c r="F426" s="323"/>
      <c r="G426" s="323"/>
      <c r="H426" s="323"/>
      <c r="I426" s="323"/>
      <c r="J426" s="323"/>
      <c r="K426" s="323"/>
      <c r="L426" s="323"/>
      <c r="M426" s="323"/>
      <c r="N426" s="323"/>
      <c r="O426" s="323"/>
      <c r="P426" s="323"/>
    </row>
    <row r="427" spans="1:16">
      <c r="A427" s="323"/>
      <c r="B427" s="323"/>
      <c r="C427" s="323"/>
      <c r="D427" s="323"/>
      <c r="E427" s="323"/>
      <c r="F427" s="323"/>
      <c r="G427" s="323"/>
      <c r="H427" s="323"/>
      <c r="I427" s="323"/>
      <c r="J427" s="323"/>
      <c r="K427" s="323"/>
      <c r="L427" s="323"/>
      <c r="M427" s="323"/>
      <c r="N427" s="323"/>
      <c r="O427" s="323"/>
      <c r="P427" s="323"/>
    </row>
    <row r="428" spans="1:16">
      <c r="A428" s="323"/>
      <c r="B428" s="323"/>
      <c r="C428" s="323"/>
      <c r="D428" s="323"/>
      <c r="E428" s="323"/>
      <c r="F428" s="323"/>
      <c r="G428" s="323"/>
      <c r="H428" s="323"/>
      <c r="I428" s="323"/>
      <c r="J428" s="323"/>
      <c r="K428" s="323"/>
      <c r="L428" s="323"/>
      <c r="M428" s="323"/>
      <c r="N428" s="323"/>
      <c r="O428" s="323"/>
      <c r="P428" s="323"/>
    </row>
    <row r="429" spans="1:16">
      <c r="A429" s="323"/>
      <c r="B429" s="323"/>
      <c r="C429" s="323"/>
      <c r="D429" s="323"/>
      <c r="E429" s="323"/>
      <c r="F429" s="323"/>
      <c r="G429" s="323"/>
      <c r="H429" s="323"/>
      <c r="I429" s="323"/>
      <c r="J429" s="323"/>
      <c r="K429" s="323"/>
      <c r="L429" s="323"/>
      <c r="M429" s="323"/>
      <c r="N429" s="323"/>
      <c r="O429" s="323"/>
      <c r="P429" s="323"/>
    </row>
    <row r="430" spans="1:16">
      <c r="A430" s="323"/>
      <c r="B430" s="323"/>
      <c r="C430" s="323"/>
      <c r="D430" s="323"/>
      <c r="E430" s="323"/>
      <c r="F430" s="323"/>
      <c r="G430" s="323"/>
      <c r="H430" s="323"/>
      <c r="I430" s="323"/>
      <c r="J430" s="323"/>
      <c r="K430" s="323"/>
      <c r="L430" s="323"/>
      <c r="M430" s="323"/>
      <c r="N430" s="323"/>
      <c r="O430" s="323"/>
      <c r="P430" s="323"/>
    </row>
    <row r="431" spans="1:16">
      <c r="A431" s="323"/>
      <c r="B431" s="323"/>
      <c r="C431" s="323"/>
      <c r="D431" s="323"/>
      <c r="E431" s="323"/>
      <c r="F431" s="323"/>
      <c r="G431" s="323"/>
      <c r="H431" s="323"/>
      <c r="I431" s="323"/>
      <c r="J431" s="323"/>
      <c r="K431" s="323"/>
      <c r="L431" s="323"/>
      <c r="M431" s="323"/>
      <c r="N431" s="323"/>
      <c r="O431" s="323"/>
      <c r="P431" s="323"/>
    </row>
    <row r="432" spans="1:16">
      <c r="A432" s="323"/>
      <c r="B432" s="323"/>
      <c r="C432" s="323"/>
      <c r="D432" s="323"/>
      <c r="E432" s="323"/>
      <c r="F432" s="323"/>
      <c r="G432" s="323"/>
      <c r="H432" s="323"/>
      <c r="I432" s="323"/>
      <c r="J432" s="323"/>
      <c r="K432" s="323"/>
      <c r="L432" s="323"/>
      <c r="M432" s="323"/>
      <c r="N432" s="323"/>
      <c r="O432" s="323"/>
      <c r="P432" s="323"/>
    </row>
    <row r="433" spans="1:16">
      <c r="A433" s="323"/>
      <c r="B433" s="323"/>
      <c r="C433" s="323"/>
      <c r="D433" s="323"/>
      <c r="E433" s="323"/>
      <c r="F433" s="323"/>
      <c r="G433" s="323"/>
      <c r="H433" s="323"/>
      <c r="I433" s="323"/>
      <c r="J433" s="323"/>
      <c r="K433" s="323"/>
      <c r="L433" s="323"/>
      <c r="M433" s="323"/>
      <c r="N433" s="323"/>
      <c r="O433" s="323"/>
      <c r="P433" s="323"/>
    </row>
    <row r="434" spans="1:16">
      <c r="A434" s="323"/>
      <c r="B434" s="323"/>
      <c r="C434" s="323"/>
      <c r="D434" s="323"/>
      <c r="E434" s="323"/>
      <c r="F434" s="323"/>
      <c r="G434" s="323"/>
      <c r="H434" s="323"/>
      <c r="I434" s="323"/>
      <c r="J434" s="323"/>
      <c r="K434" s="323"/>
      <c r="L434" s="323"/>
      <c r="M434" s="323"/>
      <c r="N434" s="323"/>
      <c r="O434" s="323"/>
      <c r="P434" s="323"/>
    </row>
    <row r="435" spans="1:16">
      <c r="A435" s="323"/>
      <c r="B435" s="323"/>
      <c r="C435" s="323"/>
      <c r="D435" s="323"/>
      <c r="E435" s="323"/>
      <c r="F435" s="323"/>
      <c r="G435" s="323"/>
      <c r="H435" s="323"/>
      <c r="I435" s="323"/>
      <c r="J435" s="323"/>
      <c r="K435" s="323"/>
      <c r="L435" s="323"/>
      <c r="M435" s="323"/>
      <c r="N435" s="323"/>
      <c r="O435" s="323"/>
      <c r="P435" s="323"/>
    </row>
    <row r="436" spans="1:16">
      <c r="A436" s="323"/>
      <c r="B436" s="323"/>
      <c r="C436" s="323"/>
      <c r="D436" s="323"/>
      <c r="E436" s="323"/>
      <c r="F436" s="323"/>
      <c r="G436" s="323"/>
      <c r="H436" s="323"/>
      <c r="I436" s="323"/>
      <c r="J436" s="323"/>
      <c r="K436" s="323"/>
      <c r="L436" s="323"/>
      <c r="M436" s="323"/>
      <c r="N436" s="323"/>
      <c r="O436" s="323"/>
      <c r="P436" s="323"/>
    </row>
    <row r="437" spans="1:16">
      <c r="A437" s="323"/>
      <c r="B437" s="323"/>
      <c r="C437" s="323"/>
      <c r="D437" s="323"/>
      <c r="E437" s="323"/>
      <c r="F437" s="323"/>
      <c r="G437" s="323"/>
      <c r="H437" s="323"/>
      <c r="I437" s="323"/>
      <c r="J437" s="323"/>
      <c r="K437" s="323"/>
      <c r="L437" s="323"/>
      <c r="M437" s="323"/>
      <c r="N437" s="323"/>
      <c r="O437" s="323"/>
      <c r="P437" s="323"/>
    </row>
    <row r="438" spans="1:16">
      <c r="A438" s="323"/>
      <c r="B438" s="323"/>
      <c r="C438" s="323"/>
      <c r="D438" s="323"/>
      <c r="E438" s="323"/>
      <c r="F438" s="323"/>
      <c r="G438" s="323"/>
      <c r="H438" s="323"/>
      <c r="I438" s="323"/>
      <c r="J438" s="323"/>
      <c r="K438" s="323"/>
      <c r="L438" s="323"/>
      <c r="M438" s="323"/>
      <c r="N438" s="323"/>
      <c r="O438" s="323"/>
      <c r="P438" s="323"/>
    </row>
    <row r="439" spans="1:16">
      <c r="A439" s="323"/>
      <c r="B439" s="323"/>
      <c r="C439" s="323"/>
      <c r="D439" s="323"/>
      <c r="E439" s="323"/>
      <c r="F439" s="323"/>
      <c r="G439" s="323"/>
      <c r="H439" s="323"/>
      <c r="I439" s="323"/>
      <c r="J439" s="323"/>
      <c r="K439" s="323"/>
      <c r="L439" s="323"/>
      <c r="M439" s="323"/>
      <c r="N439" s="323"/>
      <c r="O439" s="323"/>
      <c r="P439" s="323"/>
    </row>
    <row r="440" spans="1:16">
      <c r="A440" s="323"/>
      <c r="B440" s="323"/>
      <c r="C440" s="323"/>
      <c r="D440" s="323"/>
      <c r="E440" s="323"/>
      <c r="F440" s="323"/>
      <c r="G440" s="323"/>
      <c r="H440" s="323"/>
      <c r="I440" s="323"/>
      <c r="J440" s="323"/>
      <c r="K440" s="323"/>
      <c r="L440" s="323"/>
      <c r="M440" s="323"/>
      <c r="N440" s="323"/>
      <c r="O440" s="323"/>
      <c r="P440" s="323"/>
    </row>
    <row r="441" spans="1:16">
      <c r="A441" s="323"/>
      <c r="B441" s="323"/>
      <c r="C441" s="323"/>
      <c r="D441" s="323"/>
      <c r="E441" s="323"/>
      <c r="F441" s="323"/>
      <c r="G441" s="323"/>
      <c r="H441" s="323"/>
      <c r="I441" s="323"/>
      <c r="J441" s="323"/>
      <c r="K441" s="323"/>
      <c r="L441" s="323"/>
      <c r="M441" s="323"/>
      <c r="N441" s="323"/>
      <c r="O441" s="323"/>
      <c r="P441" s="323"/>
    </row>
    <row r="442" spans="1:16">
      <c r="A442" s="323"/>
      <c r="B442" s="323"/>
      <c r="C442" s="323"/>
      <c r="D442" s="323"/>
      <c r="E442" s="323"/>
      <c r="F442" s="323"/>
      <c r="G442" s="323"/>
      <c r="H442" s="323"/>
      <c r="I442" s="323"/>
      <c r="J442" s="323"/>
      <c r="K442" s="323"/>
      <c r="L442" s="323"/>
      <c r="M442" s="323"/>
      <c r="N442" s="323"/>
      <c r="O442" s="323"/>
      <c r="P442" s="323"/>
    </row>
    <row r="443" spans="1:16">
      <c r="A443" s="323"/>
      <c r="B443" s="323"/>
      <c r="C443" s="323"/>
      <c r="D443" s="323"/>
      <c r="E443" s="323"/>
      <c r="F443" s="323"/>
      <c r="G443" s="323"/>
      <c r="H443" s="323"/>
      <c r="I443" s="323"/>
      <c r="J443" s="323"/>
      <c r="K443" s="323"/>
      <c r="L443" s="323"/>
      <c r="M443" s="323"/>
      <c r="N443" s="323"/>
      <c r="O443" s="323"/>
      <c r="P443" s="323"/>
    </row>
    <row r="444" spans="1:16">
      <c r="A444" s="323"/>
      <c r="B444" s="323"/>
      <c r="C444" s="323"/>
      <c r="D444" s="323"/>
      <c r="E444" s="323"/>
      <c r="F444" s="323"/>
      <c r="G444" s="323"/>
      <c r="H444" s="323"/>
      <c r="I444" s="323"/>
      <c r="J444" s="323"/>
      <c r="K444" s="323"/>
      <c r="L444" s="323"/>
      <c r="M444" s="323"/>
      <c r="N444" s="323"/>
      <c r="O444" s="323"/>
      <c r="P444" s="323"/>
    </row>
    <row r="445" spans="1:16">
      <c r="A445" s="323"/>
      <c r="B445" s="323"/>
      <c r="C445" s="323"/>
      <c r="D445" s="323"/>
      <c r="E445" s="323"/>
      <c r="F445" s="323"/>
      <c r="G445" s="323"/>
      <c r="H445" s="323"/>
      <c r="I445" s="323"/>
      <c r="J445" s="323"/>
      <c r="K445" s="323"/>
      <c r="L445" s="323"/>
      <c r="M445" s="323"/>
      <c r="N445" s="323"/>
      <c r="O445" s="323"/>
      <c r="P445" s="323"/>
    </row>
    <row r="446" spans="1:16">
      <c r="A446" s="323"/>
      <c r="B446" s="323"/>
      <c r="C446" s="323"/>
      <c r="D446" s="323"/>
      <c r="E446" s="323"/>
      <c r="F446" s="323"/>
      <c r="G446" s="323"/>
      <c r="H446" s="323"/>
      <c r="I446" s="323"/>
      <c r="J446" s="323"/>
      <c r="K446" s="323"/>
      <c r="L446" s="323"/>
      <c r="M446" s="323"/>
      <c r="N446" s="323"/>
      <c r="O446" s="323"/>
      <c r="P446" s="323"/>
    </row>
    <row r="447" spans="1:16">
      <c r="A447" s="323"/>
      <c r="B447" s="323"/>
      <c r="C447" s="323"/>
      <c r="D447" s="323"/>
      <c r="E447" s="323"/>
      <c r="F447" s="323"/>
      <c r="G447" s="323"/>
      <c r="H447" s="323"/>
      <c r="I447" s="323"/>
      <c r="J447" s="323"/>
      <c r="K447" s="323"/>
      <c r="L447" s="323"/>
      <c r="M447" s="323"/>
      <c r="N447" s="323"/>
      <c r="O447" s="323"/>
      <c r="P447" s="323"/>
    </row>
    <row r="448" spans="1:16">
      <c r="A448" s="323"/>
      <c r="B448" s="323"/>
      <c r="C448" s="323"/>
      <c r="D448" s="323"/>
      <c r="E448" s="323"/>
      <c r="F448" s="323"/>
      <c r="G448" s="323"/>
      <c r="H448" s="323"/>
      <c r="I448" s="323"/>
      <c r="J448" s="323"/>
      <c r="K448" s="323"/>
      <c r="L448" s="323"/>
      <c r="M448" s="323"/>
      <c r="N448" s="323"/>
      <c r="O448" s="323"/>
      <c r="P448" s="323"/>
    </row>
    <row r="449" spans="1:16">
      <c r="A449" s="323"/>
      <c r="B449" s="323"/>
      <c r="C449" s="323"/>
      <c r="D449" s="323"/>
      <c r="E449" s="323"/>
      <c r="F449" s="323"/>
      <c r="G449" s="323"/>
      <c r="H449" s="323"/>
      <c r="I449" s="323"/>
      <c r="J449" s="323"/>
      <c r="K449" s="323"/>
      <c r="L449" s="323"/>
      <c r="M449" s="323"/>
      <c r="N449" s="323"/>
      <c r="O449" s="323"/>
      <c r="P449" s="323"/>
    </row>
    <row r="450" spans="1:16">
      <c r="A450" s="323"/>
      <c r="B450" s="323"/>
      <c r="C450" s="323"/>
      <c r="D450" s="323"/>
      <c r="E450" s="323"/>
      <c r="F450" s="323"/>
      <c r="G450" s="323"/>
      <c r="H450" s="323"/>
      <c r="I450" s="323"/>
      <c r="J450" s="323"/>
      <c r="K450" s="323"/>
      <c r="L450" s="323"/>
      <c r="M450" s="323"/>
      <c r="N450" s="323"/>
      <c r="O450" s="323"/>
      <c r="P450" s="323"/>
    </row>
    <row r="451" spans="1:16">
      <c r="A451" s="323"/>
      <c r="B451" s="323"/>
      <c r="C451" s="323"/>
      <c r="D451" s="323"/>
      <c r="E451" s="323"/>
      <c r="F451" s="323"/>
      <c r="G451" s="323"/>
      <c r="H451" s="323"/>
      <c r="I451" s="323"/>
      <c r="J451" s="323"/>
      <c r="K451" s="323"/>
      <c r="L451" s="323"/>
      <c r="M451" s="323"/>
      <c r="N451" s="323"/>
      <c r="O451" s="323"/>
      <c r="P451" s="323"/>
    </row>
    <row r="452" spans="1:16">
      <c r="A452" s="323"/>
      <c r="B452" s="323"/>
      <c r="C452" s="323"/>
      <c r="D452" s="323"/>
      <c r="E452" s="323"/>
      <c r="F452" s="323"/>
      <c r="G452" s="323"/>
      <c r="H452" s="323"/>
      <c r="I452" s="323"/>
      <c r="J452" s="323"/>
      <c r="K452" s="323"/>
      <c r="L452" s="323"/>
      <c r="M452" s="323"/>
      <c r="N452" s="323"/>
      <c r="O452" s="323"/>
      <c r="P452" s="323"/>
    </row>
    <row r="453" spans="1:16">
      <c r="A453" s="323"/>
      <c r="B453" s="323"/>
      <c r="C453" s="323"/>
      <c r="D453" s="323"/>
      <c r="E453" s="323"/>
      <c r="F453" s="323"/>
      <c r="G453" s="323"/>
      <c r="H453" s="323"/>
      <c r="I453" s="323"/>
      <c r="J453" s="323"/>
      <c r="K453" s="323"/>
      <c r="L453" s="323"/>
      <c r="M453" s="323"/>
      <c r="N453" s="323"/>
      <c r="O453" s="323"/>
      <c r="P453" s="323"/>
    </row>
    <row r="454" spans="1:16">
      <c r="A454" s="323"/>
      <c r="B454" s="323"/>
      <c r="C454" s="323"/>
      <c r="D454" s="323"/>
      <c r="E454" s="323"/>
      <c r="F454" s="323"/>
      <c r="G454" s="323"/>
      <c r="H454" s="323"/>
      <c r="I454" s="323"/>
      <c r="J454" s="323"/>
      <c r="K454" s="323"/>
      <c r="L454" s="323"/>
      <c r="M454" s="323"/>
      <c r="N454" s="323"/>
      <c r="O454" s="323"/>
      <c r="P454" s="323"/>
    </row>
    <row r="455" spans="1:16">
      <c r="A455" s="323"/>
      <c r="B455" s="323"/>
      <c r="C455" s="323"/>
      <c r="D455" s="323"/>
      <c r="E455" s="323"/>
      <c r="F455" s="323"/>
      <c r="G455" s="323"/>
      <c r="H455" s="323"/>
      <c r="I455" s="323"/>
      <c r="J455" s="323"/>
      <c r="K455" s="323"/>
      <c r="L455" s="323"/>
      <c r="M455" s="323"/>
      <c r="N455" s="323"/>
      <c r="O455" s="323"/>
      <c r="P455" s="323"/>
    </row>
    <row r="456" spans="1:16">
      <c r="A456" s="323"/>
      <c r="B456" s="323"/>
      <c r="C456" s="323"/>
      <c r="D456" s="323"/>
      <c r="E456" s="323"/>
      <c r="F456" s="323"/>
      <c r="G456" s="323"/>
      <c r="H456" s="323"/>
      <c r="I456" s="323"/>
      <c r="J456" s="323"/>
      <c r="K456" s="323"/>
      <c r="L456" s="323"/>
      <c r="M456" s="323"/>
      <c r="N456" s="323"/>
      <c r="O456" s="323"/>
      <c r="P456" s="323"/>
    </row>
    <row r="457" spans="1:16">
      <c r="A457" s="323"/>
      <c r="B457" s="323"/>
      <c r="C457" s="323"/>
      <c r="D457" s="323"/>
      <c r="E457" s="323"/>
      <c r="F457" s="323"/>
      <c r="G457" s="323"/>
      <c r="H457" s="323"/>
      <c r="I457" s="323"/>
      <c r="J457" s="323"/>
      <c r="K457" s="323"/>
      <c r="L457" s="323"/>
      <c r="M457" s="323"/>
      <c r="N457" s="323"/>
      <c r="O457" s="323"/>
      <c r="P457" s="323"/>
    </row>
    <row r="458" spans="1:16">
      <c r="A458" s="323"/>
      <c r="B458" s="323"/>
      <c r="C458" s="323"/>
      <c r="D458" s="323"/>
      <c r="E458" s="323"/>
      <c r="F458" s="323"/>
      <c r="G458" s="323"/>
      <c r="H458" s="323"/>
      <c r="I458" s="323"/>
      <c r="J458" s="323"/>
      <c r="K458" s="323"/>
      <c r="L458" s="323"/>
      <c r="M458" s="323"/>
      <c r="N458" s="323"/>
      <c r="O458" s="323"/>
      <c r="P458" s="323"/>
    </row>
    <row r="459" spans="1:16">
      <c r="A459" s="323"/>
      <c r="B459" s="323"/>
      <c r="C459" s="323"/>
      <c r="D459" s="323"/>
      <c r="E459" s="323"/>
      <c r="F459" s="323"/>
      <c r="G459" s="323"/>
      <c r="H459" s="323"/>
      <c r="I459" s="323"/>
      <c r="J459" s="323"/>
      <c r="K459" s="323"/>
      <c r="L459" s="323"/>
      <c r="M459" s="323"/>
      <c r="N459" s="323"/>
      <c r="O459" s="323"/>
      <c r="P459" s="323"/>
    </row>
    <row r="460" spans="1:16">
      <c r="A460" s="323"/>
      <c r="B460" s="323"/>
      <c r="C460" s="323"/>
      <c r="D460" s="323"/>
      <c r="E460" s="323"/>
      <c r="F460" s="323"/>
      <c r="G460" s="323"/>
      <c r="H460" s="323"/>
      <c r="I460" s="323"/>
      <c r="J460" s="323"/>
      <c r="K460" s="323"/>
      <c r="L460" s="323"/>
      <c r="M460" s="323"/>
      <c r="N460" s="323"/>
      <c r="O460" s="323"/>
      <c r="P460" s="323"/>
    </row>
    <row r="461" spans="1:16">
      <c r="A461" s="323"/>
      <c r="B461" s="323"/>
      <c r="C461" s="323"/>
      <c r="D461" s="323"/>
      <c r="E461" s="323"/>
      <c r="F461" s="323"/>
      <c r="G461" s="323"/>
      <c r="H461" s="323"/>
      <c r="I461" s="323"/>
      <c r="J461" s="323"/>
      <c r="K461" s="323"/>
      <c r="L461" s="323"/>
      <c r="M461" s="323"/>
      <c r="N461" s="323"/>
      <c r="O461" s="323"/>
      <c r="P461" s="323"/>
    </row>
    <row r="462" spans="1:16">
      <c r="A462" s="323"/>
      <c r="B462" s="323"/>
      <c r="C462" s="323"/>
      <c r="D462" s="323"/>
      <c r="E462" s="323"/>
      <c r="F462" s="323"/>
      <c r="G462" s="323"/>
      <c r="H462" s="323"/>
      <c r="I462" s="323"/>
      <c r="J462" s="323"/>
      <c r="K462" s="323"/>
      <c r="L462" s="323"/>
      <c r="M462" s="323"/>
      <c r="N462" s="323"/>
      <c r="O462" s="323"/>
      <c r="P462" s="323"/>
    </row>
    <row r="463" spans="1:16">
      <c r="A463" s="323"/>
      <c r="B463" s="323"/>
      <c r="C463" s="323"/>
      <c r="D463" s="323"/>
      <c r="E463" s="323"/>
      <c r="F463" s="323"/>
      <c r="G463" s="323"/>
      <c r="H463" s="323"/>
      <c r="I463" s="323"/>
      <c r="J463" s="323"/>
      <c r="K463" s="323"/>
      <c r="L463" s="323"/>
      <c r="M463" s="323"/>
      <c r="N463" s="323"/>
      <c r="O463" s="323"/>
      <c r="P463" s="323"/>
    </row>
    <row r="464" spans="1:16">
      <c r="A464" s="323"/>
      <c r="B464" s="323"/>
      <c r="C464" s="323"/>
      <c r="D464" s="323"/>
      <c r="E464" s="323"/>
      <c r="F464" s="323"/>
      <c r="G464" s="323"/>
      <c r="H464" s="323"/>
      <c r="I464" s="323"/>
      <c r="J464" s="323"/>
      <c r="K464" s="323"/>
      <c r="L464" s="323"/>
      <c r="M464" s="323"/>
      <c r="N464" s="323"/>
      <c r="O464" s="323"/>
      <c r="P464" s="323"/>
    </row>
    <row r="465" spans="1:16">
      <c r="A465" s="323"/>
      <c r="B465" s="323"/>
      <c r="C465" s="323"/>
      <c r="D465" s="323"/>
      <c r="E465" s="323"/>
      <c r="F465" s="323"/>
      <c r="G465" s="323"/>
      <c r="H465" s="323"/>
      <c r="I465" s="323"/>
      <c r="J465" s="323"/>
      <c r="K465" s="323"/>
      <c r="L465" s="323"/>
      <c r="M465" s="323"/>
      <c r="N465" s="323"/>
      <c r="O465" s="323"/>
      <c r="P465" s="323"/>
    </row>
    <row r="466" spans="1:16">
      <c r="A466" s="323"/>
      <c r="B466" s="323"/>
      <c r="C466" s="323"/>
      <c r="D466" s="323"/>
      <c r="E466" s="323"/>
      <c r="F466" s="323"/>
      <c r="G466" s="323"/>
      <c r="H466" s="323"/>
      <c r="I466" s="323"/>
      <c r="J466" s="323"/>
      <c r="K466" s="323"/>
      <c r="L466" s="323"/>
      <c r="M466" s="323"/>
      <c r="N466" s="323"/>
      <c r="O466" s="323"/>
      <c r="P466" s="323"/>
    </row>
    <row r="467" spans="1:16">
      <c r="A467" s="323"/>
      <c r="B467" s="323"/>
      <c r="C467" s="323"/>
      <c r="D467" s="323"/>
      <c r="E467" s="323"/>
      <c r="F467" s="323"/>
      <c r="G467" s="323"/>
      <c r="H467" s="323"/>
      <c r="I467" s="323"/>
      <c r="J467" s="323"/>
      <c r="K467" s="323"/>
      <c r="L467" s="323"/>
      <c r="M467" s="323"/>
      <c r="N467" s="323"/>
      <c r="O467" s="323"/>
      <c r="P467" s="323"/>
    </row>
    <row r="468" spans="1:16">
      <c r="A468" s="323"/>
      <c r="B468" s="323"/>
      <c r="C468" s="323"/>
      <c r="D468" s="323"/>
      <c r="E468" s="323"/>
      <c r="F468" s="323"/>
      <c r="G468" s="323"/>
      <c r="H468" s="323"/>
      <c r="I468" s="323"/>
      <c r="J468" s="323"/>
      <c r="K468" s="323"/>
      <c r="L468" s="323"/>
      <c r="M468" s="323"/>
      <c r="N468" s="323"/>
      <c r="O468" s="323"/>
      <c r="P468" s="323"/>
    </row>
    <row r="469" spans="1:16">
      <c r="A469" s="323"/>
      <c r="B469" s="323"/>
      <c r="C469" s="323"/>
      <c r="D469" s="323"/>
      <c r="E469" s="323"/>
      <c r="F469" s="323"/>
      <c r="G469" s="323"/>
      <c r="H469" s="323"/>
      <c r="I469" s="323"/>
      <c r="J469" s="323"/>
      <c r="K469" s="323"/>
      <c r="L469" s="323"/>
      <c r="M469" s="323"/>
      <c r="N469" s="323"/>
      <c r="O469" s="323"/>
      <c r="P469" s="323"/>
    </row>
    <row r="470" spans="1:16">
      <c r="A470" s="323"/>
      <c r="B470" s="323"/>
      <c r="C470" s="323"/>
      <c r="D470" s="323"/>
      <c r="E470" s="323"/>
      <c r="F470" s="323"/>
      <c r="G470" s="323"/>
      <c r="H470" s="323"/>
      <c r="I470" s="323"/>
      <c r="J470" s="323"/>
      <c r="K470" s="323"/>
      <c r="L470" s="323"/>
      <c r="M470" s="323"/>
      <c r="N470" s="323"/>
      <c r="O470" s="323"/>
      <c r="P470" s="323"/>
    </row>
    <row r="471" spans="1:16">
      <c r="A471" s="323"/>
      <c r="B471" s="323"/>
      <c r="C471" s="323"/>
      <c r="D471" s="323"/>
      <c r="E471" s="323"/>
      <c r="F471" s="323"/>
      <c r="G471" s="323"/>
      <c r="H471" s="323"/>
      <c r="I471" s="323"/>
      <c r="J471" s="323"/>
      <c r="K471" s="323"/>
      <c r="L471" s="323"/>
      <c r="M471" s="323"/>
      <c r="N471" s="323"/>
      <c r="O471" s="323"/>
      <c r="P471" s="323"/>
    </row>
    <row r="472" spans="1:16">
      <c r="A472" s="323"/>
      <c r="B472" s="323"/>
      <c r="C472" s="323"/>
      <c r="D472" s="323"/>
      <c r="E472" s="323"/>
      <c r="F472" s="323"/>
      <c r="G472" s="323"/>
      <c r="H472" s="323"/>
      <c r="I472" s="323"/>
      <c r="J472" s="323"/>
      <c r="K472" s="323"/>
      <c r="L472" s="323"/>
      <c r="M472" s="323"/>
      <c r="N472" s="323"/>
      <c r="O472" s="323"/>
      <c r="P472" s="323"/>
    </row>
    <row r="473" spans="1:16">
      <c r="A473" s="323"/>
      <c r="B473" s="323"/>
      <c r="C473" s="323"/>
      <c r="D473" s="323"/>
      <c r="E473" s="323"/>
      <c r="F473" s="323"/>
      <c r="G473" s="323"/>
      <c r="H473" s="323"/>
      <c r="I473" s="323"/>
      <c r="J473" s="323"/>
      <c r="K473" s="323"/>
      <c r="L473" s="323"/>
      <c r="M473" s="323"/>
      <c r="N473" s="323"/>
      <c r="O473" s="323"/>
      <c r="P473" s="323"/>
    </row>
    <row r="474" spans="1:16">
      <c r="A474" s="323"/>
      <c r="B474" s="323"/>
      <c r="C474" s="323"/>
      <c r="D474" s="323"/>
      <c r="E474" s="323"/>
      <c r="F474" s="323"/>
      <c r="G474" s="323"/>
      <c r="H474" s="323"/>
      <c r="I474" s="323"/>
      <c r="J474" s="323"/>
      <c r="K474" s="323"/>
      <c r="L474" s="323"/>
      <c r="M474" s="323"/>
      <c r="N474" s="323"/>
      <c r="O474" s="323"/>
      <c r="P474" s="323"/>
    </row>
    <row r="475" spans="1:16">
      <c r="A475" s="323"/>
      <c r="B475" s="323"/>
      <c r="C475" s="323"/>
      <c r="D475" s="323"/>
      <c r="E475" s="323"/>
      <c r="F475" s="323"/>
      <c r="G475" s="323"/>
      <c r="H475" s="323"/>
      <c r="I475" s="323"/>
      <c r="J475" s="323"/>
      <c r="K475" s="323"/>
      <c r="L475" s="323"/>
      <c r="M475" s="323"/>
      <c r="N475" s="323"/>
      <c r="O475" s="323"/>
      <c r="P475" s="323"/>
    </row>
    <row r="476" spans="1:16">
      <c r="A476" s="323"/>
      <c r="B476" s="323"/>
      <c r="C476" s="323"/>
      <c r="D476" s="323"/>
      <c r="E476" s="323"/>
      <c r="F476" s="323"/>
      <c r="G476" s="323"/>
      <c r="H476" s="323"/>
      <c r="I476" s="323"/>
      <c r="J476" s="323"/>
      <c r="K476" s="323"/>
      <c r="L476" s="323"/>
      <c r="M476" s="323"/>
      <c r="N476" s="323"/>
      <c r="O476" s="323"/>
      <c r="P476" s="323"/>
    </row>
    <row r="477" spans="1:16">
      <c r="A477" s="323"/>
      <c r="B477" s="323"/>
      <c r="C477" s="323"/>
      <c r="D477" s="323"/>
      <c r="E477" s="323"/>
      <c r="F477" s="323"/>
      <c r="G477" s="323"/>
      <c r="H477" s="323"/>
      <c r="I477" s="323"/>
      <c r="J477" s="323"/>
      <c r="K477" s="323"/>
      <c r="L477" s="323"/>
      <c r="M477" s="323"/>
      <c r="N477" s="323"/>
      <c r="O477" s="323"/>
      <c r="P477" s="323"/>
    </row>
    <row r="478" spans="1:16">
      <c r="A478" s="323"/>
      <c r="B478" s="323"/>
      <c r="C478" s="323"/>
      <c r="D478" s="323"/>
      <c r="E478" s="323"/>
      <c r="F478" s="323"/>
      <c r="G478" s="323"/>
      <c r="H478" s="323"/>
      <c r="I478" s="323"/>
      <c r="J478" s="323"/>
      <c r="K478" s="323"/>
      <c r="L478" s="323"/>
      <c r="M478" s="323"/>
      <c r="N478" s="323"/>
      <c r="O478" s="323"/>
      <c r="P478" s="323"/>
    </row>
    <row r="479" spans="1:16">
      <c r="A479" s="323"/>
      <c r="B479" s="323"/>
      <c r="C479" s="323"/>
      <c r="D479" s="323"/>
      <c r="E479" s="323"/>
      <c r="F479" s="323"/>
      <c r="G479" s="323"/>
      <c r="H479" s="323"/>
      <c r="I479" s="323"/>
      <c r="J479" s="323"/>
      <c r="K479" s="323"/>
      <c r="L479" s="323"/>
      <c r="M479" s="323"/>
      <c r="N479" s="323"/>
      <c r="O479" s="323"/>
      <c r="P479" s="323"/>
    </row>
    <row r="480" spans="1:16">
      <c r="A480" s="323"/>
      <c r="B480" s="323"/>
      <c r="C480" s="323"/>
      <c r="D480" s="323"/>
      <c r="E480" s="323"/>
      <c r="F480" s="323"/>
      <c r="G480" s="323"/>
      <c r="H480" s="323"/>
      <c r="I480" s="323"/>
      <c r="J480" s="323"/>
      <c r="K480" s="323"/>
      <c r="L480" s="323"/>
      <c r="M480" s="323"/>
      <c r="N480" s="323"/>
      <c r="O480" s="323"/>
      <c r="P480" s="323"/>
    </row>
    <row r="481" spans="1:16">
      <c r="A481" s="323"/>
      <c r="B481" s="323"/>
      <c r="C481" s="323"/>
      <c r="D481" s="323"/>
      <c r="E481" s="323"/>
      <c r="F481" s="323"/>
      <c r="G481" s="323"/>
      <c r="H481" s="323"/>
      <c r="I481" s="323"/>
      <c r="J481" s="323"/>
      <c r="K481" s="323"/>
      <c r="L481" s="323"/>
      <c r="M481" s="323"/>
      <c r="N481" s="323"/>
      <c r="O481" s="323"/>
      <c r="P481" s="323"/>
    </row>
    <row r="482" spans="1:16">
      <c r="A482" s="323"/>
      <c r="B482" s="323"/>
      <c r="C482" s="323"/>
      <c r="D482" s="323"/>
      <c r="E482" s="323"/>
      <c r="F482" s="323"/>
      <c r="G482" s="323"/>
      <c r="H482" s="323"/>
      <c r="I482" s="323"/>
      <c r="J482" s="323"/>
      <c r="K482" s="323"/>
      <c r="L482" s="323"/>
      <c r="M482" s="323"/>
      <c r="N482" s="323"/>
      <c r="O482" s="323"/>
      <c r="P482" s="323"/>
    </row>
    <row r="483" spans="1:16">
      <c r="A483" s="323"/>
      <c r="B483" s="323"/>
      <c r="C483" s="323"/>
      <c r="D483" s="323"/>
      <c r="E483" s="323"/>
      <c r="F483" s="323"/>
      <c r="G483" s="323"/>
      <c r="H483" s="323"/>
      <c r="I483" s="323"/>
      <c r="J483" s="323"/>
      <c r="K483" s="323"/>
      <c r="L483" s="323"/>
      <c r="M483" s="323"/>
      <c r="N483" s="323"/>
      <c r="O483" s="323"/>
      <c r="P483" s="323"/>
    </row>
    <row r="484" spans="1:16">
      <c r="A484" s="323"/>
      <c r="B484" s="323"/>
      <c r="C484" s="323"/>
      <c r="D484" s="323"/>
      <c r="E484" s="323"/>
      <c r="F484" s="323"/>
      <c r="G484" s="323"/>
      <c r="H484" s="323"/>
      <c r="I484" s="323"/>
      <c r="J484" s="323"/>
      <c r="K484" s="323"/>
      <c r="L484" s="323"/>
      <c r="M484" s="323"/>
      <c r="N484" s="323"/>
      <c r="O484" s="323"/>
      <c r="P484" s="323"/>
    </row>
    <row r="485" spans="1:16">
      <c r="A485" s="323"/>
      <c r="B485" s="323"/>
      <c r="C485" s="323"/>
      <c r="D485" s="323"/>
      <c r="E485" s="323"/>
      <c r="F485" s="323"/>
      <c r="G485" s="323"/>
      <c r="H485" s="323"/>
      <c r="I485" s="323"/>
      <c r="J485" s="323"/>
      <c r="K485" s="323"/>
      <c r="L485" s="323"/>
      <c r="M485" s="323"/>
      <c r="N485" s="323"/>
      <c r="O485" s="323"/>
      <c r="P485" s="323"/>
    </row>
    <row r="486" spans="1:16">
      <c r="A486" s="323"/>
      <c r="B486" s="323"/>
      <c r="C486" s="323"/>
      <c r="D486" s="323"/>
      <c r="E486" s="323"/>
      <c r="F486" s="323"/>
      <c r="G486" s="323"/>
      <c r="H486" s="323"/>
      <c r="I486" s="323"/>
      <c r="J486" s="323"/>
      <c r="K486" s="323"/>
      <c r="L486" s="323"/>
      <c r="M486" s="323"/>
      <c r="N486" s="323"/>
      <c r="O486" s="323"/>
      <c r="P486" s="323"/>
    </row>
    <row r="487" spans="1:16">
      <c r="A487" s="323"/>
      <c r="B487" s="323"/>
      <c r="C487" s="323"/>
      <c r="D487" s="323"/>
      <c r="E487" s="323"/>
      <c r="F487" s="323"/>
      <c r="G487" s="323"/>
      <c r="H487" s="323"/>
      <c r="I487" s="323"/>
      <c r="J487" s="323"/>
      <c r="K487" s="323"/>
      <c r="L487" s="323"/>
      <c r="M487" s="323"/>
      <c r="N487" s="323"/>
      <c r="O487" s="323"/>
      <c r="P487" s="323"/>
    </row>
    <row r="488" spans="1:16">
      <c r="A488" s="323"/>
      <c r="B488" s="323"/>
      <c r="C488" s="323"/>
      <c r="D488" s="323"/>
      <c r="E488" s="323"/>
      <c r="F488" s="323"/>
      <c r="G488" s="323"/>
      <c r="H488" s="323"/>
      <c r="I488" s="323"/>
      <c r="J488" s="323"/>
      <c r="K488" s="323"/>
      <c r="L488" s="323"/>
      <c r="M488" s="323"/>
      <c r="N488" s="323"/>
      <c r="O488" s="323"/>
      <c r="P488" s="323"/>
    </row>
    <row r="489" spans="1:16">
      <c r="A489" s="323"/>
      <c r="B489" s="323"/>
      <c r="C489" s="323"/>
      <c r="D489" s="323"/>
      <c r="E489" s="323"/>
      <c r="F489" s="323"/>
      <c r="G489" s="323"/>
      <c r="H489" s="323"/>
      <c r="I489" s="323"/>
      <c r="J489" s="323"/>
      <c r="K489" s="323"/>
      <c r="L489" s="323"/>
      <c r="M489" s="323"/>
      <c r="N489" s="323"/>
      <c r="O489" s="323"/>
      <c r="P489" s="323"/>
    </row>
    <row r="490" spans="1:16">
      <c r="A490" s="323"/>
      <c r="B490" s="323"/>
      <c r="C490" s="323"/>
      <c r="D490" s="323"/>
      <c r="E490" s="323"/>
      <c r="F490" s="323"/>
      <c r="G490" s="323"/>
      <c r="H490" s="323"/>
      <c r="I490" s="323"/>
      <c r="J490" s="323"/>
      <c r="K490" s="323"/>
      <c r="L490" s="323"/>
      <c r="M490" s="323"/>
      <c r="N490" s="323"/>
      <c r="O490" s="323"/>
      <c r="P490" s="323"/>
    </row>
    <row r="491" spans="1:16">
      <c r="A491" s="323"/>
      <c r="B491" s="323"/>
      <c r="C491" s="323"/>
      <c r="D491" s="323"/>
      <c r="E491" s="323"/>
      <c r="F491" s="323"/>
      <c r="G491" s="323"/>
      <c r="H491" s="323"/>
      <c r="I491" s="323"/>
      <c r="J491" s="323"/>
      <c r="K491" s="323"/>
      <c r="L491" s="323"/>
      <c r="M491" s="323"/>
      <c r="N491" s="323"/>
      <c r="O491" s="323"/>
      <c r="P491" s="323"/>
    </row>
    <row r="492" spans="1:16">
      <c r="A492" s="323"/>
      <c r="B492" s="323"/>
      <c r="C492" s="323"/>
      <c r="D492" s="323"/>
      <c r="E492" s="323"/>
      <c r="F492" s="323"/>
      <c r="G492" s="323"/>
      <c r="H492" s="323"/>
      <c r="I492" s="323"/>
      <c r="J492" s="323"/>
      <c r="K492" s="323"/>
      <c r="L492" s="323"/>
      <c r="M492" s="323"/>
      <c r="N492" s="323"/>
      <c r="O492" s="323"/>
      <c r="P492" s="323"/>
    </row>
    <row r="493" spans="1:16">
      <c r="A493" s="323"/>
      <c r="B493" s="323"/>
      <c r="C493" s="323"/>
      <c r="D493" s="323"/>
      <c r="E493" s="323"/>
      <c r="F493" s="323"/>
      <c r="G493" s="323"/>
      <c r="H493" s="323"/>
      <c r="I493" s="323"/>
      <c r="J493" s="323"/>
      <c r="K493" s="323"/>
      <c r="L493" s="323"/>
      <c r="M493" s="323"/>
      <c r="N493" s="323"/>
      <c r="O493" s="323"/>
      <c r="P493" s="323"/>
    </row>
    <row r="494" spans="1:16">
      <c r="A494" s="323"/>
      <c r="B494" s="323"/>
      <c r="C494" s="323"/>
      <c r="D494" s="323"/>
      <c r="E494" s="323"/>
      <c r="F494" s="323"/>
      <c r="G494" s="323"/>
      <c r="H494" s="323"/>
      <c r="I494" s="323"/>
      <c r="J494" s="323"/>
      <c r="K494" s="323"/>
      <c r="L494" s="323"/>
      <c r="M494" s="323"/>
      <c r="N494" s="323"/>
      <c r="O494" s="323"/>
      <c r="P494" s="323"/>
    </row>
    <row r="495" spans="1:16">
      <c r="A495" s="323"/>
      <c r="B495" s="323"/>
      <c r="C495" s="323"/>
      <c r="D495" s="323"/>
      <c r="E495" s="323"/>
      <c r="F495" s="323"/>
      <c r="G495" s="323"/>
      <c r="H495" s="323"/>
      <c r="I495" s="323"/>
      <c r="J495" s="323"/>
      <c r="K495" s="323"/>
      <c r="L495" s="323"/>
      <c r="M495" s="323"/>
      <c r="N495" s="323"/>
      <c r="O495" s="323"/>
      <c r="P495" s="323"/>
    </row>
    <row r="496" spans="1:16">
      <c r="A496" s="323"/>
      <c r="B496" s="323"/>
      <c r="C496" s="323"/>
      <c r="D496" s="323"/>
      <c r="E496" s="323"/>
      <c r="F496" s="323"/>
      <c r="G496" s="323"/>
      <c r="H496" s="323"/>
      <c r="I496" s="323"/>
      <c r="J496" s="323"/>
      <c r="K496" s="323"/>
      <c r="L496" s="323"/>
      <c r="M496" s="323"/>
      <c r="N496" s="323"/>
      <c r="O496" s="323"/>
      <c r="P496" s="323"/>
    </row>
    <row r="497" spans="1:16">
      <c r="A497" s="323"/>
      <c r="B497" s="323"/>
      <c r="C497" s="323"/>
      <c r="D497" s="323"/>
      <c r="E497" s="323"/>
      <c r="F497" s="323"/>
      <c r="G497" s="323"/>
      <c r="H497" s="323"/>
      <c r="I497" s="323"/>
      <c r="J497" s="323"/>
      <c r="K497" s="323"/>
      <c r="L497" s="323"/>
      <c r="M497" s="323"/>
      <c r="N497" s="323"/>
      <c r="O497" s="323"/>
      <c r="P497" s="323"/>
    </row>
    <row r="498" spans="1:16">
      <c r="A498" s="323"/>
      <c r="B498" s="323"/>
      <c r="C498" s="323"/>
      <c r="D498" s="323"/>
      <c r="E498" s="323"/>
      <c r="F498" s="323"/>
      <c r="G498" s="323"/>
      <c r="H498" s="323"/>
      <c r="I498" s="323"/>
      <c r="J498" s="323"/>
      <c r="K498" s="323"/>
      <c r="L498" s="323"/>
      <c r="M498" s="323"/>
      <c r="N498" s="323"/>
      <c r="O498" s="323"/>
      <c r="P498" s="323"/>
    </row>
    <row r="499" spans="1:16">
      <c r="A499" s="323"/>
      <c r="B499" s="323"/>
      <c r="C499" s="323"/>
      <c r="D499" s="323"/>
      <c r="E499" s="323"/>
      <c r="F499" s="323"/>
      <c r="G499" s="323"/>
      <c r="H499" s="323"/>
      <c r="I499" s="323"/>
      <c r="J499" s="323"/>
      <c r="K499" s="323"/>
      <c r="L499" s="323"/>
      <c r="M499" s="323"/>
      <c r="N499" s="323"/>
      <c r="O499" s="323"/>
      <c r="P499" s="323"/>
    </row>
    <row r="500" spans="1:16">
      <c r="A500" s="323"/>
      <c r="B500" s="323"/>
      <c r="C500" s="323"/>
      <c r="D500" s="323"/>
      <c r="E500" s="323"/>
      <c r="F500" s="323"/>
      <c r="G500" s="323"/>
      <c r="H500" s="323"/>
      <c r="I500" s="323"/>
      <c r="J500" s="323"/>
      <c r="K500" s="323"/>
      <c r="L500" s="323"/>
      <c r="M500" s="323"/>
      <c r="N500" s="323"/>
      <c r="O500" s="323"/>
      <c r="P500" s="323"/>
    </row>
    <row r="501" spans="1:16">
      <c r="A501" s="323"/>
      <c r="B501" s="323"/>
      <c r="C501" s="323"/>
      <c r="D501" s="323"/>
      <c r="E501" s="323"/>
      <c r="F501" s="323"/>
      <c r="G501" s="323"/>
      <c r="H501" s="323"/>
      <c r="I501" s="323"/>
      <c r="J501" s="323"/>
      <c r="K501" s="323"/>
      <c r="L501" s="323"/>
      <c r="M501" s="323"/>
      <c r="N501" s="323"/>
      <c r="O501" s="323"/>
      <c r="P501" s="323"/>
    </row>
    <row r="502" spans="1:16">
      <c r="A502" s="323"/>
      <c r="B502" s="323"/>
      <c r="C502" s="323"/>
      <c r="D502" s="323"/>
      <c r="E502" s="323"/>
      <c r="F502" s="323"/>
      <c r="G502" s="323"/>
      <c r="H502" s="323"/>
      <c r="I502" s="323"/>
      <c r="J502" s="323"/>
      <c r="K502" s="323"/>
      <c r="L502" s="323"/>
      <c r="M502" s="323"/>
      <c r="N502" s="323"/>
      <c r="O502" s="323"/>
      <c r="P502" s="323"/>
    </row>
    <row r="503" spans="1:16">
      <c r="A503" s="323"/>
      <c r="B503" s="323"/>
      <c r="C503" s="323"/>
      <c r="D503" s="323"/>
      <c r="E503" s="323"/>
      <c r="F503" s="323"/>
      <c r="G503" s="323"/>
      <c r="H503" s="323"/>
      <c r="I503" s="323"/>
      <c r="J503" s="323"/>
      <c r="K503" s="323"/>
      <c r="L503" s="323"/>
      <c r="M503" s="323"/>
      <c r="N503" s="323"/>
      <c r="O503" s="323"/>
      <c r="P503" s="323"/>
    </row>
    <row r="504" spans="1:16">
      <c r="A504" s="323"/>
      <c r="B504" s="323"/>
      <c r="C504" s="323"/>
      <c r="D504" s="323"/>
      <c r="E504" s="323"/>
      <c r="F504" s="323"/>
      <c r="G504" s="323"/>
      <c r="H504" s="323"/>
      <c r="I504" s="323"/>
      <c r="J504" s="323"/>
      <c r="K504" s="323"/>
      <c r="L504" s="323"/>
      <c r="M504" s="323"/>
      <c r="N504" s="323"/>
      <c r="O504" s="323"/>
      <c r="P504" s="323"/>
    </row>
    <row r="505" spans="1:16">
      <c r="A505" s="323"/>
      <c r="B505" s="323"/>
      <c r="C505" s="323"/>
      <c r="D505" s="323"/>
      <c r="E505" s="323"/>
      <c r="F505" s="323"/>
      <c r="G505" s="323"/>
      <c r="H505" s="323"/>
      <c r="I505" s="323"/>
      <c r="J505" s="323"/>
      <c r="K505" s="323"/>
      <c r="L505" s="323"/>
      <c r="M505" s="323"/>
      <c r="N505" s="323"/>
      <c r="O505" s="323"/>
      <c r="P505" s="323"/>
    </row>
    <row r="506" spans="1:16">
      <c r="A506" s="323"/>
      <c r="B506" s="323"/>
      <c r="C506" s="323"/>
      <c r="D506" s="323"/>
      <c r="E506" s="323"/>
      <c r="F506" s="323"/>
      <c r="G506" s="323"/>
      <c r="H506" s="323"/>
      <c r="I506" s="323"/>
      <c r="J506" s="323"/>
      <c r="K506" s="323"/>
      <c r="L506" s="323"/>
      <c r="M506" s="323"/>
      <c r="N506" s="323"/>
      <c r="O506" s="323"/>
      <c r="P506" s="323"/>
    </row>
    <row r="507" spans="1:16">
      <c r="A507" s="323"/>
      <c r="B507" s="323"/>
      <c r="C507" s="323"/>
      <c r="D507" s="323"/>
      <c r="E507" s="323"/>
      <c r="F507" s="323"/>
      <c r="G507" s="323"/>
      <c r="H507" s="323"/>
      <c r="I507" s="323"/>
      <c r="J507" s="323"/>
      <c r="K507" s="323"/>
      <c r="L507" s="323"/>
      <c r="M507" s="323"/>
      <c r="N507" s="323"/>
      <c r="O507" s="323"/>
      <c r="P507" s="323"/>
    </row>
    <row r="508" spans="1:16">
      <c r="A508" s="323"/>
      <c r="B508" s="323"/>
      <c r="C508" s="323"/>
      <c r="D508" s="323"/>
      <c r="E508" s="323"/>
      <c r="F508" s="323"/>
      <c r="G508" s="323"/>
      <c r="H508" s="323"/>
      <c r="I508" s="323"/>
      <c r="J508" s="323"/>
      <c r="K508" s="323"/>
      <c r="L508" s="323"/>
      <c r="M508" s="323"/>
      <c r="N508" s="323"/>
      <c r="O508" s="323"/>
      <c r="P508" s="323"/>
    </row>
    <row r="509" spans="1:16">
      <c r="A509" s="323"/>
      <c r="B509" s="323"/>
      <c r="C509" s="323"/>
      <c r="D509" s="323"/>
      <c r="E509" s="323"/>
      <c r="F509" s="323"/>
      <c r="G509" s="323"/>
      <c r="H509" s="323"/>
      <c r="I509" s="323"/>
      <c r="J509" s="323"/>
      <c r="K509" s="323"/>
      <c r="L509" s="323"/>
      <c r="M509" s="323"/>
      <c r="N509" s="323"/>
      <c r="O509" s="323"/>
      <c r="P509" s="323"/>
    </row>
    <row r="510" spans="1:16">
      <c r="A510" s="323"/>
      <c r="B510" s="323"/>
      <c r="C510" s="323"/>
      <c r="D510" s="323"/>
      <c r="E510" s="323"/>
      <c r="F510" s="323"/>
      <c r="G510" s="323"/>
      <c r="H510" s="323"/>
      <c r="I510" s="323"/>
      <c r="J510" s="323"/>
      <c r="K510" s="323"/>
      <c r="L510" s="323"/>
      <c r="M510" s="323"/>
      <c r="N510" s="323"/>
      <c r="O510" s="323"/>
      <c r="P510" s="323"/>
    </row>
    <row r="511" spans="1:16">
      <c r="A511" s="323"/>
      <c r="B511" s="323"/>
      <c r="C511" s="323"/>
      <c r="D511" s="323"/>
      <c r="E511" s="323"/>
      <c r="F511" s="323"/>
      <c r="G511" s="323"/>
      <c r="H511" s="323"/>
      <c r="I511" s="323"/>
      <c r="J511" s="323"/>
      <c r="K511" s="323"/>
      <c r="L511" s="323"/>
      <c r="M511" s="323"/>
      <c r="N511" s="323"/>
      <c r="O511" s="323"/>
      <c r="P511" s="323"/>
    </row>
    <row r="512" spans="1:16">
      <c r="A512" s="323"/>
      <c r="B512" s="323"/>
      <c r="C512" s="323"/>
      <c r="D512" s="323"/>
      <c r="E512" s="323"/>
      <c r="F512" s="323"/>
      <c r="G512" s="323"/>
      <c r="H512" s="323"/>
      <c r="I512" s="323"/>
      <c r="J512" s="323"/>
      <c r="K512" s="323"/>
      <c r="L512" s="323"/>
      <c r="M512" s="323"/>
      <c r="N512" s="323"/>
      <c r="O512" s="323"/>
      <c r="P512" s="323"/>
    </row>
    <row r="513" spans="1:16">
      <c r="A513" s="323"/>
      <c r="B513" s="323"/>
      <c r="C513" s="323"/>
      <c r="D513" s="323"/>
      <c r="E513" s="323"/>
      <c r="F513" s="323"/>
      <c r="G513" s="323"/>
      <c r="H513" s="323"/>
      <c r="I513" s="323"/>
      <c r="J513" s="323"/>
      <c r="K513" s="323"/>
      <c r="L513" s="323"/>
      <c r="M513" s="323"/>
      <c r="N513" s="323"/>
      <c r="O513" s="323"/>
      <c r="P513" s="323"/>
    </row>
    <row r="514" spans="1:16">
      <c r="A514" s="323"/>
      <c r="B514" s="323"/>
      <c r="C514" s="323"/>
      <c r="D514" s="323"/>
      <c r="E514" s="323"/>
      <c r="F514" s="323"/>
      <c r="G514" s="323"/>
      <c r="H514" s="323"/>
      <c r="I514" s="323"/>
      <c r="J514" s="323"/>
      <c r="K514" s="323"/>
      <c r="L514" s="323"/>
      <c r="M514" s="323"/>
      <c r="N514" s="323"/>
      <c r="O514" s="323"/>
      <c r="P514" s="323"/>
    </row>
    <row r="515" spans="1:16">
      <c r="A515" s="323"/>
      <c r="B515" s="323"/>
      <c r="C515" s="323"/>
      <c r="D515" s="323"/>
      <c r="E515" s="323"/>
      <c r="F515" s="323"/>
      <c r="G515" s="323"/>
      <c r="H515" s="323"/>
      <c r="I515" s="323"/>
      <c r="J515" s="323"/>
      <c r="K515" s="323"/>
      <c r="L515" s="323"/>
      <c r="M515" s="323"/>
      <c r="N515" s="323"/>
      <c r="O515" s="323"/>
      <c r="P515" s="323"/>
    </row>
    <row r="516" spans="1:16">
      <c r="A516" s="323"/>
      <c r="B516" s="323"/>
      <c r="C516" s="323"/>
      <c r="D516" s="323"/>
      <c r="E516" s="323"/>
      <c r="F516" s="323"/>
      <c r="G516" s="323"/>
      <c r="H516" s="323"/>
      <c r="I516" s="323"/>
      <c r="J516" s="323"/>
      <c r="K516" s="323"/>
      <c r="L516" s="323"/>
      <c r="M516" s="323"/>
      <c r="N516" s="323"/>
      <c r="O516" s="323"/>
      <c r="P516" s="323"/>
    </row>
    <row r="517" spans="1:16">
      <c r="A517" s="323"/>
      <c r="B517" s="323"/>
      <c r="C517" s="323"/>
      <c r="D517" s="323"/>
      <c r="E517" s="323"/>
      <c r="F517" s="323"/>
      <c r="G517" s="323"/>
      <c r="H517" s="323"/>
      <c r="I517" s="323"/>
      <c r="J517" s="323"/>
      <c r="K517" s="323"/>
      <c r="L517" s="323"/>
      <c r="M517" s="323"/>
      <c r="N517" s="323"/>
      <c r="O517" s="323"/>
      <c r="P517" s="323"/>
    </row>
    <row r="518" spans="1:16">
      <c r="A518" s="323"/>
      <c r="B518" s="323"/>
      <c r="C518" s="323"/>
      <c r="D518" s="323"/>
      <c r="E518" s="323"/>
      <c r="F518" s="323"/>
      <c r="G518" s="323"/>
      <c r="H518" s="323"/>
      <c r="I518" s="323"/>
      <c r="J518" s="323"/>
      <c r="K518" s="323"/>
      <c r="L518" s="323"/>
      <c r="M518" s="323"/>
      <c r="N518" s="323"/>
      <c r="O518" s="323"/>
      <c r="P518" s="323"/>
    </row>
    <row r="519" spans="1:16">
      <c r="A519" s="323"/>
      <c r="B519" s="323"/>
      <c r="C519" s="323"/>
      <c r="D519" s="323"/>
      <c r="E519" s="323"/>
      <c r="F519" s="323"/>
      <c r="G519" s="323"/>
      <c r="H519" s="323"/>
      <c r="I519" s="323"/>
      <c r="J519" s="323"/>
      <c r="K519" s="323"/>
      <c r="L519" s="323"/>
      <c r="M519" s="323"/>
      <c r="N519" s="323"/>
      <c r="O519" s="323"/>
      <c r="P519" s="323"/>
    </row>
    <row r="520" spans="1:16">
      <c r="A520" s="323"/>
      <c r="B520" s="323"/>
      <c r="C520" s="323"/>
      <c r="D520" s="323"/>
      <c r="E520" s="323"/>
      <c r="F520" s="323"/>
      <c r="G520" s="323"/>
      <c r="H520" s="323"/>
      <c r="I520" s="323"/>
      <c r="J520" s="323"/>
      <c r="K520" s="323"/>
      <c r="L520" s="323"/>
      <c r="M520" s="323"/>
      <c r="N520" s="323"/>
      <c r="O520" s="323"/>
      <c r="P520" s="323"/>
    </row>
    <row r="521" spans="1:16">
      <c r="A521" s="323"/>
      <c r="B521" s="323"/>
      <c r="C521" s="323"/>
      <c r="D521" s="323"/>
      <c r="E521" s="323"/>
      <c r="F521" s="323"/>
      <c r="G521" s="323"/>
      <c r="H521" s="323"/>
      <c r="I521" s="323"/>
      <c r="J521" s="323"/>
      <c r="K521" s="323"/>
      <c r="L521" s="323"/>
      <c r="M521" s="323"/>
      <c r="N521" s="323"/>
      <c r="O521" s="323"/>
      <c r="P521" s="323"/>
    </row>
    <row r="522" spans="1:16">
      <c r="A522" s="323"/>
      <c r="B522" s="323"/>
      <c r="C522" s="323"/>
      <c r="D522" s="323"/>
      <c r="E522" s="323"/>
      <c r="F522" s="323"/>
      <c r="G522" s="323"/>
      <c r="H522" s="323"/>
      <c r="I522" s="323"/>
      <c r="J522" s="323"/>
      <c r="K522" s="323"/>
      <c r="L522" s="323"/>
      <c r="M522" s="323"/>
      <c r="N522" s="323"/>
      <c r="O522" s="323"/>
      <c r="P522" s="323"/>
    </row>
    <row r="523" spans="1:16">
      <c r="A523" s="323"/>
      <c r="B523" s="323"/>
      <c r="C523" s="323"/>
      <c r="D523" s="323"/>
      <c r="E523" s="323"/>
      <c r="F523" s="323"/>
      <c r="G523" s="323"/>
      <c r="H523" s="323"/>
      <c r="I523" s="323"/>
      <c r="J523" s="323"/>
      <c r="K523" s="323"/>
      <c r="L523" s="323"/>
      <c r="M523" s="323"/>
      <c r="N523" s="323"/>
      <c r="O523" s="323"/>
      <c r="P523" s="323"/>
    </row>
    <row r="524" spans="1:16">
      <c r="A524" s="323"/>
      <c r="B524" s="323"/>
      <c r="C524" s="323"/>
      <c r="D524" s="323"/>
      <c r="E524" s="323"/>
      <c r="F524" s="323"/>
      <c r="G524" s="323"/>
      <c r="H524" s="323"/>
      <c r="I524" s="323"/>
      <c r="J524" s="323"/>
      <c r="K524" s="323"/>
      <c r="L524" s="323"/>
      <c r="M524" s="323"/>
      <c r="N524" s="323"/>
      <c r="O524" s="323"/>
      <c r="P524" s="323"/>
    </row>
    <row r="525" spans="1:16">
      <c r="A525" s="323"/>
      <c r="B525" s="323"/>
      <c r="C525" s="323"/>
      <c r="D525" s="323"/>
      <c r="E525" s="323"/>
      <c r="F525" s="323"/>
      <c r="G525" s="323"/>
      <c r="H525" s="323"/>
      <c r="I525" s="323"/>
      <c r="J525" s="323"/>
      <c r="K525" s="323"/>
      <c r="L525" s="323"/>
      <c r="M525" s="323"/>
      <c r="N525" s="323"/>
      <c r="O525" s="323"/>
      <c r="P525" s="323"/>
    </row>
    <row r="526" spans="1:16">
      <c r="A526" s="323"/>
      <c r="B526" s="323"/>
      <c r="C526" s="323"/>
      <c r="D526" s="323"/>
      <c r="E526" s="323"/>
      <c r="F526" s="323"/>
      <c r="G526" s="323"/>
      <c r="H526" s="323"/>
      <c r="I526" s="323"/>
      <c r="J526" s="323"/>
      <c r="K526" s="323"/>
      <c r="L526" s="323"/>
      <c r="M526" s="323"/>
      <c r="N526" s="323"/>
      <c r="O526" s="323"/>
      <c r="P526" s="323"/>
    </row>
    <row r="527" spans="1:16">
      <c r="A527" s="323"/>
      <c r="B527" s="323"/>
      <c r="C527" s="323"/>
      <c r="D527" s="323"/>
      <c r="E527" s="323"/>
      <c r="F527" s="323"/>
      <c r="G527" s="323"/>
      <c r="H527" s="323"/>
      <c r="I527" s="323"/>
      <c r="J527" s="323"/>
      <c r="K527" s="323"/>
      <c r="L527" s="323"/>
      <c r="M527" s="323"/>
      <c r="N527" s="323"/>
      <c r="O527" s="323"/>
      <c r="P527" s="323"/>
    </row>
    <row r="528" spans="1:16">
      <c r="A528" s="323"/>
      <c r="B528" s="323"/>
      <c r="C528" s="323"/>
      <c r="D528" s="323"/>
      <c r="E528" s="323"/>
      <c r="F528" s="323"/>
      <c r="G528" s="323"/>
      <c r="H528" s="323"/>
      <c r="I528" s="323"/>
      <c r="J528" s="323"/>
      <c r="K528" s="323"/>
      <c r="L528" s="323"/>
      <c r="M528" s="323"/>
      <c r="N528" s="323"/>
      <c r="O528" s="323"/>
      <c r="P528" s="323"/>
    </row>
    <row r="529" spans="1:16">
      <c r="A529" s="323"/>
      <c r="B529" s="323"/>
      <c r="C529" s="323"/>
      <c r="D529" s="323"/>
      <c r="E529" s="323"/>
      <c r="F529" s="323"/>
      <c r="G529" s="323"/>
      <c r="H529" s="323"/>
      <c r="I529" s="323"/>
      <c r="J529" s="323"/>
      <c r="K529" s="323"/>
      <c r="L529" s="323"/>
      <c r="M529" s="323"/>
      <c r="N529" s="323"/>
      <c r="O529" s="323"/>
      <c r="P529" s="323"/>
    </row>
    <row r="530" spans="1:16">
      <c r="A530" s="323"/>
      <c r="B530" s="323"/>
      <c r="C530" s="323"/>
      <c r="D530" s="323"/>
      <c r="E530" s="323"/>
      <c r="F530" s="323"/>
      <c r="G530" s="323"/>
      <c r="H530" s="323"/>
      <c r="I530" s="323"/>
      <c r="J530" s="323"/>
      <c r="K530" s="323"/>
      <c r="L530" s="323"/>
      <c r="M530" s="323"/>
      <c r="N530" s="323"/>
      <c r="O530" s="323"/>
      <c r="P530" s="323"/>
    </row>
    <row r="531" spans="1:16">
      <c r="A531" s="323"/>
      <c r="B531" s="323"/>
      <c r="C531" s="323"/>
      <c r="D531" s="323"/>
      <c r="E531" s="323"/>
      <c r="F531" s="323"/>
      <c r="G531" s="323"/>
      <c r="H531" s="323"/>
      <c r="I531" s="323"/>
      <c r="J531" s="323"/>
      <c r="K531" s="323"/>
      <c r="L531" s="323"/>
      <c r="M531" s="323"/>
      <c r="N531" s="323"/>
      <c r="O531" s="323"/>
      <c r="P531" s="323"/>
    </row>
    <row r="532" spans="1:16">
      <c r="A532" s="323"/>
      <c r="B532" s="323"/>
      <c r="C532" s="323"/>
      <c r="D532" s="323"/>
      <c r="E532" s="323"/>
      <c r="F532" s="323"/>
      <c r="G532" s="323"/>
      <c r="H532" s="323"/>
      <c r="I532" s="323"/>
      <c r="J532" s="323"/>
      <c r="K532" s="323"/>
      <c r="L532" s="323"/>
      <c r="M532" s="323"/>
      <c r="N532" s="323"/>
      <c r="O532" s="323"/>
      <c r="P532" s="323"/>
    </row>
    <row r="533" spans="1:16">
      <c r="A533" s="323"/>
      <c r="B533" s="323"/>
      <c r="C533" s="323"/>
      <c r="D533" s="323"/>
      <c r="E533" s="323"/>
      <c r="F533" s="323"/>
      <c r="G533" s="323"/>
      <c r="H533" s="323"/>
      <c r="I533" s="323"/>
      <c r="J533" s="323"/>
      <c r="K533" s="323"/>
      <c r="L533" s="323"/>
      <c r="M533" s="323"/>
      <c r="N533" s="323"/>
      <c r="O533" s="323"/>
      <c r="P533" s="323"/>
    </row>
    <row r="534" spans="1:16">
      <c r="A534" s="323"/>
      <c r="B534" s="323"/>
      <c r="C534" s="323"/>
      <c r="D534" s="323"/>
      <c r="E534" s="323"/>
      <c r="F534" s="323"/>
      <c r="G534" s="323"/>
      <c r="H534" s="323"/>
      <c r="I534" s="323"/>
      <c r="J534" s="323"/>
      <c r="K534" s="323"/>
      <c r="L534" s="323"/>
      <c r="M534" s="323"/>
      <c r="N534" s="323"/>
      <c r="O534" s="323"/>
      <c r="P534" s="323"/>
    </row>
    <row r="535" spans="1:16">
      <c r="A535" s="323"/>
      <c r="B535" s="323"/>
      <c r="C535" s="323"/>
      <c r="D535" s="323"/>
      <c r="E535" s="323"/>
      <c r="F535" s="323"/>
      <c r="G535" s="323"/>
      <c r="H535" s="323"/>
      <c r="I535" s="323"/>
      <c r="J535" s="323"/>
      <c r="K535" s="323"/>
      <c r="L535" s="323"/>
      <c r="M535" s="323"/>
      <c r="N535" s="323"/>
      <c r="O535" s="323"/>
      <c r="P535" s="323"/>
    </row>
    <row r="536" spans="1:16">
      <c r="A536" s="323"/>
      <c r="B536" s="323"/>
      <c r="C536" s="323"/>
      <c r="D536" s="323"/>
      <c r="E536" s="323"/>
      <c r="F536" s="323"/>
      <c r="G536" s="323"/>
      <c r="H536" s="323"/>
      <c r="I536" s="323"/>
      <c r="J536" s="323"/>
      <c r="K536" s="323"/>
      <c r="L536" s="323"/>
      <c r="M536" s="323"/>
      <c r="N536" s="323"/>
      <c r="O536" s="323"/>
      <c r="P536" s="323"/>
    </row>
    <row r="537" spans="1:16">
      <c r="A537" s="323"/>
      <c r="B537" s="323"/>
      <c r="C537" s="323"/>
      <c r="D537" s="323"/>
      <c r="E537" s="323"/>
      <c r="F537" s="323"/>
      <c r="G537" s="323"/>
      <c r="H537" s="323"/>
      <c r="I537" s="323"/>
      <c r="J537" s="323"/>
      <c r="K537" s="323"/>
      <c r="L537" s="323"/>
      <c r="M537" s="323"/>
      <c r="N537" s="323"/>
      <c r="O537" s="323"/>
      <c r="P537" s="323"/>
    </row>
    <row r="538" spans="1:16">
      <c r="A538" s="323"/>
      <c r="B538" s="323"/>
      <c r="C538" s="323"/>
      <c r="D538" s="323"/>
      <c r="E538" s="323"/>
      <c r="F538" s="323"/>
      <c r="G538" s="323"/>
      <c r="H538" s="323"/>
      <c r="I538" s="323"/>
      <c r="J538" s="323"/>
      <c r="K538" s="323"/>
      <c r="L538" s="323"/>
      <c r="M538" s="323"/>
      <c r="N538" s="323"/>
      <c r="O538" s="323"/>
      <c r="P538" s="323"/>
    </row>
    <row r="539" spans="1:16">
      <c r="A539" s="323"/>
      <c r="B539" s="323"/>
      <c r="C539" s="323"/>
      <c r="D539" s="323"/>
      <c r="E539" s="323"/>
      <c r="F539" s="323"/>
      <c r="G539" s="323"/>
      <c r="H539" s="323"/>
      <c r="I539" s="323"/>
      <c r="J539" s="323"/>
      <c r="K539" s="323"/>
      <c r="L539" s="323"/>
      <c r="M539" s="323"/>
      <c r="N539" s="323"/>
      <c r="O539" s="323"/>
      <c r="P539" s="323"/>
    </row>
    <row r="540" spans="1:16">
      <c r="A540" s="323"/>
      <c r="B540" s="323"/>
      <c r="C540" s="323"/>
      <c r="D540" s="323"/>
      <c r="E540" s="323"/>
      <c r="F540" s="323"/>
      <c r="G540" s="323"/>
      <c r="H540" s="323"/>
      <c r="I540" s="323"/>
      <c r="J540" s="323"/>
      <c r="K540" s="323"/>
      <c r="L540" s="323"/>
      <c r="M540" s="323"/>
      <c r="N540" s="323"/>
      <c r="O540" s="323"/>
      <c r="P540" s="323"/>
    </row>
    <row r="541" spans="1:16">
      <c r="A541" s="323"/>
      <c r="B541" s="323"/>
      <c r="C541" s="323"/>
      <c r="D541" s="323"/>
      <c r="E541" s="323"/>
      <c r="F541" s="323"/>
      <c r="G541" s="323"/>
      <c r="H541" s="323"/>
      <c r="I541" s="323"/>
      <c r="J541" s="323"/>
      <c r="K541" s="323"/>
      <c r="L541" s="323"/>
      <c r="M541" s="323"/>
      <c r="N541" s="323"/>
      <c r="O541" s="323"/>
      <c r="P541" s="323"/>
    </row>
    <row r="542" spans="1:16">
      <c r="A542" s="323"/>
      <c r="B542" s="323"/>
      <c r="C542" s="323"/>
      <c r="D542" s="323"/>
      <c r="E542" s="323"/>
      <c r="F542" s="323"/>
      <c r="G542" s="323"/>
      <c r="H542" s="323"/>
      <c r="I542" s="323"/>
      <c r="J542" s="323"/>
      <c r="K542" s="323"/>
      <c r="L542" s="323"/>
      <c r="M542" s="323"/>
      <c r="N542" s="323"/>
      <c r="O542" s="323"/>
      <c r="P542" s="323"/>
    </row>
    <row r="543" spans="1:16">
      <c r="A543" s="323"/>
      <c r="B543" s="323"/>
      <c r="C543" s="323"/>
      <c r="D543" s="323"/>
      <c r="E543" s="323"/>
      <c r="F543" s="323"/>
      <c r="G543" s="323"/>
      <c r="H543" s="323"/>
      <c r="I543" s="323"/>
      <c r="J543" s="323"/>
      <c r="K543" s="323"/>
      <c r="L543" s="323"/>
      <c r="M543" s="323"/>
      <c r="N543" s="323"/>
      <c r="O543" s="323"/>
      <c r="P543" s="323"/>
    </row>
    <row r="544" spans="1:16">
      <c r="A544" s="323"/>
      <c r="B544" s="323"/>
      <c r="C544" s="323"/>
      <c r="D544" s="323"/>
      <c r="E544" s="323"/>
      <c r="F544" s="323"/>
      <c r="G544" s="323"/>
      <c r="H544" s="323"/>
      <c r="I544" s="323"/>
      <c r="J544" s="323"/>
      <c r="K544" s="323"/>
      <c r="L544" s="323"/>
      <c r="M544" s="323"/>
      <c r="N544" s="323"/>
      <c r="O544" s="323"/>
      <c r="P544" s="323"/>
    </row>
    <row r="545" spans="1:16">
      <c r="A545" s="323"/>
      <c r="B545" s="323"/>
      <c r="C545" s="323"/>
      <c r="D545" s="323"/>
      <c r="E545" s="323"/>
      <c r="F545" s="323"/>
      <c r="G545" s="323"/>
      <c r="H545" s="323"/>
      <c r="I545" s="323"/>
      <c r="J545" s="323"/>
      <c r="K545" s="323"/>
      <c r="L545" s="323"/>
      <c r="M545" s="323"/>
      <c r="N545" s="323"/>
      <c r="O545" s="323"/>
      <c r="P545" s="323"/>
    </row>
    <row r="546" spans="1:16">
      <c r="A546" s="323"/>
      <c r="B546" s="323"/>
      <c r="C546" s="323"/>
      <c r="D546" s="323"/>
      <c r="E546" s="323"/>
      <c r="F546" s="323"/>
      <c r="G546" s="323"/>
      <c r="H546" s="323"/>
      <c r="I546" s="323"/>
      <c r="J546" s="323"/>
      <c r="K546" s="323"/>
      <c r="L546" s="323"/>
      <c r="M546" s="323"/>
      <c r="N546" s="323"/>
      <c r="O546" s="323"/>
      <c r="P546" s="323"/>
    </row>
    <row r="547" spans="1:16">
      <c r="A547" s="323"/>
      <c r="B547" s="323"/>
      <c r="C547" s="323"/>
      <c r="D547" s="323"/>
      <c r="E547" s="323"/>
      <c r="F547" s="323"/>
      <c r="G547" s="323"/>
      <c r="H547" s="323"/>
      <c r="I547" s="323"/>
      <c r="J547" s="323"/>
      <c r="K547" s="323"/>
      <c r="L547" s="323"/>
      <c r="M547" s="323"/>
      <c r="N547" s="323"/>
      <c r="O547" s="323"/>
      <c r="P547" s="323"/>
    </row>
    <row r="548" spans="1:16">
      <c r="A548" s="323"/>
      <c r="B548" s="323"/>
      <c r="C548" s="323"/>
      <c r="D548" s="323"/>
      <c r="E548" s="323"/>
      <c r="F548" s="323"/>
      <c r="G548" s="323"/>
      <c r="H548" s="323"/>
      <c r="I548" s="323"/>
      <c r="J548" s="323"/>
      <c r="K548" s="323"/>
      <c r="L548" s="323"/>
      <c r="M548" s="323"/>
      <c r="N548" s="323"/>
      <c r="O548" s="323"/>
      <c r="P548" s="323"/>
    </row>
    <row r="549" spans="1:16">
      <c r="A549" s="323"/>
      <c r="B549" s="323"/>
      <c r="C549" s="323"/>
      <c r="D549" s="323"/>
      <c r="E549" s="323"/>
      <c r="F549" s="323"/>
      <c r="G549" s="323"/>
      <c r="H549" s="323"/>
      <c r="I549" s="323"/>
      <c r="J549" s="323"/>
      <c r="K549" s="323"/>
      <c r="L549" s="323"/>
      <c r="M549" s="323"/>
      <c r="N549" s="323"/>
      <c r="O549" s="323"/>
      <c r="P549" s="323"/>
    </row>
    <row r="550" spans="1:16">
      <c r="A550" s="323"/>
      <c r="B550" s="323"/>
      <c r="C550" s="323"/>
      <c r="D550" s="323"/>
      <c r="E550" s="323"/>
      <c r="F550" s="323"/>
      <c r="G550" s="323"/>
      <c r="H550" s="323"/>
      <c r="I550" s="323"/>
      <c r="J550" s="323"/>
      <c r="K550" s="323"/>
      <c r="L550" s="323"/>
      <c r="M550" s="323"/>
      <c r="N550" s="323"/>
      <c r="O550" s="323"/>
      <c r="P550" s="323"/>
    </row>
    <row r="551" spans="1:16">
      <c r="A551" s="323"/>
      <c r="B551" s="323"/>
      <c r="C551" s="323"/>
      <c r="D551" s="323"/>
      <c r="E551" s="323"/>
      <c r="F551" s="323"/>
      <c r="G551" s="323"/>
      <c r="H551" s="323"/>
      <c r="I551" s="323"/>
      <c r="J551" s="323"/>
      <c r="K551" s="323"/>
      <c r="L551" s="323"/>
      <c r="M551" s="323"/>
      <c r="N551" s="323"/>
      <c r="O551" s="323"/>
      <c r="P551" s="323"/>
    </row>
    <row r="552" spans="1:16">
      <c r="A552" s="323"/>
      <c r="B552" s="323"/>
      <c r="C552" s="323"/>
      <c r="D552" s="323"/>
      <c r="E552" s="323"/>
      <c r="F552" s="323"/>
      <c r="G552" s="323"/>
      <c r="H552" s="323"/>
      <c r="I552" s="323"/>
      <c r="J552" s="323"/>
      <c r="K552" s="323"/>
      <c r="L552" s="323"/>
      <c r="M552" s="323"/>
      <c r="N552" s="323"/>
      <c r="O552" s="323"/>
      <c r="P552" s="323"/>
    </row>
    <row r="553" spans="1:16">
      <c r="A553" s="323"/>
      <c r="B553" s="323"/>
      <c r="C553" s="323"/>
      <c r="D553" s="323"/>
      <c r="E553" s="323"/>
      <c r="F553" s="323"/>
      <c r="G553" s="323"/>
      <c r="H553" s="323"/>
      <c r="I553" s="323"/>
      <c r="J553" s="323"/>
      <c r="K553" s="323"/>
      <c r="L553" s="323"/>
      <c r="M553" s="323"/>
      <c r="N553" s="323"/>
      <c r="O553" s="323"/>
      <c r="P553" s="323"/>
    </row>
    <row r="554" spans="1:16">
      <c r="A554" s="323"/>
      <c r="B554" s="323"/>
      <c r="C554" s="323"/>
      <c r="D554" s="323"/>
      <c r="E554" s="323"/>
      <c r="F554" s="323"/>
      <c r="G554" s="323"/>
      <c r="H554" s="323"/>
      <c r="I554" s="323"/>
      <c r="J554" s="323"/>
      <c r="K554" s="323"/>
      <c r="L554" s="323"/>
      <c r="M554" s="323"/>
      <c r="N554" s="323"/>
      <c r="O554" s="323"/>
      <c r="P554" s="323"/>
    </row>
    <row r="555" spans="1:16">
      <c r="A555" s="323"/>
      <c r="B555" s="323"/>
      <c r="C555" s="323"/>
      <c r="D555" s="323"/>
      <c r="E555" s="323"/>
      <c r="F555" s="323"/>
      <c r="G555" s="323"/>
      <c r="H555" s="323"/>
      <c r="I555" s="323"/>
      <c r="J555" s="323"/>
      <c r="K555" s="323"/>
      <c r="L555" s="323"/>
      <c r="M555" s="323"/>
      <c r="N555" s="323"/>
      <c r="O555" s="323"/>
      <c r="P555" s="323"/>
    </row>
    <row r="556" spans="1:16">
      <c r="A556" s="323"/>
      <c r="B556" s="323"/>
      <c r="C556" s="323"/>
      <c r="D556" s="323"/>
      <c r="E556" s="323"/>
      <c r="F556" s="323"/>
      <c r="G556" s="323"/>
      <c r="H556" s="323"/>
      <c r="I556" s="323"/>
      <c r="J556" s="323"/>
      <c r="K556" s="323"/>
      <c r="L556" s="323"/>
      <c r="M556" s="323"/>
      <c r="N556" s="323"/>
      <c r="O556" s="323"/>
      <c r="P556" s="323"/>
    </row>
    <row r="557" spans="1:16">
      <c r="A557" s="323"/>
      <c r="B557" s="323"/>
      <c r="C557" s="323"/>
      <c r="D557" s="323"/>
      <c r="E557" s="323"/>
      <c r="F557" s="323"/>
      <c r="G557" s="323"/>
      <c r="H557" s="323"/>
      <c r="I557" s="323"/>
      <c r="J557" s="323"/>
      <c r="K557" s="323"/>
      <c r="L557" s="323"/>
      <c r="M557" s="323"/>
      <c r="N557" s="323"/>
      <c r="O557" s="323"/>
      <c r="P557" s="323"/>
    </row>
    <row r="558" spans="1:16">
      <c r="A558" s="323"/>
      <c r="B558" s="323"/>
      <c r="C558" s="323"/>
      <c r="D558" s="323"/>
      <c r="E558" s="323"/>
      <c r="F558" s="323"/>
      <c r="G558" s="323"/>
      <c r="H558" s="323"/>
      <c r="I558" s="323"/>
      <c r="J558" s="323"/>
      <c r="K558" s="323"/>
      <c r="L558" s="323"/>
      <c r="M558" s="323"/>
      <c r="N558" s="323"/>
      <c r="O558" s="323"/>
      <c r="P558" s="323"/>
    </row>
    <row r="559" spans="1:16">
      <c r="A559" s="323"/>
      <c r="B559" s="323"/>
      <c r="C559" s="323"/>
      <c r="D559" s="323"/>
      <c r="E559" s="323"/>
      <c r="F559" s="323"/>
      <c r="G559" s="323"/>
      <c r="H559" s="323"/>
      <c r="I559" s="323"/>
      <c r="J559" s="323"/>
      <c r="K559" s="323"/>
      <c r="L559" s="323"/>
      <c r="M559" s="323"/>
      <c r="N559" s="323"/>
      <c r="O559" s="323"/>
      <c r="P559" s="323"/>
    </row>
    <row r="560" spans="1:16">
      <c r="A560" s="323"/>
      <c r="B560" s="323"/>
      <c r="C560" s="323"/>
      <c r="D560" s="323"/>
      <c r="E560" s="323"/>
      <c r="F560" s="323"/>
      <c r="G560" s="323"/>
      <c r="H560" s="323"/>
      <c r="I560" s="323"/>
      <c r="J560" s="323"/>
      <c r="K560" s="323"/>
      <c r="L560" s="323"/>
      <c r="M560" s="323"/>
      <c r="N560" s="323"/>
      <c r="O560" s="323"/>
      <c r="P560" s="323"/>
    </row>
    <row r="561" spans="1:16">
      <c r="A561" s="323"/>
      <c r="B561" s="323"/>
      <c r="C561" s="323"/>
      <c r="D561" s="323"/>
      <c r="E561" s="323"/>
      <c r="F561" s="323"/>
      <c r="G561" s="323"/>
      <c r="H561" s="323"/>
      <c r="I561" s="323"/>
      <c r="J561" s="323"/>
      <c r="K561" s="323"/>
      <c r="L561" s="323"/>
      <c r="M561" s="323"/>
      <c r="N561" s="323"/>
      <c r="O561" s="323"/>
      <c r="P561" s="323"/>
    </row>
    <row r="562" spans="1:16">
      <c r="A562" s="323"/>
      <c r="B562" s="323"/>
      <c r="C562" s="323"/>
      <c r="D562" s="323"/>
      <c r="E562" s="323"/>
      <c r="F562" s="323"/>
      <c r="G562" s="323"/>
      <c r="H562" s="323"/>
      <c r="I562" s="323"/>
      <c r="J562" s="323"/>
      <c r="K562" s="323"/>
      <c r="L562" s="323"/>
      <c r="M562" s="323"/>
      <c r="N562" s="323"/>
      <c r="O562" s="323"/>
      <c r="P562" s="323"/>
    </row>
    <row r="563" spans="1:16">
      <c r="A563" s="323"/>
      <c r="B563" s="323"/>
      <c r="C563" s="323"/>
      <c r="D563" s="323"/>
      <c r="E563" s="323"/>
      <c r="F563" s="323"/>
      <c r="G563" s="323"/>
      <c r="H563" s="323"/>
      <c r="I563" s="323"/>
      <c r="J563" s="323"/>
      <c r="K563" s="323"/>
      <c r="L563" s="323"/>
      <c r="M563" s="323"/>
      <c r="N563" s="323"/>
      <c r="O563" s="323"/>
      <c r="P563" s="323"/>
    </row>
    <row r="564" spans="1:16">
      <c r="A564" s="323"/>
      <c r="B564" s="323"/>
      <c r="C564" s="323"/>
      <c r="D564" s="323"/>
      <c r="E564" s="323"/>
      <c r="F564" s="323"/>
      <c r="G564" s="323"/>
      <c r="H564" s="323"/>
      <c r="I564" s="323"/>
      <c r="J564" s="323"/>
      <c r="K564" s="323"/>
      <c r="L564" s="323"/>
      <c r="M564" s="323"/>
      <c r="N564" s="323"/>
      <c r="O564" s="323"/>
      <c r="P564" s="323"/>
    </row>
    <row r="565" spans="1:16">
      <c r="A565" s="323"/>
      <c r="B565" s="323"/>
      <c r="C565" s="323"/>
      <c r="D565" s="323"/>
      <c r="E565" s="323"/>
      <c r="F565" s="323"/>
      <c r="G565" s="323"/>
      <c r="H565" s="323"/>
      <c r="I565" s="323"/>
      <c r="J565" s="323"/>
      <c r="K565" s="323"/>
      <c r="L565" s="323"/>
      <c r="M565" s="323"/>
      <c r="N565" s="323"/>
      <c r="O565" s="323"/>
      <c r="P565" s="323"/>
    </row>
    <row r="566" spans="1:16">
      <c r="A566" s="323"/>
      <c r="B566" s="323"/>
      <c r="C566" s="323"/>
      <c r="D566" s="323"/>
      <c r="E566" s="323"/>
      <c r="F566" s="323"/>
      <c r="G566" s="323"/>
      <c r="H566" s="323"/>
      <c r="I566" s="323"/>
      <c r="J566" s="323"/>
      <c r="K566" s="323"/>
      <c r="L566" s="323"/>
      <c r="M566" s="323"/>
      <c r="N566" s="323"/>
      <c r="O566" s="323"/>
      <c r="P566" s="323"/>
    </row>
    <row r="567" spans="1:16">
      <c r="A567" s="323"/>
      <c r="B567" s="323"/>
      <c r="C567" s="323"/>
      <c r="D567" s="323"/>
      <c r="E567" s="323"/>
      <c r="F567" s="323"/>
      <c r="G567" s="323"/>
      <c r="H567" s="323"/>
      <c r="I567" s="323"/>
      <c r="J567" s="323"/>
      <c r="K567" s="323"/>
      <c r="L567" s="323"/>
      <c r="M567" s="323"/>
      <c r="N567" s="323"/>
      <c r="O567" s="323"/>
      <c r="P567" s="323"/>
    </row>
    <row r="568" spans="1:16">
      <c r="A568" s="323"/>
      <c r="B568" s="323"/>
      <c r="C568" s="323"/>
      <c r="D568" s="323"/>
      <c r="E568" s="323"/>
      <c r="F568" s="323"/>
      <c r="G568" s="323"/>
      <c r="H568" s="323"/>
      <c r="I568" s="323"/>
      <c r="J568" s="323"/>
      <c r="K568" s="323"/>
      <c r="L568" s="323"/>
      <c r="M568" s="323"/>
      <c r="N568" s="323"/>
      <c r="O568" s="323"/>
      <c r="P568" s="323"/>
    </row>
    <row r="569" spans="1:16">
      <c r="A569" s="323"/>
      <c r="B569" s="323"/>
      <c r="C569" s="323"/>
      <c r="D569" s="323"/>
      <c r="E569" s="323"/>
      <c r="F569" s="323"/>
      <c r="G569" s="323"/>
      <c r="H569" s="323"/>
      <c r="I569" s="323"/>
      <c r="J569" s="323"/>
      <c r="K569" s="323"/>
      <c r="L569" s="323"/>
      <c r="M569" s="323"/>
      <c r="N569" s="323"/>
      <c r="O569" s="323"/>
      <c r="P569" s="323"/>
    </row>
    <row r="570" spans="1:16">
      <c r="A570" s="323"/>
      <c r="B570" s="323"/>
      <c r="C570" s="323"/>
      <c r="D570" s="323"/>
      <c r="E570" s="323"/>
      <c r="F570" s="323"/>
      <c r="G570" s="323"/>
      <c r="H570" s="323"/>
      <c r="I570" s="323"/>
      <c r="J570" s="323"/>
      <c r="K570" s="323"/>
      <c r="L570" s="323"/>
      <c r="M570" s="323"/>
      <c r="N570" s="323"/>
      <c r="O570" s="323"/>
      <c r="P570" s="323"/>
    </row>
    <row r="571" spans="1:16">
      <c r="A571" s="323"/>
      <c r="B571" s="323"/>
      <c r="C571" s="323"/>
      <c r="D571" s="323"/>
      <c r="E571" s="323"/>
      <c r="F571" s="323"/>
      <c r="G571" s="323"/>
      <c r="H571" s="323"/>
      <c r="I571" s="323"/>
      <c r="J571" s="323"/>
      <c r="K571" s="323"/>
      <c r="L571" s="323"/>
      <c r="M571" s="323"/>
      <c r="N571" s="323"/>
      <c r="O571" s="323"/>
      <c r="P571" s="323"/>
    </row>
    <row r="572" spans="1:16">
      <c r="A572" s="323"/>
      <c r="B572" s="323"/>
      <c r="C572" s="323"/>
      <c r="D572" s="323"/>
      <c r="E572" s="323"/>
      <c r="F572" s="323"/>
      <c r="G572" s="323"/>
      <c r="H572" s="323"/>
      <c r="I572" s="323"/>
      <c r="J572" s="323"/>
      <c r="K572" s="323"/>
      <c r="L572" s="323"/>
      <c r="M572" s="323"/>
      <c r="N572" s="323"/>
      <c r="O572" s="323"/>
      <c r="P572" s="323"/>
    </row>
    <row r="573" spans="1:16">
      <c r="A573" s="323"/>
      <c r="B573" s="323"/>
      <c r="C573" s="323"/>
      <c r="D573" s="323"/>
      <c r="E573" s="323"/>
      <c r="F573" s="323"/>
      <c r="G573" s="323"/>
      <c r="H573" s="323"/>
      <c r="I573" s="323"/>
      <c r="J573" s="323"/>
      <c r="K573" s="323"/>
      <c r="L573" s="323"/>
      <c r="M573" s="323"/>
      <c r="N573" s="323"/>
      <c r="O573" s="323"/>
      <c r="P573" s="323"/>
    </row>
    <row r="574" spans="1:16">
      <c r="A574" s="323"/>
      <c r="B574" s="323"/>
      <c r="C574" s="323"/>
      <c r="D574" s="323"/>
      <c r="E574" s="323"/>
      <c r="F574" s="323"/>
      <c r="G574" s="323"/>
      <c r="H574" s="323"/>
      <c r="I574" s="323"/>
      <c r="J574" s="323"/>
      <c r="K574" s="323"/>
      <c r="L574" s="323"/>
      <c r="M574" s="323"/>
      <c r="N574" s="323"/>
      <c r="O574" s="323"/>
      <c r="P574" s="323"/>
    </row>
    <row r="575" spans="1:16">
      <c r="A575" s="323"/>
      <c r="B575" s="323"/>
      <c r="C575" s="323"/>
      <c r="D575" s="323"/>
      <c r="E575" s="323"/>
      <c r="F575" s="323"/>
      <c r="G575" s="323"/>
      <c r="H575" s="323"/>
      <c r="I575" s="323"/>
      <c r="J575" s="323"/>
      <c r="K575" s="323"/>
      <c r="L575" s="323"/>
      <c r="M575" s="323"/>
      <c r="N575" s="323"/>
      <c r="O575" s="323"/>
      <c r="P575" s="323"/>
    </row>
    <row r="576" spans="1:16">
      <c r="A576" s="323"/>
      <c r="B576" s="323"/>
      <c r="C576" s="323"/>
      <c r="D576" s="323"/>
      <c r="E576" s="323"/>
      <c r="F576" s="323"/>
      <c r="G576" s="323"/>
      <c r="H576" s="323"/>
      <c r="I576" s="323"/>
      <c r="J576" s="323"/>
      <c r="K576" s="323"/>
      <c r="L576" s="323"/>
      <c r="M576" s="323"/>
      <c r="N576" s="323"/>
      <c r="O576" s="323"/>
      <c r="P576" s="323"/>
    </row>
    <row r="577" spans="1:16">
      <c r="A577" s="323"/>
      <c r="B577" s="323"/>
      <c r="C577" s="323"/>
      <c r="D577" s="323"/>
      <c r="E577" s="323"/>
      <c r="F577" s="323"/>
      <c r="G577" s="323"/>
      <c r="H577" s="323"/>
      <c r="I577" s="323"/>
      <c r="J577" s="323"/>
      <c r="K577" s="323"/>
      <c r="L577" s="323"/>
      <c r="M577" s="323"/>
      <c r="N577" s="323"/>
      <c r="O577" s="323"/>
      <c r="P577" s="323"/>
    </row>
    <row r="578" spans="1:16">
      <c r="A578" s="323"/>
      <c r="B578" s="323"/>
      <c r="C578" s="323"/>
      <c r="D578" s="323"/>
      <c r="E578" s="323"/>
      <c r="F578" s="323"/>
      <c r="G578" s="323"/>
      <c r="H578" s="323"/>
      <c r="I578" s="323"/>
      <c r="J578" s="323"/>
      <c r="K578" s="323"/>
      <c r="L578" s="323"/>
      <c r="M578" s="323"/>
      <c r="N578" s="323"/>
      <c r="O578" s="323"/>
      <c r="P578" s="323"/>
    </row>
    <row r="579" spans="1:16">
      <c r="A579" s="323"/>
      <c r="B579" s="323"/>
      <c r="C579" s="323"/>
      <c r="D579" s="323"/>
      <c r="E579" s="323"/>
      <c r="F579" s="323"/>
      <c r="G579" s="323"/>
      <c r="H579" s="323"/>
      <c r="I579" s="323"/>
      <c r="J579" s="323"/>
      <c r="K579" s="323"/>
      <c r="L579" s="323"/>
      <c r="M579" s="323"/>
      <c r="N579" s="323"/>
      <c r="O579" s="323"/>
      <c r="P579" s="323"/>
    </row>
    <row r="580" spans="1:16">
      <c r="A580" s="323"/>
      <c r="B580" s="323"/>
      <c r="C580" s="323"/>
      <c r="D580" s="323"/>
      <c r="E580" s="323"/>
      <c r="F580" s="323"/>
      <c r="G580" s="323"/>
      <c r="H580" s="323"/>
      <c r="I580" s="323"/>
      <c r="J580" s="323"/>
      <c r="K580" s="323"/>
      <c r="L580" s="323"/>
      <c r="M580" s="323"/>
      <c r="N580" s="323"/>
      <c r="O580" s="323"/>
      <c r="P580" s="323"/>
    </row>
    <row r="581" spans="1:16">
      <c r="A581" s="323"/>
      <c r="B581" s="323"/>
      <c r="C581" s="323"/>
      <c r="D581" s="323"/>
      <c r="E581" s="323"/>
      <c r="F581" s="323"/>
      <c r="G581" s="323"/>
      <c r="H581" s="323"/>
      <c r="I581" s="323"/>
      <c r="J581" s="323"/>
      <c r="K581" s="323"/>
      <c r="L581" s="323"/>
      <c r="M581" s="323"/>
      <c r="N581" s="323"/>
      <c r="O581" s="323"/>
      <c r="P581" s="323"/>
    </row>
    <row r="582" spans="1:16">
      <c r="A582" s="323"/>
      <c r="B582" s="323"/>
      <c r="C582" s="323"/>
      <c r="D582" s="323"/>
      <c r="E582" s="323"/>
      <c r="F582" s="323"/>
      <c r="G582" s="323"/>
      <c r="H582" s="323"/>
      <c r="I582" s="323"/>
      <c r="J582" s="323"/>
      <c r="K582" s="323"/>
      <c r="L582" s="323"/>
      <c r="M582" s="323"/>
      <c r="N582" s="323"/>
      <c r="O582" s="323"/>
      <c r="P582" s="323"/>
    </row>
    <row r="583" spans="1:16">
      <c r="A583" s="323"/>
      <c r="B583" s="323"/>
      <c r="C583" s="323"/>
      <c r="D583" s="323"/>
      <c r="E583" s="323"/>
      <c r="F583" s="323"/>
      <c r="G583" s="323"/>
      <c r="H583" s="323"/>
      <c r="I583" s="323"/>
      <c r="J583" s="323"/>
      <c r="K583" s="323"/>
      <c r="L583" s="323"/>
      <c r="M583" s="323"/>
      <c r="N583" s="323"/>
      <c r="O583" s="323"/>
      <c r="P583" s="323"/>
    </row>
    <row r="584" spans="1:16">
      <c r="A584" s="323"/>
      <c r="B584" s="323"/>
      <c r="C584" s="323"/>
      <c r="D584" s="323"/>
      <c r="E584" s="323"/>
      <c r="F584" s="323"/>
      <c r="G584" s="323"/>
      <c r="H584" s="323"/>
      <c r="I584" s="323"/>
      <c r="J584" s="323"/>
      <c r="K584" s="323"/>
      <c r="L584" s="323"/>
      <c r="M584" s="323"/>
      <c r="N584" s="323"/>
      <c r="O584" s="323"/>
      <c r="P584" s="323"/>
    </row>
    <row r="585" spans="1:16">
      <c r="A585" s="323"/>
      <c r="B585" s="323"/>
      <c r="C585" s="323"/>
      <c r="D585" s="323"/>
      <c r="E585" s="323"/>
      <c r="F585" s="323"/>
      <c r="G585" s="323"/>
      <c r="H585" s="323"/>
      <c r="I585" s="323"/>
      <c r="J585" s="323"/>
      <c r="K585" s="323"/>
      <c r="L585" s="323"/>
      <c r="M585" s="323"/>
      <c r="N585" s="323"/>
      <c r="O585" s="323"/>
      <c r="P585" s="323"/>
    </row>
    <row r="586" spans="1:16">
      <c r="A586" s="323"/>
      <c r="B586" s="323"/>
      <c r="C586" s="323"/>
      <c r="D586" s="323"/>
      <c r="E586" s="323"/>
      <c r="F586" s="323"/>
      <c r="G586" s="323"/>
      <c r="H586" s="323"/>
      <c r="I586" s="323"/>
      <c r="J586" s="323"/>
      <c r="K586" s="323"/>
      <c r="L586" s="323"/>
      <c r="M586" s="323"/>
      <c r="N586" s="323"/>
      <c r="O586" s="323"/>
      <c r="P586" s="323"/>
    </row>
    <row r="587" spans="1:16">
      <c r="A587" s="323"/>
      <c r="B587" s="323"/>
      <c r="C587" s="323"/>
      <c r="D587" s="323"/>
      <c r="E587" s="323"/>
      <c r="F587" s="323"/>
      <c r="G587" s="323"/>
      <c r="H587" s="323"/>
      <c r="I587" s="323"/>
      <c r="J587" s="323"/>
      <c r="K587" s="323"/>
      <c r="L587" s="323"/>
      <c r="M587" s="323"/>
      <c r="N587" s="323"/>
      <c r="O587" s="323"/>
      <c r="P587" s="323"/>
    </row>
    <row r="588" spans="1:16">
      <c r="A588" s="323"/>
      <c r="B588" s="323"/>
      <c r="C588" s="323"/>
      <c r="D588" s="323"/>
      <c r="E588" s="323"/>
      <c r="F588" s="323"/>
      <c r="G588" s="323"/>
      <c r="H588" s="323"/>
      <c r="I588" s="323"/>
      <c r="J588" s="323"/>
      <c r="K588" s="323"/>
      <c r="L588" s="323"/>
      <c r="M588" s="323"/>
      <c r="N588" s="323"/>
      <c r="O588" s="323"/>
      <c r="P588" s="323"/>
    </row>
    <row r="589" spans="1:16">
      <c r="A589" s="323"/>
      <c r="B589" s="323"/>
      <c r="C589" s="323"/>
      <c r="D589" s="323"/>
      <c r="E589" s="323"/>
      <c r="F589" s="323"/>
      <c r="G589" s="323"/>
      <c r="H589" s="323"/>
      <c r="I589" s="323"/>
      <c r="J589" s="323"/>
      <c r="K589" s="323"/>
      <c r="L589" s="323"/>
      <c r="M589" s="323"/>
      <c r="N589" s="323"/>
      <c r="O589" s="323"/>
      <c r="P589" s="323"/>
    </row>
    <row r="590" spans="1:16">
      <c r="A590" s="323"/>
      <c r="B590" s="323"/>
      <c r="C590" s="323"/>
      <c r="D590" s="323"/>
      <c r="E590" s="323"/>
      <c r="F590" s="323"/>
      <c r="G590" s="323"/>
      <c r="H590" s="323"/>
      <c r="I590" s="323"/>
      <c r="J590" s="323"/>
      <c r="K590" s="323"/>
      <c r="L590" s="323"/>
      <c r="M590" s="323"/>
      <c r="N590" s="323"/>
      <c r="O590" s="323"/>
      <c r="P590" s="323"/>
    </row>
    <row r="591" spans="1:16">
      <c r="A591" s="323"/>
      <c r="B591" s="323"/>
      <c r="C591" s="323"/>
      <c r="D591" s="323"/>
      <c r="E591" s="323"/>
      <c r="F591" s="323"/>
      <c r="G591" s="323"/>
      <c r="H591" s="323"/>
      <c r="I591" s="323"/>
      <c r="J591" s="323"/>
      <c r="K591" s="323"/>
      <c r="L591" s="323"/>
      <c r="M591" s="323"/>
      <c r="N591" s="323"/>
      <c r="O591" s="323"/>
      <c r="P591" s="323"/>
    </row>
    <row r="592" spans="1:16">
      <c r="A592" s="323"/>
      <c r="B592" s="323"/>
      <c r="C592" s="323"/>
      <c r="D592" s="323"/>
      <c r="E592" s="323"/>
      <c r="F592" s="323"/>
      <c r="G592" s="323"/>
      <c r="H592" s="323"/>
      <c r="I592" s="323"/>
      <c r="J592" s="323"/>
      <c r="K592" s="323"/>
      <c r="L592" s="323"/>
      <c r="M592" s="323"/>
      <c r="N592" s="323"/>
      <c r="O592" s="323"/>
      <c r="P592" s="323"/>
    </row>
    <row r="593" spans="1:16">
      <c r="A593" s="323"/>
      <c r="B593" s="323"/>
      <c r="C593" s="323"/>
      <c r="D593" s="323"/>
      <c r="E593" s="323"/>
      <c r="F593" s="323"/>
      <c r="G593" s="323"/>
      <c r="H593" s="323"/>
      <c r="I593" s="323"/>
      <c r="J593" s="323"/>
      <c r="K593" s="323"/>
      <c r="L593" s="323"/>
      <c r="M593" s="323"/>
      <c r="N593" s="323"/>
      <c r="O593" s="323"/>
      <c r="P593" s="323"/>
    </row>
    <row r="594" spans="1:16">
      <c r="A594" s="323"/>
      <c r="B594" s="323"/>
      <c r="C594" s="323"/>
      <c r="D594" s="323"/>
      <c r="E594" s="323"/>
      <c r="F594" s="323"/>
      <c r="G594" s="323"/>
      <c r="H594" s="323"/>
      <c r="I594" s="323"/>
      <c r="J594" s="323"/>
      <c r="K594" s="323"/>
      <c r="L594" s="323"/>
      <c r="M594" s="323"/>
      <c r="N594" s="323"/>
      <c r="O594" s="323"/>
      <c r="P594" s="323"/>
    </row>
    <row r="595" spans="1:16">
      <c r="A595" s="323"/>
      <c r="B595" s="323"/>
      <c r="C595" s="323"/>
      <c r="D595" s="323"/>
      <c r="E595" s="323"/>
      <c r="F595" s="323"/>
      <c r="G595" s="323"/>
      <c r="H595" s="323"/>
      <c r="I595" s="323"/>
      <c r="J595" s="323"/>
      <c r="K595" s="323"/>
      <c r="L595" s="323"/>
      <c r="M595" s="323"/>
      <c r="N595" s="323"/>
      <c r="O595" s="323"/>
      <c r="P595" s="323"/>
    </row>
    <row r="596" spans="1:16">
      <c r="A596" s="323"/>
      <c r="B596" s="323"/>
      <c r="C596" s="323"/>
      <c r="D596" s="323"/>
      <c r="E596" s="323"/>
      <c r="F596" s="323"/>
      <c r="G596" s="323"/>
      <c r="H596" s="323"/>
      <c r="I596" s="323"/>
      <c r="J596" s="323"/>
      <c r="K596" s="323"/>
      <c r="L596" s="323"/>
      <c r="M596" s="323"/>
      <c r="N596" s="323"/>
      <c r="O596" s="323"/>
      <c r="P596" s="323"/>
    </row>
    <row r="597" spans="1:16">
      <c r="A597" s="323"/>
      <c r="B597" s="323"/>
      <c r="C597" s="323"/>
      <c r="D597" s="323"/>
      <c r="E597" s="323"/>
      <c r="F597" s="323"/>
      <c r="G597" s="323"/>
      <c r="H597" s="323"/>
      <c r="I597" s="323"/>
      <c r="J597" s="323"/>
      <c r="K597" s="323"/>
      <c r="L597" s="323"/>
      <c r="M597" s="323"/>
      <c r="N597" s="323"/>
      <c r="O597" s="323"/>
      <c r="P597" s="323"/>
    </row>
    <row r="598" spans="1:16">
      <c r="A598" s="323"/>
      <c r="B598" s="323"/>
      <c r="C598" s="323"/>
      <c r="D598" s="323"/>
      <c r="E598" s="323"/>
      <c r="F598" s="323"/>
      <c r="G598" s="323"/>
      <c r="H598" s="323"/>
      <c r="I598" s="323"/>
      <c r="J598" s="323"/>
      <c r="K598" s="323"/>
      <c r="L598" s="323"/>
      <c r="M598" s="323"/>
      <c r="N598" s="323"/>
      <c r="O598" s="323"/>
      <c r="P598" s="323"/>
    </row>
    <row r="599" spans="1:16">
      <c r="A599" s="323"/>
      <c r="B599" s="323"/>
      <c r="C599" s="323"/>
      <c r="D599" s="323"/>
      <c r="E599" s="323"/>
      <c r="F599" s="323"/>
      <c r="G599" s="323"/>
      <c r="H599" s="323"/>
      <c r="I599" s="323"/>
      <c r="J599" s="323"/>
      <c r="K599" s="323"/>
      <c r="L599" s="323"/>
      <c r="M599" s="323"/>
      <c r="N599" s="323"/>
      <c r="O599" s="323"/>
      <c r="P599" s="323"/>
    </row>
    <row r="600" spans="1:16">
      <c r="A600" s="323"/>
      <c r="B600" s="323"/>
      <c r="C600" s="323"/>
      <c r="D600" s="323"/>
      <c r="E600" s="323"/>
      <c r="F600" s="323"/>
      <c r="G600" s="323"/>
      <c r="H600" s="323"/>
      <c r="I600" s="323"/>
      <c r="J600" s="323"/>
      <c r="K600" s="323"/>
      <c r="L600" s="323"/>
      <c r="M600" s="323"/>
      <c r="N600" s="323"/>
      <c r="O600" s="323"/>
      <c r="P600" s="323"/>
    </row>
    <row r="601" spans="1:16">
      <c r="A601" s="323"/>
      <c r="B601" s="323"/>
      <c r="C601" s="323"/>
      <c r="D601" s="323"/>
      <c r="E601" s="323"/>
      <c r="F601" s="323"/>
      <c r="G601" s="323"/>
      <c r="H601" s="323"/>
      <c r="I601" s="323"/>
      <c r="J601" s="323"/>
      <c r="K601" s="323"/>
      <c r="L601" s="323"/>
      <c r="M601" s="323"/>
      <c r="N601" s="323"/>
      <c r="O601" s="323"/>
      <c r="P601" s="323"/>
    </row>
    <row r="602" spans="1:16">
      <c r="A602" s="323"/>
      <c r="B602" s="323"/>
      <c r="C602" s="323"/>
      <c r="D602" s="323"/>
      <c r="E602" s="323"/>
      <c r="F602" s="323"/>
      <c r="G602" s="323"/>
      <c r="H602" s="323"/>
      <c r="I602" s="323"/>
      <c r="J602" s="323"/>
      <c r="K602" s="323"/>
      <c r="L602" s="323"/>
      <c r="M602" s="323"/>
      <c r="N602" s="323"/>
      <c r="O602" s="323"/>
      <c r="P602" s="323"/>
    </row>
    <row r="603" spans="1:16">
      <c r="A603" s="323"/>
      <c r="B603" s="323"/>
      <c r="C603" s="323"/>
      <c r="D603" s="323"/>
      <c r="E603" s="323"/>
      <c r="F603" s="323"/>
      <c r="G603" s="323"/>
      <c r="H603" s="323"/>
      <c r="I603" s="323"/>
      <c r="J603" s="323"/>
      <c r="K603" s="323"/>
      <c r="L603" s="323"/>
      <c r="M603" s="323"/>
      <c r="N603" s="323"/>
      <c r="O603" s="323"/>
      <c r="P603" s="323"/>
    </row>
    <row r="604" spans="1:16">
      <c r="A604" s="323"/>
      <c r="B604" s="323"/>
      <c r="C604" s="323"/>
      <c r="D604" s="323"/>
      <c r="E604" s="323"/>
      <c r="F604" s="323"/>
      <c r="G604" s="323"/>
      <c r="H604" s="323"/>
      <c r="I604" s="323"/>
      <c r="J604" s="323"/>
      <c r="K604" s="323"/>
      <c r="L604" s="323"/>
      <c r="M604" s="323"/>
      <c r="N604" s="323"/>
      <c r="O604" s="323"/>
      <c r="P604" s="323"/>
    </row>
    <row r="605" spans="1:16">
      <c r="A605" s="323"/>
      <c r="B605" s="323"/>
      <c r="C605" s="323"/>
      <c r="D605" s="323"/>
      <c r="E605" s="323"/>
      <c r="F605" s="323"/>
      <c r="G605" s="323"/>
      <c r="H605" s="323"/>
      <c r="I605" s="323"/>
      <c r="J605" s="323"/>
      <c r="K605" s="323"/>
      <c r="L605" s="323"/>
      <c r="M605" s="323"/>
      <c r="N605" s="323"/>
      <c r="O605" s="323"/>
      <c r="P605" s="323"/>
    </row>
    <row r="606" spans="1:16">
      <c r="A606" s="323"/>
      <c r="B606" s="323"/>
      <c r="C606" s="323"/>
      <c r="D606" s="323"/>
      <c r="E606" s="323"/>
      <c r="F606" s="323"/>
      <c r="G606" s="323"/>
      <c r="H606" s="323"/>
      <c r="I606" s="323"/>
      <c r="J606" s="323"/>
      <c r="K606" s="323"/>
      <c r="L606" s="323"/>
      <c r="M606" s="323"/>
      <c r="N606" s="323"/>
      <c r="O606" s="323"/>
      <c r="P606" s="323"/>
    </row>
    <row r="607" spans="1:16">
      <c r="A607" s="323"/>
      <c r="B607" s="323"/>
      <c r="C607" s="323"/>
      <c r="D607" s="323"/>
      <c r="E607" s="323"/>
      <c r="F607" s="323"/>
      <c r="G607" s="323"/>
      <c r="H607" s="323"/>
      <c r="I607" s="323"/>
      <c r="J607" s="323"/>
      <c r="K607" s="323"/>
      <c r="L607" s="323"/>
      <c r="M607" s="323"/>
      <c r="N607" s="323"/>
      <c r="O607" s="323"/>
      <c r="P607" s="323"/>
    </row>
    <row r="608" spans="1:16">
      <c r="A608" s="323"/>
      <c r="B608" s="323"/>
      <c r="C608" s="323"/>
      <c r="D608" s="323"/>
      <c r="E608" s="323"/>
      <c r="F608" s="323"/>
      <c r="G608" s="323"/>
      <c r="H608" s="323"/>
      <c r="I608" s="323"/>
      <c r="J608" s="323"/>
      <c r="K608" s="323"/>
      <c r="L608" s="323"/>
      <c r="M608" s="323"/>
      <c r="N608" s="323"/>
      <c r="O608" s="323"/>
      <c r="P608" s="323"/>
    </row>
    <row r="609" spans="1:16">
      <c r="A609" s="323"/>
      <c r="B609" s="323"/>
      <c r="C609" s="323"/>
      <c r="D609" s="323"/>
      <c r="E609" s="323"/>
      <c r="F609" s="323"/>
      <c r="G609" s="323"/>
      <c r="H609" s="323"/>
      <c r="I609" s="323"/>
      <c r="J609" s="323"/>
      <c r="K609" s="323"/>
      <c r="L609" s="323"/>
      <c r="M609" s="323"/>
      <c r="N609" s="323"/>
      <c r="O609" s="323"/>
      <c r="P609" s="323"/>
    </row>
    <row r="610" spans="1:16">
      <c r="A610" s="323"/>
      <c r="B610" s="323"/>
      <c r="C610" s="323"/>
      <c r="D610" s="323"/>
      <c r="E610" s="323"/>
      <c r="F610" s="323"/>
      <c r="G610" s="323"/>
      <c r="H610" s="323"/>
      <c r="I610" s="323"/>
      <c r="J610" s="323"/>
      <c r="K610" s="323"/>
      <c r="L610" s="323"/>
      <c r="M610" s="323"/>
      <c r="N610" s="323"/>
      <c r="O610" s="323"/>
      <c r="P610" s="323"/>
    </row>
    <row r="611" spans="1:16">
      <c r="A611" s="323"/>
      <c r="B611" s="323"/>
      <c r="C611" s="323"/>
      <c r="D611" s="323"/>
      <c r="E611" s="323"/>
      <c r="F611" s="323"/>
      <c r="G611" s="323"/>
      <c r="H611" s="323"/>
      <c r="I611" s="323"/>
      <c r="J611" s="323"/>
      <c r="K611" s="323"/>
      <c r="L611" s="323"/>
      <c r="M611" s="323"/>
      <c r="N611" s="323"/>
      <c r="O611" s="323"/>
      <c r="P611" s="323"/>
    </row>
    <row r="612" spans="1:16">
      <c r="A612" s="323"/>
      <c r="B612" s="323"/>
      <c r="C612" s="323"/>
      <c r="D612" s="323"/>
      <c r="E612" s="323"/>
      <c r="F612" s="323"/>
      <c r="G612" s="323"/>
      <c r="H612" s="323"/>
      <c r="I612" s="323"/>
      <c r="J612" s="323"/>
      <c r="K612" s="323"/>
      <c r="L612" s="323"/>
      <c r="M612" s="323"/>
      <c r="N612" s="323"/>
      <c r="O612" s="323"/>
      <c r="P612" s="323"/>
    </row>
    <row r="613" spans="1:16">
      <c r="A613" s="323"/>
      <c r="B613" s="323"/>
      <c r="C613" s="323"/>
      <c r="D613" s="323"/>
      <c r="E613" s="323"/>
      <c r="F613" s="323"/>
      <c r="G613" s="323"/>
      <c r="H613" s="323"/>
      <c r="I613" s="323"/>
      <c r="J613" s="323"/>
      <c r="K613" s="323"/>
      <c r="L613" s="323"/>
      <c r="M613" s="323"/>
      <c r="N613" s="323"/>
      <c r="O613" s="323"/>
      <c r="P613" s="323"/>
    </row>
    <row r="614" spans="1:16">
      <c r="A614" s="323"/>
      <c r="B614" s="323"/>
      <c r="C614" s="323"/>
      <c r="D614" s="323"/>
      <c r="E614" s="323"/>
      <c r="F614" s="323"/>
      <c r="G614" s="323"/>
      <c r="H614" s="323"/>
      <c r="I614" s="323"/>
      <c r="J614" s="323"/>
      <c r="K614" s="323"/>
      <c r="L614" s="323"/>
      <c r="M614" s="323"/>
      <c r="N614" s="323"/>
      <c r="O614" s="323"/>
      <c r="P614" s="323"/>
    </row>
    <row r="615" spans="1:16">
      <c r="A615" s="323"/>
      <c r="B615" s="323"/>
      <c r="C615" s="323"/>
      <c r="D615" s="323"/>
      <c r="E615" s="323"/>
      <c r="F615" s="323"/>
      <c r="G615" s="323"/>
      <c r="H615" s="323"/>
      <c r="I615" s="323"/>
      <c r="J615" s="323"/>
      <c r="K615" s="323"/>
      <c r="L615" s="323"/>
      <c r="M615" s="323"/>
      <c r="N615" s="323"/>
      <c r="O615" s="323"/>
      <c r="P615" s="323"/>
    </row>
    <row r="616" spans="1:16">
      <c r="A616" s="323"/>
      <c r="B616" s="323"/>
      <c r="C616" s="323"/>
      <c r="D616" s="323"/>
      <c r="E616" s="323"/>
      <c r="F616" s="323"/>
      <c r="G616" s="323"/>
      <c r="H616" s="323"/>
      <c r="I616" s="323"/>
      <c r="J616" s="323"/>
      <c r="K616" s="323"/>
      <c r="L616" s="323"/>
      <c r="M616" s="323"/>
      <c r="N616" s="323"/>
      <c r="O616" s="323"/>
      <c r="P616" s="323"/>
    </row>
    <row r="617" spans="1:16">
      <c r="A617" s="323"/>
      <c r="B617" s="323"/>
      <c r="C617" s="323"/>
      <c r="D617" s="323"/>
      <c r="E617" s="323"/>
      <c r="F617" s="323"/>
      <c r="G617" s="323"/>
      <c r="H617" s="323"/>
      <c r="I617" s="323"/>
      <c r="J617" s="323"/>
      <c r="K617" s="323"/>
      <c r="L617" s="323"/>
      <c r="M617" s="323"/>
      <c r="N617" s="323"/>
      <c r="O617" s="323"/>
      <c r="P617" s="323"/>
    </row>
    <row r="618" spans="1:16">
      <c r="A618" s="323"/>
      <c r="B618" s="323"/>
      <c r="C618" s="323"/>
      <c r="D618" s="323"/>
      <c r="E618" s="323"/>
      <c r="F618" s="323"/>
      <c r="G618" s="323"/>
      <c r="H618" s="323"/>
      <c r="I618" s="323"/>
      <c r="J618" s="323"/>
      <c r="K618" s="323"/>
      <c r="L618" s="323"/>
      <c r="M618" s="323"/>
      <c r="N618" s="323"/>
      <c r="O618" s="323"/>
      <c r="P618" s="323"/>
    </row>
    <row r="619" spans="1:16">
      <c r="A619" s="323"/>
      <c r="B619" s="323"/>
      <c r="C619" s="323"/>
      <c r="D619" s="323"/>
      <c r="E619" s="323"/>
      <c r="F619" s="323"/>
      <c r="G619" s="323"/>
      <c r="H619" s="323"/>
      <c r="I619" s="323"/>
      <c r="J619" s="323"/>
      <c r="K619" s="323"/>
      <c r="L619" s="323"/>
      <c r="M619" s="323"/>
      <c r="N619" s="323"/>
      <c r="O619" s="323"/>
      <c r="P619" s="323"/>
    </row>
    <row r="620" spans="1:16">
      <c r="A620" s="323"/>
      <c r="B620" s="323"/>
      <c r="C620" s="323"/>
      <c r="D620" s="323"/>
      <c r="E620" s="323"/>
      <c r="F620" s="323"/>
      <c r="G620" s="323"/>
      <c r="H620" s="323"/>
      <c r="I620" s="323"/>
      <c r="J620" s="323"/>
      <c r="K620" s="323"/>
      <c r="L620" s="323"/>
      <c r="M620" s="323"/>
      <c r="N620" s="323"/>
      <c r="O620" s="323"/>
      <c r="P620" s="323"/>
    </row>
    <row r="621" spans="1:16">
      <c r="A621" s="323"/>
      <c r="B621" s="323"/>
      <c r="C621" s="323"/>
      <c r="D621" s="323"/>
      <c r="E621" s="323"/>
      <c r="F621" s="323"/>
      <c r="G621" s="323"/>
      <c r="H621" s="323"/>
      <c r="I621" s="323"/>
      <c r="J621" s="323"/>
      <c r="K621" s="323"/>
      <c r="L621" s="323"/>
      <c r="M621" s="323"/>
      <c r="N621" s="323"/>
      <c r="O621" s="323"/>
      <c r="P621" s="323"/>
    </row>
    <row r="622" spans="1:16">
      <c r="A622" s="323"/>
      <c r="B622" s="323"/>
      <c r="C622" s="323"/>
      <c r="D622" s="323"/>
      <c r="E622" s="323"/>
      <c r="F622" s="323"/>
      <c r="G622" s="323"/>
      <c r="H622" s="323"/>
      <c r="I622" s="323"/>
      <c r="J622" s="323"/>
      <c r="K622" s="323"/>
      <c r="L622" s="323"/>
      <c r="M622" s="323"/>
      <c r="N622" s="323"/>
      <c r="O622" s="323"/>
      <c r="P622" s="323"/>
    </row>
    <row r="623" spans="1:16">
      <c r="A623" s="323"/>
      <c r="B623" s="323"/>
      <c r="C623" s="323"/>
      <c r="D623" s="323"/>
      <c r="E623" s="323"/>
      <c r="F623" s="323"/>
      <c r="G623" s="323"/>
      <c r="H623" s="323"/>
      <c r="I623" s="323"/>
      <c r="J623" s="323"/>
      <c r="K623" s="323"/>
      <c r="L623" s="323"/>
      <c r="M623" s="323"/>
      <c r="N623" s="323"/>
      <c r="O623" s="323"/>
      <c r="P623" s="323"/>
    </row>
    <row r="624" spans="1:16">
      <c r="A624" s="323"/>
      <c r="B624" s="323"/>
      <c r="C624" s="323"/>
      <c r="D624" s="323"/>
      <c r="E624" s="323"/>
      <c r="F624" s="323"/>
      <c r="G624" s="323"/>
      <c r="H624" s="323"/>
      <c r="I624" s="323"/>
      <c r="J624" s="323"/>
      <c r="K624" s="323"/>
      <c r="L624" s="323"/>
      <c r="M624" s="323"/>
      <c r="N624" s="323"/>
      <c r="O624" s="323"/>
      <c r="P624" s="323"/>
    </row>
    <row r="625" spans="1:16">
      <c r="A625" s="323"/>
      <c r="B625" s="323"/>
      <c r="C625" s="323"/>
      <c r="D625" s="323"/>
      <c r="E625" s="323"/>
      <c r="F625" s="323"/>
      <c r="G625" s="323"/>
      <c r="H625" s="323"/>
      <c r="I625" s="323"/>
      <c r="J625" s="323"/>
      <c r="K625" s="323"/>
      <c r="L625" s="323"/>
      <c r="M625" s="323"/>
      <c r="N625" s="323"/>
      <c r="O625" s="323"/>
      <c r="P625" s="323"/>
    </row>
    <row r="626" spans="1:16">
      <c r="A626" s="323"/>
      <c r="B626" s="323"/>
      <c r="C626" s="323"/>
      <c r="D626" s="323"/>
      <c r="E626" s="323"/>
      <c r="F626" s="323"/>
      <c r="G626" s="323"/>
      <c r="H626" s="323"/>
      <c r="I626" s="323"/>
      <c r="J626" s="323"/>
      <c r="K626" s="323"/>
      <c r="L626" s="323"/>
      <c r="M626" s="323"/>
      <c r="N626" s="323"/>
      <c r="O626" s="323"/>
      <c r="P626" s="323"/>
    </row>
    <row r="627" spans="1:16">
      <c r="A627" s="323"/>
      <c r="B627" s="323"/>
      <c r="C627" s="323"/>
      <c r="D627" s="323"/>
      <c r="E627" s="323"/>
      <c r="F627" s="323"/>
      <c r="G627" s="323"/>
      <c r="H627" s="323"/>
      <c r="I627" s="323"/>
      <c r="J627" s="323"/>
      <c r="K627" s="323"/>
      <c r="L627" s="323"/>
      <c r="M627" s="323"/>
      <c r="N627" s="323"/>
      <c r="O627" s="323"/>
      <c r="P627" s="323"/>
    </row>
    <row r="628" spans="1:16">
      <c r="A628" s="323"/>
      <c r="B628" s="323"/>
      <c r="C628" s="323"/>
      <c r="D628" s="323"/>
      <c r="E628" s="323"/>
      <c r="F628" s="323"/>
      <c r="G628" s="323"/>
      <c r="H628" s="323"/>
      <c r="I628" s="323"/>
      <c r="J628" s="323"/>
      <c r="K628" s="323"/>
      <c r="L628" s="323"/>
      <c r="M628" s="323"/>
      <c r="N628" s="323"/>
      <c r="O628" s="323"/>
      <c r="P628" s="323"/>
    </row>
    <row r="629" spans="1:16">
      <c r="A629" s="323"/>
      <c r="B629" s="323"/>
      <c r="C629" s="323"/>
      <c r="D629" s="323"/>
      <c r="E629" s="323"/>
      <c r="F629" s="323"/>
      <c r="G629" s="323"/>
      <c r="H629" s="323"/>
      <c r="I629" s="323"/>
      <c r="J629" s="323"/>
      <c r="K629" s="323"/>
      <c r="L629" s="323"/>
      <c r="M629" s="323"/>
      <c r="N629" s="323"/>
      <c r="O629" s="323"/>
      <c r="P629" s="323"/>
    </row>
    <row r="630" spans="1:16">
      <c r="A630" s="323"/>
      <c r="B630" s="323"/>
      <c r="C630" s="323"/>
      <c r="D630" s="323"/>
      <c r="E630" s="323"/>
      <c r="F630" s="323"/>
      <c r="G630" s="323"/>
      <c r="H630" s="323"/>
      <c r="I630" s="323"/>
      <c r="J630" s="323"/>
      <c r="K630" s="323"/>
      <c r="L630" s="323"/>
      <c r="M630" s="323"/>
      <c r="N630" s="323"/>
      <c r="O630" s="323"/>
      <c r="P630" s="323"/>
    </row>
    <row r="631" spans="1:16">
      <c r="A631" s="323"/>
      <c r="B631" s="323"/>
      <c r="C631" s="323"/>
      <c r="D631" s="323"/>
      <c r="E631" s="323"/>
      <c r="F631" s="323"/>
      <c r="G631" s="323"/>
      <c r="H631" s="323"/>
      <c r="I631" s="323"/>
      <c r="J631" s="323"/>
      <c r="K631" s="323"/>
      <c r="L631" s="323"/>
      <c r="M631" s="323"/>
      <c r="N631" s="323"/>
      <c r="O631" s="323"/>
      <c r="P631" s="323"/>
    </row>
    <row r="632" spans="1:16">
      <c r="A632" s="323"/>
      <c r="B632" s="323"/>
      <c r="C632" s="323"/>
      <c r="D632" s="323"/>
      <c r="E632" s="323"/>
      <c r="F632" s="323"/>
      <c r="G632" s="323"/>
      <c r="H632" s="323"/>
      <c r="I632" s="323"/>
      <c r="J632" s="323"/>
      <c r="K632" s="323"/>
      <c r="L632" s="323"/>
      <c r="M632" s="323"/>
      <c r="N632" s="323"/>
      <c r="O632" s="323"/>
      <c r="P632" s="323"/>
    </row>
    <row r="633" spans="1:16">
      <c r="A633" s="323"/>
      <c r="B633" s="323"/>
      <c r="C633" s="323"/>
      <c r="D633" s="323"/>
      <c r="E633" s="323"/>
      <c r="F633" s="323"/>
      <c r="G633" s="323"/>
      <c r="H633" s="323"/>
      <c r="I633" s="323"/>
      <c r="J633" s="323"/>
      <c r="K633" s="323"/>
      <c r="L633" s="323"/>
      <c r="M633" s="323"/>
      <c r="N633" s="323"/>
      <c r="O633" s="323"/>
      <c r="P633" s="323"/>
    </row>
    <row r="634" spans="1:16">
      <c r="A634" s="323"/>
      <c r="B634" s="323"/>
      <c r="C634" s="323"/>
      <c r="D634" s="323"/>
      <c r="E634" s="323"/>
      <c r="F634" s="323"/>
      <c r="G634" s="323"/>
      <c r="H634" s="323"/>
      <c r="I634" s="323"/>
      <c r="J634" s="323"/>
      <c r="K634" s="323"/>
      <c r="L634" s="323"/>
      <c r="M634" s="323"/>
      <c r="N634" s="323"/>
      <c r="O634" s="323"/>
      <c r="P634" s="323"/>
    </row>
    <row r="635" spans="1:16">
      <c r="A635" s="323"/>
      <c r="B635" s="323"/>
      <c r="C635" s="323"/>
      <c r="D635" s="323"/>
      <c r="E635" s="323"/>
      <c r="F635" s="323"/>
      <c r="G635" s="323"/>
      <c r="H635" s="323"/>
      <c r="I635" s="323"/>
      <c r="J635" s="323"/>
      <c r="K635" s="323"/>
      <c r="L635" s="323"/>
      <c r="M635" s="323"/>
      <c r="N635" s="323"/>
      <c r="O635" s="323"/>
      <c r="P635" s="323"/>
    </row>
    <row r="636" spans="1:16">
      <c r="A636" s="323"/>
      <c r="B636" s="323"/>
      <c r="C636" s="323"/>
      <c r="D636" s="323"/>
      <c r="E636" s="323"/>
      <c r="F636" s="323"/>
      <c r="G636" s="323"/>
      <c r="H636" s="323"/>
      <c r="I636" s="323"/>
      <c r="J636" s="323"/>
      <c r="K636" s="323"/>
      <c r="L636" s="323"/>
      <c r="M636" s="323"/>
      <c r="N636" s="323"/>
      <c r="O636" s="323"/>
      <c r="P636" s="323"/>
    </row>
    <row r="637" spans="1:16">
      <c r="A637" s="323"/>
      <c r="B637" s="323"/>
      <c r="C637" s="323"/>
      <c r="D637" s="323"/>
      <c r="E637" s="323"/>
      <c r="F637" s="323"/>
      <c r="G637" s="323"/>
      <c r="H637" s="323"/>
      <c r="I637" s="323"/>
      <c r="J637" s="323"/>
      <c r="K637" s="323"/>
      <c r="L637" s="323"/>
      <c r="M637" s="323"/>
      <c r="N637" s="323"/>
      <c r="O637" s="323"/>
      <c r="P637" s="323"/>
    </row>
    <row r="638" spans="1:16">
      <c r="A638" s="323"/>
      <c r="B638" s="323"/>
      <c r="C638" s="323"/>
      <c r="D638" s="323"/>
      <c r="E638" s="323"/>
      <c r="F638" s="323"/>
      <c r="G638" s="323"/>
      <c r="H638" s="323"/>
      <c r="I638" s="323"/>
      <c r="J638" s="323"/>
      <c r="K638" s="323"/>
      <c r="L638" s="323"/>
      <c r="M638" s="323"/>
      <c r="N638" s="323"/>
      <c r="O638" s="323"/>
      <c r="P638" s="323"/>
    </row>
    <row r="639" spans="1:16">
      <c r="A639" s="323"/>
      <c r="B639" s="323"/>
      <c r="C639" s="323"/>
      <c r="D639" s="323"/>
      <c r="E639" s="323"/>
      <c r="F639" s="323"/>
      <c r="G639" s="323"/>
      <c r="H639" s="323"/>
      <c r="I639" s="323"/>
      <c r="J639" s="323"/>
      <c r="K639" s="323"/>
      <c r="L639" s="323"/>
      <c r="M639" s="323"/>
      <c r="N639" s="323"/>
      <c r="O639" s="323"/>
      <c r="P639" s="323"/>
    </row>
    <row r="640" spans="1:16">
      <c r="A640" s="323"/>
      <c r="B640" s="323"/>
      <c r="C640" s="323"/>
      <c r="D640" s="323"/>
      <c r="E640" s="323"/>
      <c r="F640" s="323"/>
      <c r="G640" s="323"/>
      <c r="H640" s="323"/>
      <c r="I640" s="323"/>
      <c r="J640" s="323"/>
      <c r="K640" s="323"/>
      <c r="L640" s="323"/>
      <c r="M640" s="323"/>
      <c r="N640" s="323"/>
      <c r="O640" s="323"/>
      <c r="P640" s="323"/>
    </row>
    <row r="641" spans="1:16">
      <c r="A641" s="323"/>
      <c r="B641" s="323"/>
      <c r="C641" s="323"/>
      <c r="D641" s="323"/>
      <c r="E641" s="323"/>
      <c r="F641" s="323"/>
      <c r="G641" s="323"/>
      <c r="H641" s="323"/>
      <c r="I641" s="323"/>
      <c r="J641" s="323"/>
      <c r="K641" s="323"/>
      <c r="L641" s="323"/>
      <c r="M641" s="323"/>
      <c r="N641" s="323"/>
      <c r="O641" s="323"/>
      <c r="P641" s="323"/>
    </row>
    <row r="642" spans="1:16">
      <c r="A642" s="323"/>
      <c r="B642" s="323"/>
      <c r="C642" s="323"/>
      <c r="D642" s="323"/>
      <c r="E642" s="323"/>
      <c r="F642" s="323"/>
      <c r="G642" s="323"/>
      <c r="H642" s="323"/>
      <c r="I642" s="323"/>
      <c r="J642" s="323"/>
      <c r="K642" s="323"/>
      <c r="L642" s="323"/>
      <c r="M642" s="323"/>
      <c r="N642" s="323"/>
      <c r="O642" s="323"/>
      <c r="P642" s="323"/>
    </row>
    <row r="643" spans="1:16">
      <c r="A643" s="323"/>
      <c r="B643" s="323"/>
      <c r="C643" s="323"/>
      <c r="D643" s="323"/>
      <c r="E643" s="323"/>
      <c r="F643" s="323"/>
      <c r="G643" s="323"/>
      <c r="H643" s="323"/>
      <c r="I643" s="323"/>
      <c r="J643" s="323"/>
      <c r="K643" s="323"/>
      <c r="L643" s="323"/>
      <c r="M643" s="323"/>
      <c r="N643" s="323"/>
      <c r="O643" s="323"/>
      <c r="P643" s="323"/>
    </row>
    <row r="644" spans="1:16">
      <c r="A644" s="323"/>
      <c r="B644" s="323"/>
      <c r="C644" s="323"/>
      <c r="D644" s="323"/>
      <c r="E644" s="323"/>
      <c r="F644" s="323"/>
      <c r="G644" s="323"/>
      <c r="H644" s="323"/>
      <c r="I644" s="323"/>
      <c r="J644" s="323"/>
      <c r="K644" s="323"/>
      <c r="L644" s="323"/>
      <c r="M644" s="323"/>
      <c r="N644" s="323"/>
      <c r="O644" s="323"/>
      <c r="P644" s="323"/>
    </row>
    <row r="645" spans="1:16">
      <c r="A645" s="323"/>
      <c r="B645" s="323"/>
      <c r="C645" s="323"/>
      <c r="D645" s="323"/>
      <c r="E645" s="323"/>
      <c r="F645" s="323"/>
      <c r="G645" s="323"/>
      <c r="H645" s="323"/>
      <c r="I645" s="323"/>
      <c r="J645" s="323"/>
      <c r="K645" s="323"/>
      <c r="L645" s="323"/>
      <c r="M645" s="323"/>
      <c r="N645" s="323"/>
      <c r="O645" s="323"/>
      <c r="P645" s="323"/>
    </row>
    <row r="646" spans="1:16">
      <c r="A646" s="323"/>
      <c r="B646" s="323"/>
      <c r="C646" s="323"/>
      <c r="D646" s="323"/>
      <c r="E646" s="323"/>
      <c r="F646" s="323"/>
      <c r="G646" s="323"/>
      <c r="H646" s="323"/>
      <c r="I646" s="323"/>
      <c r="J646" s="323"/>
      <c r="K646" s="323"/>
      <c r="L646" s="323"/>
      <c r="M646" s="323"/>
      <c r="N646" s="323"/>
      <c r="O646" s="323"/>
      <c r="P646" s="323"/>
    </row>
    <row r="647" spans="1:16">
      <c r="A647" s="323"/>
      <c r="B647" s="323"/>
      <c r="C647" s="323"/>
      <c r="D647" s="323"/>
      <c r="E647" s="323"/>
      <c r="F647" s="323"/>
      <c r="G647" s="323"/>
      <c r="H647" s="323"/>
      <c r="I647" s="323"/>
      <c r="J647" s="323"/>
      <c r="K647" s="323"/>
      <c r="L647" s="323"/>
      <c r="M647" s="323"/>
      <c r="N647" s="323"/>
      <c r="O647" s="323"/>
      <c r="P647" s="323"/>
    </row>
    <row r="648" spans="1:16">
      <c r="A648" s="323"/>
      <c r="B648" s="323"/>
      <c r="C648" s="323"/>
      <c r="D648" s="323"/>
      <c r="E648" s="323"/>
      <c r="F648" s="323"/>
      <c r="G648" s="323"/>
      <c r="H648" s="323"/>
      <c r="I648" s="323"/>
      <c r="J648" s="323"/>
      <c r="K648" s="323"/>
      <c r="L648" s="323"/>
      <c r="M648" s="323"/>
      <c r="N648" s="323"/>
      <c r="O648" s="323"/>
      <c r="P648" s="323"/>
    </row>
    <row r="649" spans="1:16">
      <c r="A649" s="323"/>
      <c r="B649" s="323"/>
      <c r="C649" s="323"/>
      <c r="D649" s="323"/>
      <c r="E649" s="323"/>
      <c r="F649" s="323"/>
      <c r="G649" s="323"/>
      <c r="H649" s="323"/>
      <c r="I649" s="323"/>
      <c r="J649" s="323"/>
      <c r="K649" s="323"/>
      <c r="L649" s="323"/>
      <c r="M649" s="323"/>
      <c r="N649" s="323"/>
      <c r="O649" s="323"/>
      <c r="P649" s="323"/>
    </row>
    <row r="650" spans="1:16">
      <c r="A650" s="323"/>
      <c r="B650" s="323"/>
      <c r="C650" s="323"/>
      <c r="D650" s="323"/>
      <c r="E650" s="323"/>
      <c r="F650" s="323"/>
      <c r="G650" s="323"/>
      <c r="H650" s="323"/>
      <c r="I650" s="323"/>
      <c r="J650" s="323"/>
      <c r="K650" s="323"/>
      <c r="L650" s="323"/>
      <c r="M650" s="323"/>
      <c r="N650" s="323"/>
      <c r="O650" s="323"/>
      <c r="P650" s="323"/>
    </row>
    <row r="651" spans="1:16">
      <c r="A651" s="323"/>
      <c r="B651" s="323"/>
      <c r="C651" s="323"/>
      <c r="D651" s="323"/>
      <c r="E651" s="323"/>
      <c r="F651" s="323"/>
      <c r="G651" s="323"/>
      <c r="H651" s="323"/>
      <c r="I651" s="323"/>
      <c r="J651" s="323"/>
      <c r="K651" s="323"/>
      <c r="L651" s="323"/>
      <c r="M651" s="323"/>
      <c r="N651" s="323"/>
      <c r="O651" s="323"/>
      <c r="P651" s="323"/>
    </row>
    <row r="652" spans="1:16">
      <c r="A652" s="323"/>
      <c r="B652" s="323"/>
      <c r="C652" s="323"/>
      <c r="D652" s="323"/>
      <c r="E652" s="323"/>
      <c r="F652" s="323"/>
      <c r="G652" s="323"/>
      <c r="H652" s="323"/>
      <c r="I652" s="323"/>
      <c r="J652" s="323"/>
      <c r="K652" s="323"/>
      <c r="L652" s="323"/>
      <c r="M652" s="323"/>
      <c r="N652" s="323"/>
      <c r="O652" s="323"/>
      <c r="P652" s="323"/>
    </row>
    <row r="653" spans="1:16">
      <c r="A653" s="323"/>
      <c r="B653" s="323"/>
      <c r="C653" s="323"/>
      <c r="D653" s="323"/>
      <c r="E653" s="323"/>
      <c r="F653" s="323"/>
      <c r="G653" s="323"/>
      <c r="H653" s="323"/>
      <c r="I653" s="323"/>
      <c r="J653" s="323"/>
      <c r="K653" s="323"/>
      <c r="L653" s="323"/>
      <c r="M653" s="323"/>
      <c r="N653" s="323"/>
      <c r="O653" s="323"/>
      <c r="P653" s="323"/>
    </row>
    <row r="654" spans="1:16">
      <c r="A654" s="323"/>
      <c r="B654" s="323"/>
      <c r="C654" s="323"/>
      <c r="D654" s="323"/>
      <c r="E654" s="323"/>
      <c r="F654" s="323"/>
      <c r="G654" s="323"/>
      <c r="H654" s="323"/>
      <c r="I654" s="323"/>
      <c r="J654" s="323"/>
      <c r="K654" s="323"/>
      <c r="L654" s="323"/>
      <c r="M654" s="323"/>
      <c r="N654" s="323"/>
      <c r="O654" s="323"/>
      <c r="P654" s="323"/>
    </row>
    <row r="655" spans="1:16">
      <c r="A655" s="323"/>
      <c r="B655" s="323"/>
      <c r="C655" s="323"/>
      <c r="D655" s="323"/>
      <c r="E655" s="323"/>
      <c r="F655" s="323"/>
      <c r="G655" s="323"/>
      <c r="H655" s="323"/>
      <c r="I655" s="323"/>
      <c r="J655" s="323"/>
      <c r="K655" s="323"/>
      <c r="L655" s="323"/>
      <c r="M655" s="323"/>
      <c r="N655" s="323"/>
      <c r="O655" s="323"/>
      <c r="P655" s="323"/>
    </row>
    <row r="656" spans="1:16">
      <c r="A656" s="323"/>
      <c r="B656" s="323"/>
      <c r="C656" s="323"/>
      <c r="D656" s="323"/>
      <c r="E656" s="323"/>
      <c r="F656" s="323"/>
      <c r="G656" s="323"/>
      <c r="H656" s="323"/>
      <c r="I656" s="323"/>
      <c r="J656" s="323"/>
      <c r="K656" s="323"/>
      <c r="L656" s="323"/>
      <c r="M656" s="323"/>
      <c r="N656" s="323"/>
      <c r="O656" s="323"/>
      <c r="P656" s="323"/>
    </row>
    <row r="657" spans="1:16">
      <c r="A657" s="323"/>
      <c r="B657" s="323"/>
      <c r="C657" s="323"/>
      <c r="D657" s="323"/>
      <c r="E657" s="323"/>
      <c r="F657" s="323"/>
      <c r="G657" s="323"/>
      <c r="H657" s="323"/>
      <c r="I657" s="323"/>
      <c r="J657" s="323"/>
      <c r="K657" s="323"/>
      <c r="L657" s="323"/>
      <c r="M657" s="323"/>
      <c r="N657" s="323"/>
      <c r="O657" s="323"/>
      <c r="P657" s="323"/>
    </row>
    <row r="658" spans="1:16">
      <c r="A658" s="323"/>
      <c r="B658" s="323"/>
      <c r="C658" s="323"/>
      <c r="D658" s="323"/>
      <c r="E658" s="323"/>
      <c r="F658" s="323"/>
      <c r="G658" s="323"/>
      <c r="H658" s="323"/>
      <c r="I658" s="323"/>
      <c r="J658" s="323"/>
      <c r="K658" s="323"/>
      <c r="L658" s="323"/>
      <c r="M658" s="323"/>
      <c r="N658" s="323"/>
      <c r="O658" s="323"/>
      <c r="P658" s="323"/>
    </row>
    <row r="659" spans="1:16">
      <c r="A659" s="323"/>
      <c r="B659" s="323"/>
      <c r="C659" s="323"/>
      <c r="D659" s="323"/>
      <c r="E659" s="323"/>
      <c r="F659" s="323"/>
      <c r="G659" s="323"/>
      <c r="H659" s="323"/>
      <c r="I659" s="323"/>
      <c r="J659" s="323"/>
      <c r="K659" s="323"/>
      <c r="L659" s="323"/>
      <c r="M659" s="323"/>
      <c r="N659" s="323"/>
      <c r="O659" s="323"/>
      <c r="P659" s="323"/>
    </row>
    <row r="660" spans="1:16">
      <c r="A660" s="323"/>
      <c r="B660" s="323"/>
      <c r="C660" s="323"/>
      <c r="D660" s="323"/>
      <c r="E660" s="323"/>
      <c r="F660" s="323"/>
      <c r="G660" s="323"/>
      <c r="H660" s="323"/>
      <c r="I660" s="323"/>
      <c r="J660" s="323"/>
      <c r="K660" s="323"/>
      <c r="L660" s="323"/>
      <c r="M660" s="323"/>
      <c r="N660" s="323"/>
      <c r="O660" s="323"/>
      <c r="P660" s="323"/>
    </row>
    <row r="661" spans="1:16">
      <c r="A661" s="323"/>
      <c r="B661" s="323"/>
      <c r="C661" s="323"/>
      <c r="D661" s="323"/>
      <c r="E661" s="323"/>
      <c r="F661" s="323"/>
      <c r="G661" s="323"/>
      <c r="H661" s="323"/>
      <c r="I661" s="323"/>
      <c r="J661" s="323"/>
      <c r="K661" s="323"/>
      <c r="L661" s="323"/>
      <c r="M661" s="323"/>
      <c r="N661" s="323"/>
      <c r="O661" s="323"/>
      <c r="P661" s="323"/>
    </row>
    <row r="662" spans="1:16">
      <c r="A662" s="323"/>
      <c r="B662" s="323"/>
      <c r="C662" s="323"/>
      <c r="D662" s="323"/>
      <c r="E662" s="323"/>
      <c r="F662" s="323"/>
      <c r="G662" s="323"/>
      <c r="H662" s="323"/>
      <c r="I662" s="323"/>
      <c r="J662" s="323"/>
      <c r="K662" s="323"/>
      <c r="L662" s="323"/>
      <c r="M662" s="323"/>
      <c r="N662" s="323"/>
      <c r="O662" s="323"/>
      <c r="P662" s="323"/>
    </row>
    <row r="663" spans="1:16">
      <c r="A663" s="323"/>
      <c r="B663" s="323"/>
      <c r="C663" s="323"/>
      <c r="D663" s="323"/>
      <c r="E663" s="323"/>
      <c r="F663" s="323"/>
      <c r="G663" s="323"/>
      <c r="H663" s="323"/>
      <c r="I663" s="323"/>
      <c r="J663" s="323"/>
      <c r="K663" s="323"/>
      <c r="L663" s="323"/>
      <c r="M663" s="323"/>
      <c r="N663" s="323"/>
      <c r="O663" s="323"/>
      <c r="P663" s="323"/>
    </row>
    <row r="664" spans="1:16">
      <c r="A664" s="323"/>
      <c r="B664" s="323"/>
      <c r="C664" s="323"/>
      <c r="D664" s="323"/>
      <c r="E664" s="323"/>
      <c r="F664" s="323"/>
      <c r="G664" s="323"/>
      <c r="H664" s="323"/>
      <c r="I664" s="323"/>
      <c r="J664" s="323"/>
      <c r="K664" s="323"/>
      <c r="L664" s="323"/>
      <c r="M664" s="323"/>
      <c r="N664" s="323"/>
      <c r="O664" s="323"/>
      <c r="P664" s="323"/>
    </row>
    <row r="665" spans="1:16">
      <c r="A665" s="323"/>
      <c r="B665" s="323"/>
      <c r="C665" s="323"/>
      <c r="D665" s="323"/>
      <c r="E665" s="323"/>
      <c r="F665" s="323"/>
      <c r="G665" s="323"/>
      <c r="H665" s="323"/>
      <c r="I665" s="323"/>
      <c r="J665" s="323"/>
      <c r="K665" s="323"/>
      <c r="L665" s="323"/>
      <c r="M665" s="323"/>
      <c r="N665" s="323"/>
      <c r="O665" s="323"/>
      <c r="P665" s="323"/>
    </row>
    <row r="666" spans="1:16">
      <c r="A666" s="323"/>
      <c r="B666" s="323"/>
      <c r="C666" s="323"/>
      <c r="D666" s="323"/>
      <c r="E666" s="323"/>
      <c r="F666" s="323"/>
      <c r="G666" s="323"/>
      <c r="H666" s="323"/>
      <c r="I666" s="323"/>
      <c r="J666" s="323"/>
      <c r="K666" s="323"/>
      <c r="L666" s="323"/>
      <c r="M666" s="323"/>
      <c r="N666" s="323"/>
      <c r="O666" s="323"/>
      <c r="P666" s="323"/>
    </row>
    <row r="667" spans="1:16">
      <c r="A667" s="323"/>
      <c r="B667" s="323"/>
      <c r="C667" s="323"/>
      <c r="D667" s="323"/>
      <c r="E667" s="323"/>
      <c r="F667" s="323"/>
      <c r="G667" s="323"/>
      <c r="H667" s="323"/>
      <c r="I667" s="323"/>
      <c r="J667" s="323"/>
      <c r="K667" s="323"/>
      <c r="L667" s="323"/>
      <c r="M667" s="323"/>
      <c r="N667" s="323"/>
      <c r="O667" s="323"/>
      <c r="P667" s="323"/>
    </row>
    <row r="668" spans="1:16">
      <c r="A668" s="323"/>
      <c r="B668" s="323"/>
      <c r="C668" s="323"/>
      <c r="D668" s="323"/>
      <c r="E668" s="323"/>
      <c r="F668" s="323"/>
      <c r="G668" s="323"/>
      <c r="H668" s="323"/>
      <c r="I668" s="323"/>
      <c r="J668" s="323"/>
      <c r="K668" s="323"/>
      <c r="L668" s="323"/>
      <c r="M668" s="323"/>
      <c r="N668" s="323"/>
      <c r="O668" s="323"/>
      <c r="P668" s="323"/>
    </row>
    <row r="669" spans="1:16">
      <c r="A669" s="323"/>
      <c r="B669" s="323"/>
      <c r="C669" s="323"/>
      <c r="D669" s="323"/>
      <c r="E669" s="323"/>
      <c r="F669" s="323"/>
      <c r="G669" s="323"/>
      <c r="H669" s="323"/>
      <c r="I669" s="323"/>
      <c r="J669" s="323"/>
      <c r="K669" s="323"/>
      <c r="L669" s="323"/>
      <c r="M669" s="323"/>
      <c r="N669" s="323"/>
      <c r="O669" s="323"/>
      <c r="P669" s="323"/>
    </row>
    <row r="670" spans="1:16">
      <c r="A670" s="323"/>
      <c r="B670" s="323"/>
      <c r="C670" s="323"/>
      <c r="D670" s="323"/>
      <c r="E670" s="323"/>
      <c r="F670" s="323"/>
      <c r="G670" s="323"/>
      <c r="H670" s="323"/>
      <c r="I670" s="323"/>
      <c r="J670" s="323"/>
      <c r="K670" s="323"/>
      <c r="L670" s="323"/>
      <c r="M670" s="323"/>
      <c r="N670" s="323"/>
      <c r="O670" s="323"/>
      <c r="P670" s="323"/>
    </row>
    <row r="671" spans="1:16">
      <c r="A671" s="323"/>
      <c r="B671" s="323"/>
      <c r="C671" s="323"/>
      <c r="D671" s="323"/>
      <c r="E671" s="323"/>
      <c r="F671" s="323"/>
      <c r="G671" s="323"/>
      <c r="H671" s="323"/>
      <c r="I671" s="323"/>
      <c r="J671" s="323"/>
      <c r="K671" s="323"/>
      <c r="L671" s="323"/>
      <c r="M671" s="323"/>
      <c r="N671" s="323"/>
      <c r="O671" s="323"/>
      <c r="P671" s="323"/>
    </row>
    <row r="672" spans="1:16">
      <c r="A672" s="323"/>
      <c r="B672" s="323"/>
      <c r="C672" s="323"/>
      <c r="D672" s="323"/>
      <c r="E672" s="323"/>
      <c r="F672" s="323"/>
      <c r="G672" s="323"/>
      <c r="H672" s="323"/>
      <c r="I672" s="323"/>
      <c r="J672" s="323"/>
      <c r="K672" s="323"/>
      <c r="L672" s="323"/>
      <c r="M672" s="323"/>
      <c r="N672" s="323"/>
      <c r="O672" s="323"/>
      <c r="P672" s="323"/>
    </row>
    <row r="673" spans="1:16">
      <c r="A673" s="323"/>
      <c r="B673" s="323"/>
      <c r="C673" s="323"/>
      <c r="D673" s="323"/>
      <c r="E673" s="323"/>
      <c r="F673" s="323"/>
      <c r="G673" s="323"/>
      <c r="H673" s="323"/>
      <c r="I673" s="323"/>
      <c r="J673" s="323"/>
      <c r="K673" s="323"/>
      <c r="L673" s="323"/>
      <c r="M673" s="323"/>
      <c r="N673" s="323"/>
      <c r="O673" s="323"/>
      <c r="P673" s="323"/>
    </row>
    <row r="674" spans="1:16">
      <c r="A674" s="323"/>
      <c r="B674" s="323"/>
      <c r="C674" s="323"/>
      <c r="D674" s="323"/>
      <c r="E674" s="323"/>
      <c r="F674" s="323"/>
      <c r="G674" s="323"/>
      <c r="H674" s="323"/>
      <c r="I674" s="323"/>
      <c r="J674" s="323"/>
      <c r="K674" s="323"/>
      <c r="L674" s="323"/>
      <c r="M674" s="323"/>
      <c r="N674" s="323"/>
      <c r="O674" s="323"/>
      <c r="P674" s="323"/>
    </row>
    <row r="675" spans="1:16">
      <c r="A675" s="323"/>
      <c r="B675" s="323"/>
      <c r="C675" s="323"/>
      <c r="D675" s="323"/>
      <c r="E675" s="323"/>
      <c r="F675" s="323"/>
      <c r="G675" s="323"/>
      <c r="H675" s="323"/>
      <c r="I675" s="323"/>
      <c r="J675" s="323"/>
      <c r="K675" s="323"/>
      <c r="L675" s="323"/>
      <c r="M675" s="323"/>
      <c r="N675" s="323"/>
      <c r="O675" s="323"/>
      <c r="P675" s="323"/>
    </row>
    <row r="676" spans="1:16">
      <c r="A676" s="323"/>
      <c r="B676" s="323"/>
      <c r="C676" s="323"/>
      <c r="D676" s="323"/>
      <c r="E676" s="323"/>
      <c r="F676" s="323"/>
      <c r="G676" s="323"/>
      <c r="H676" s="323"/>
      <c r="I676" s="323"/>
      <c r="J676" s="323"/>
      <c r="K676" s="323"/>
      <c r="L676" s="323"/>
      <c r="M676" s="323"/>
      <c r="N676" s="323"/>
      <c r="O676" s="323"/>
      <c r="P676" s="323"/>
    </row>
    <row r="677" spans="1:16">
      <c r="A677" s="323"/>
      <c r="B677" s="323"/>
      <c r="C677" s="323"/>
      <c r="D677" s="323"/>
      <c r="E677" s="323"/>
      <c r="F677" s="323"/>
      <c r="G677" s="323"/>
      <c r="H677" s="323"/>
      <c r="I677" s="323"/>
      <c r="J677" s="323"/>
      <c r="K677" s="323"/>
      <c r="L677" s="323"/>
      <c r="M677" s="323"/>
      <c r="N677" s="323"/>
      <c r="O677" s="323"/>
      <c r="P677" s="323"/>
    </row>
    <row r="678" spans="1:16">
      <c r="A678" s="323"/>
      <c r="B678" s="323"/>
      <c r="C678" s="323"/>
      <c r="D678" s="323"/>
      <c r="E678" s="323"/>
      <c r="F678" s="323"/>
      <c r="G678" s="323"/>
      <c r="H678" s="323"/>
      <c r="I678" s="323"/>
      <c r="J678" s="323"/>
      <c r="K678" s="323"/>
      <c r="L678" s="323"/>
      <c r="M678" s="323"/>
      <c r="N678" s="323"/>
      <c r="O678" s="323"/>
      <c r="P678" s="323"/>
    </row>
    <row r="679" spans="1:16">
      <c r="A679" s="323"/>
      <c r="B679" s="323"/>
      <c r="C679" s="323"/>
      <c r="D679" s="323"/>
      <c r="E679" s="323"/>
      <c r="F679" s="323"/>
      <c r="G679" s="323"/>
      <c r="H679" s="323"/>
      <c r="I679" s="323"/>
      <c r="J679" s="323"/>
      <c r="K679" s="323"/>
      <c r="L679" s="323"/>
      <c r="M679" s="323"/>
      <c r="N679" s="323"/>
      <c r="O679" s="323"/>
      <c r="P679" s="323"/>
    </row>
    <row r="680" spans="1:16">
      <c r="A680" s="323"/>
      <c r="B680" s="323"/>
      <c r="C680" s="323"/>
      <c r="D680" s="323"/>
      <c r="E680" s="323"/>
      <c r="F680" s="323"/>
      <c r="G680" s="323"/>
      <c r="H680" s="323"/>
      <c r="I680" s="323"/>
      <c r="J680" s="323"/>
      <c r="K680" s="323"/>
      <c r="L680" s="323"/>
      <c r="M680" s="323"/>
      <c r="N680" s="323"/>
      <c r="O680" s="323"/>
      <c r="P680" s="323"/>
    </row>
    <row r="681" spans="1:16">
      <c r="A681" s="323"/>
      <c r="B681" s="323"/>
      <c r="C681" s="323"/>
      <c r="D681" s="323"/>
      <c r="E681" s="323"/>
      <c r="F681" s="323"/>
      <c r="G681" s="323"/>
      <c r="H681" s="323"/>
      <c r="I681" s="323"/>
      <c r="J681" s="323"/>
      <c r="K681" s="323"/>
      <c r="L681" s="323"/>
      <c r="M681" s="323"/>
      <c r="N681" s="323"/>
      <c r="O681" s="323"/>
      <c r="P681" s="323"/>
    </row>
    <row r="682" spans="1:16">
      <c r="A682" s="323"/>
      <c r="B682" s="323"/>
      <c r="C682" s="323"/>
      <c r="D682" s="323"/>
      <c r="E682" s="323"/>
      <c r="F682" s="323"/>
      <c r="G682" s="323"/>
      <c r="H682" s="323"/>
      <c r="I682" s="323"/>
      <c r="J682" s="323"/>
      <c r="K682" s="323"/>
      <c r="L682" s="323"/>
      <c r="M682" s="323"/>
      <c r="N682" s="323"/>
      <c r="O682" s="323"/>
      <c r="P682" s="323"/>
    </row>
    <row r="683" spans="1:16">
      <c r="A683" s="323"/>
      <c r="B683" s="323"/>
      <c r="C683" s="323"/>
      <c r="D683" s="323"/>
      <c r="E683" s="323"/>
      <c r="F683" s="323"/>
      <c r="G683" s="323"/>
      <c r="H683" s="323"/>
      <c r="I683" s="323"/>
      <c r="J683" s="323"/>
      <c r="K683" s="323"/>
      <c r="L683" s="323"/>
      <c r="M683" s="323"/>
      <c r="N683" s="323"/>
      <c r="O683" s="323"/>
      <c r="P683" s="323"/>
    </row>
    <row r="684" spans="1:16">
      <c r="A684" s="323"/>
      <c r="B684" s="323"/>
      <c r="C684" s="323"/>
      <c r="D684" s="323"/>
      <c r="E684" s="323"/>
      <c r="F684" s="323"/>
      <c r="G684" s="323"/>
      <c r="H684" s="323"/>
      <c r="I684" s="323"/>
      <c r="J684" s="323"/>
      <c r="K684" s="323"/>
      <c r="L684" s="323"/>
      <c r="M684" s="323"/>
      <c r="N684" s="323"/>
      <c r="O684" s="323"/>
      <c r="P684" s="323"/>
    </row>
    <row r="685" spans="1:16">
      <c r="A685" s="323"/>
      <c r="B685" s="323"/>
      <c r="C685" s="323"/>
      <c r="D685" s="323"/>
      <c r="E685" s="323"/>
      <c r="F685" s="323"/>
      <c r="G685" s="323"/>
      <c r="H685" s="323"/>
      <c r="I685" s="323"/>
      <c r="J685" s="323"/>
      <c r="K685" s="323"/>
      <c r="L685" s="323"/>
      <c r="M685" s="323"/>
      <c r="N685" s="323"/>
      <c r="O685" s="323"/>
      <c r="P685" s="323"/>
    </row>
    <row r="686" spans="1:16">
      <c r="A686" s="323"/>
      <c r="B686" s="323"/>
      <c r="C686" s="323"/>
      <c r="D686" s="323"/>
      <c r="E686" s="323"/>
      <c r="F686" s="323"/>
      <c r="G686" s="323"/>
      <c r="H686" s="323"/>
      <c r="I686" s="323"/>
      <c r="J686" s="323"/>
      <c r="K686" s="323"/>
      <c r="L686" s="323"/>
      <c r="M686" s="323"/>
      <c r="N686" s="323"/>
      <c r="O686" s="323"/>
      <c r="P686" s="323"/>
    </row>
    <row r="687" spans="1:16">
      <c r="A687" s="323"/>
      <c r="B687" s="323"/>
      <c r="C687" s="323"/>
      <c r="D687" s="323"/>
      <c r="E687" s="323"/>
      <c r="F687" s="323"/>
      <c r="G687" s="323"/>
      <c r="H687" s="323"/>
      <c r="I687" s="323"/>
      <c r="J687" s="323"/>
      <c r="K687" s="323"/>
      <c r="L687" s="323"/>
      <c r="M687" s="323"/>
      <c r="N687" s="323"/>
      <c r="O687" s="323"/>
      <c r="P687" s="323"/>
    </row>
  </sheetData>
  <pageMargins left="0.7" right="0.7" top="0.75" bottom="0.75" header="0.3" footer="0.3"/>
  <pageSetup paperSize="9" scale="70" fitToHeight="6" orientation="portrait" horizontalDpi="30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C84D-5A09-4474-B1E6-BFCA61F8C011}">
  <sheetPr codeName="Sheet13"/>
  <dimension ref="A1:H3"/>
  <sheetViews>
    <sheetView workbookViewId="0"/>
  </sheetViews>
  <sheetFormatPr defaultColWidth="9.109375" defaultRowHeight="13.2"/>
  <cols>
    <col min="1" max="7" width="9.109375" style="14"/>
    <col min="8" max="8" width="16.88671875" style="14" customWidth="1"/>
    <col min="9" max="16384" width="9.109375" style="14"/>
  </cols>
  <sheetData>
    <row r="1" spans="1:8" ht="15.6">
      <c r="A1" s="315"/>
      <c r="H1" s="313"/>
    </row>
    <row r="2" spans="1:8" ht="4.5" customHeight="1"/>
    <row r="3" spans="1:8" ht="15.6">
      <c r="A3" s="314" t="s">
        <v>510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sheetPr>
  <dimension ref="A1:J35"/>
  <sheetViews>
    <sheetView zoomScale="90" zoomScaleNormal="100" workbookViewId="0">
      <selection activeCell="D18" sqref="D18:D19"/>
    </sheetView>
  </sheetViews>
  <sheetFormatPr defaultColWidth="9.109375" defaultRowHeight="13.8"/>
  <cols>
    <col min="1" max="1" width="3.5546875" style="3" customWidth="1"/>
    <col min="2" max="2" width="86.88671875" style="131" customWidth="1"/>
    <col min="3" max="3" width="3" style="131" customWidth="1"/>
    <col min="4" max="4" width="10.6640625" style="3" customWidth="1"/>
    <col min="5" max="5" width="2.6640625" style="3" customWidth="1"/>
    <col min="6" max="6" width="10.6640625" style="3" customWidth="1"/>
    <col min="7" max="7" width="2.6640625" style="3" customWidth="1"/>
    <col min="8" max="9" width="10.6640625" style="3" customWidth="1"/>
    <col min="10" max="16384" width="9.109375" style="3"/>
  </cols>
  <sheetData>
    <row r="1" spans="1:10" s="127" customFormat="1" ht="25.5" customHeight="1">
      <c r="A1" s="392" t="str">
        <f>'b) Budget Template'!A1:J1</f>
        <v>Deficit Recovery Planner 2025-2028</v>
      </c>
      <c r="B1" s="392"/>
      <c r="C1" s="392"/>
      <c r="D1" s="392"/>
      <c r="E1" s="392"/>
      <c r="F1" s="392"/>
      <c r="G1" s="392"/>
      <c r="H1" s="392"/>
      <c r="I1" s="126"/>
      <c r="J1" s="126"/>
    </row>
    <row r="2" spans="1:10" s="127" customFormat="1">
      <c r="B2" s="128"/>
      <c r="C2" s="128"/>
      <c r="D2" s="126"/>
      <c r="E2" s="126"/>
      <c r="F2" s="126"/>
      <c r="G2" s="126"/>
      <c r="H2" s="126"/>
      <c r="I2" s="126"/>
      <c r="J2" s="126"/>
    </row>
    <row r="3" spans="1:10" s="127" customFormat="1" ht="15.6">
      <c r="B3" s="129" t="s">
        <v>511</v>
      </c>
      <c r="C3" s="130"/>
      <c r="D3" s="126"/>
      <c r="E3" s="126"/>
      <c r="F3" s="126"/>
      <c r="G3" s="126"/>
      <c r="H3" s="126"/>
      <c r="I3" s="126"/>
      <c r="J3" s="126"/>
    </row>
    <row r="4" spans="1:10" ht="6.75" customHeight="1"/>
    <row r="5" spans="1:10" s="132" customFormat="1" ht="29.25" customHeight="1">
      <c r="B5" s="395" t="s">
        <v>512</v>
      </c>
      <c r="C5" s="395"/>
      <c r="D5" s="395"/>
      <c r="E5" s="395"/>
      <c r="F5" s="395"/>
      <c r="G5" s="395"/>
      <c r="H5" s="395"/>
      <c r="I5" s="133"/>
    </row>
    <row r="6" spans="1:10" ht="14.4">
      <c r="B6" s="134"/>
      <c r="C6" s="135"/>
      <c r="D6" s="2"/>
      <c r="H6" s="4"/>
      <c r="I6" s="136"/>
    </row>
    <row r="7" spans="1:10" s="4" customFormat="1">
      <c r="D7" s="137" t="str">
        <f>'b) Budget Template'!E5</f>
        <v>2025/26</v>
      </c>
      <c r="F7" s="137" t="str">
        <f>'b) Budget Template'!G5</f>
        <v>2026/27</v>
      </c>
      <c r="H7" s="137" t="str">
        <f>'b) Budget Template'!I5</f>
        <v>2027/28</v>
      </c>
    </row>
    <row r="8" spans="1:10" s="4" customFormat="1"/>
    <row r="9" spans="1:10" ht="15" hidden="1" thickBot="1">
      <c r="B9" s="135"/>
      <c r="C9" s="135"/>
      <c r="D9" s="2"/>
      <c r="H9" s="4"/>
      <c r="I9" s="136"/>
    </row>
    <row r="10" spans="1:10" s="318" customFormat="1" ht="14.4" hidden="1">
      <c r="A10" s="318" t="s">
        <v>513</v>
      </c>
      <c r="B10" s="319" t="s">
        <v>514</v>
      </c>
      <c r="C10" s="319"/>
      <c r="D10" s="393" t="s">
        <v>515</v>
      </c>
      <c r="H10" s="320"/>
      <c r="I10" s="321"/>
    </row>
    <row r="11" spans="1:10" s="318" customFormat="1" ht="15" hidden="1" thickBot="1">
      <c r="B11" s="318" t="s">
        <v>516</v>
      </c>
      <c r="C11" s="319"/>
      <c r="D11" s="394"/>
      <c r="H11" s="320"/>
      <c r="I11" s="321"/>
    </row>
    <row r="12" spans="1:10" ht="14.4">
      <c r="B12" s="138"/>
      <c r="D12" s="6"/>
      <c r="H12" s="4"/>
      <c r="I12" s="136"/>
    </row>
    <row r="13" spans="1:10" ht="15" thickBot="1">
      <c r="B13" s="135"/>
      <c r="C13" s="135"/>
      <c r="D13" s="2"/>
      <c r="H13" s="4"/>
      <c r="I13" s="136"/>
    </row>
    <row r="14" spans="1:10" ht="14.4">
      <c r="A14" s="3" t="s">
        <v>517</v>
      </c>
      <c r="B14" s="131" t="s">
        <v>518</v>
      </c>
      <c r="D14" s="390" t="str">
        <f>IF('b) Budget Template'!E65='b) Budget Template'!E116,"OK","CHECK")</f>
        <v>OK</v>
      </c>
      <c r="F14" s="390" t="str">
        <f>IF('b) Budget Template'!G65='b) Budget Template'!G116,"OK","CHECK")</f>
        <v>OK</v>
      </c>
      <c r="H14" s="390" t="str">
        <f>IF('b) Budget Template'!I65='b) Budget Template'!I116,"OK","CHECK")</f>
        <v>OK</v>
      </c>
      <c r="I14" s="136"/>
    </row>
    <row r="15" spans="1:10" ht="15" thickBot="1">
      <c r="B15" s="3" t="s">
        <v>519</v>
      </c>
      <c r="D15" s="391"/>
      <c r="F15" s="391"/>
      <c r="H15" s="391"/>
      <c r="I15" s="136"/>
    </row>
    <row r="16" spans="1:10" ht="14.4">
      <c r="B16" s="138"/>
      <c r="D16" s="6"/>
      <c r="F16" s="6"/>
      <c r="H16" s="6"/>
      <c r="I16" s="136"/>
    </row>
    <row r="17" spans="1:9" ht="15" thickBot="1">
      <c r="D17" s="5"/>
      <c r="F17" s="5"/>
      <c r="H17" s="5"/>
      <c r="I17" s="136"/>
    </row>
    <row r="18" spans="1:9" ht="14.4">
      <c r="A18" s="3" t="s">
        <v>520</v>
      </c>
      <c r="B18" s="131" t="s">
        <v>521</v>
      </c>
      <c r="D18" s="390" t="str">
        <f>IF('b) Budget Template'!E70&gt;0,"CHECK","OK")</f>
        <v>OK</v>
      </c>
      <c r="F18" s="390" t="str">
        <f>IF('b) Budget Template'!G70&gt;0,"CHECK","OK")</f>
        <v>OK</v>
      </c>
      <c r="H18" s="390" t="str">
        <f>IF('b) Budget Template'!I70&gt;0,"CHECK","OK")</f>
        <v>OK</v>
      </c>
      <c r="I18" s="136"/>
    </row>
    <row r="19" spans="1:9" ht="15" thickBot="1">
      <c r="B19" s="3" t="s">
        <v>522</v>
      </c>
      <c r="D19" s="391"/>
      <c r="F19" s="391"/>
      <c r="H19" s="391"/>
      <c r="I19" s="136"/>
    </row>
    <row r="20" spans="1:9" ht="14.4">
      <c r="B20" s="138"/>
      <c r="D20" s="6"/>
      <c r="F20" s="6"/>
      <c r="H20" s="6"/>
      <c r="I20" s="136"/>
    </row>
    <row r="21" spans="1:9" ht="15" thickBot="1">
      <c r="B21" s="138"/>
      <c r="D21" s="6"/>
      <c r="F21" s="6"/>
      <c r="H21" s="6"/>
      <c r="I21" s="136"/>
    </row>
    <row r="22" spans="1:9" ht="28.2">
      <c r="A22" s="245" t="s">
        <v>523</v>
      </c>
      <c r="B22" s="139" t="s">
        <v>524</v>
      </c>
      <c r="D22" s="390" t="str">
        <f>IF('b) Budget Template'!E89&gt;0,"CHECK","OK")</f>
        <v>OK</v>
      </c>
      <c r="F22" s="390" t="str">
        <f>IF('b) Budget Template'!G89&gt;0,"CHECK","OK")</f>
        <v>OK</v>
      </c>
      <c r="H22" s="390" t="str">
        <f>IF('b) Budget Template'!I89&gt;0,"CHECK","OK")</f>
        <v>OK</v>
      </c>
      <c r="I22" s="136"/>
    </row>
    <row r="23" spans="1:9" ht="15" thickBot="1">
      <c r="B23" s="138"/>
      <c r="D23" s="391"/>
      <c r="F23" s="391"/>
      <c r="H23" s="391"/>
      <c r="I23" s="136"/>
    </row>
    <row r="24" spans="1:9" ht="15" thickBot="1">
      <c r="B24" s="138"/>
      <c r="D24" s="6"/>
      <c r="F24" s="6"/>
      <c r="H24" s="6"/>
      <c r="I24" s="136"/>
    </row>
    <row r="25" spans="1:9" ht="14.4" hidden="1">
      <c r="A25" s="3" t="s">
        <v>525</v>
      </c>
      <c r="B25" s="131" t="s">
        <v>526</v>
      </c>
      <c r="D25" s="390" t="str">
        <f>IF('b) Budget Template'!E101&gt;0,"CHECK","OK")</f>
        <v>OK</v>
      </c>
      <c r="F25" s="390" t="str">
        <f>IF('b) Budget Template'!G101&gt;0,"CHECK","OK")</f>
        <v>OK</v>
      </c>
      <c r="H25" s="390" t="str">
        <f>IF('b) Budget Template'!I101&gt;0,"CHECK","OK")</f>
        <v>OK</v>
      </c>
      <c r="I25" s="136"/>
    </row>
    <row r="26" spans="1:9" ht="15" hidden="1" thickBot="1">
      <c r="B26" s="3" t="s">
        <v>527</v>
      </c>
      <c r="D26" s="391"/>
      <c r="F26" s="391"/>
      <c r="H26" s="391"/>
      <c r="I26" s="136"/>
    </row>
    <row r="27" spans="1:9" ht="14.4" hidden="1">
      <c r="B27" s="138"/>
      <c r="D27" s="6"/>
      <c r="F27" s="6"/>
      <c r="H27" s="6"/>
      <c r="I27" s="136"/>
    </row>
    <row r="28" spans="1:9" ht="15" hidden="1" thickBot="1">
      <c r="D28" s="5"/>
      <c r="F28" s="5"/>
      <c r="H28" s="5"/>
      <c r="I28" s="136"/>
    </row>
    <row r="29" spans="1:9" ht="14.4">
      <c r="A29" s="3" t="s">
        <v>525</v>
      </c>
      <c r="B29" s="131" t="s">
        <v>528</v>
      </c>
      <c r="D29" s="390" t="e">
        <f>IF('b) Budget Template'!E98&lt;0,"CHECK","OK")</f>
        <v>#N/A</v>
      </c>
      <c r="F29" s="390" t="e">
        <f>IF('b) Budget Template'!G98&lt;0,"CHECK","OK")</f>
        <v>#N/A</v>
      </c>
      <c r="H29" s="390" t="e">
        <f>IF('b) Budget Template'!I98&lt;0,"CHECK","OK")</f>
        <v>#N/A</v>
      </c>
      <c r="I29" s="136"/>
    </row>
    <row r="30" spans="1:9" ht="15" thickBot="1">
      <c r="B30" s="138"/>
      <c r="D30" s="391"/>
      <c r="F30" s="391"/>
      <c r="H30" s="391"/>
      <c r="I30" s="136"/>
    </row>
    <row r="31" spans="1:9" ht="15" thickBot="1">
      <c r="B31" s="138"/>
      <c r="D31" s="6"/>
      <c r="F31" s="6"/>
      <c r="H31" s="6"/>
      <c r="I31" s="136"/>
    </row>
    <row r="32" spans="1:9" ht="14.4">
      <c r="A32" s="3" t="s">
        <v>529</v>
      </c>
      <c r="B32" s="131" t="s">
        <v>530</v>
      </c>
      <c r="D32" s="390" t="e">
        <f>IF('b) Budget Template'!E98&lt;(('b) Budget Template'!E90+'b) Budget Template'!E71)*50%),"CHECK","OK")</f>
        <v>#N/A</v>
      </c>
      <c r="F32" s="390" t="e">
        <f>IF('b) Budget Template'!G98&lt;('b) Budget Template'!E98*50%),"CHECK","OK")</f>
        <v>#N/A</v>
      </c>
      <c r="H32" s="390" t="e">
        <f>IF('b) Budget Template'!I98&lt;('b) Budget Template'!G98*50%),"CHECK","OK")</f>
        <v>#N/A</v>
      </c>
      <c r="I32" s="136"/>
    </row>
    <row r="33" spans="2:9" ht="15" thickBot="1">
      <c r="B33" s="3" t="s">
        <v>531</v>
      </c>
      <c r="D33" s="391"/>
      <c r="F33" s="391"/>
      <c r="H33" s="391"/>
      <c r="I33" s="136"/>
    </row>
    <row r="34" spans="2:9" ht="14.4">
      <c r="B34" s="138"/>
      <c r="D34" s="5"/>
      <c r="F34" s="5"/>
      <c r="H34" s="5"/>
      <c r="I34" s="136"/>
    </row>
    <row r="35" spans="2:9">
      <c r="D35" s="140"/>
      <c r="F35" s="140"/>
      <c r="H35" s="140"/>
    </row>
  </sheetData>
  <sheetProtection algorithmName="SHA-512" hashValue="R+Jl4MDBd8YAxzxLGoSujl2OXr++44ai4MfPdjz4g05E0UEFJAo1ifUQZia8PttGeq8ucJTtIFuztuSAmT8bGQ==" saltValue="9AU8AQwcUtPKzCNw/LgOVQ==" spinCount="100000" sheet="1" objects="1" scenarios="1"/>
  <mergeCells count="21">
    <mergeCell ref="D32:D33"/>
    <mergeCell ref="F32:F33"/>
    <mergeCell ref="H32:H33"/>
    <mergeCell ref="F25:F26"/>
    <mergeCell ref="H25:H26"/>
    <mergeCell ref="D29:D30"/>
    <mergeCell ref="F29:F30"/>
    <mergeCell ref="H29:H30"/>
    <mergeCell ref="D25:D26"/>
    <mergeCell ref="A1:H1"/>
    <mergeCell ref="D10:D11"/>
    <mergeCell ref="D14:D15"/>
    <mergeCell ref="F14:F15"/>
    <mergeCell ref="H14:H15"/>
    <mergeCell ref="B5:H5"/>
    <mergeCell ref="D22:D23"/>
    <mergeCell ref="F22:F23"/>
    <mergeCell ref="H22:H23"/>
    <mergeCell ref="D18:D19"/>
    <mergeCell ref="F18:F19"/>
    <mergeCell ref="H18:H19"/>
  </mergeCells>
  <phoneticPr fontId="11" type="noConversion"/>
  <conditionalFormatting sqref="D10:D12 D29:D33 F29:F33 H29:H33">
    <cfRule type="cellIs" dxfId="8" priority="10" stopIfTrue="1" operator="equal">
      <formula>"Check"</formula>
    </cfRule>
  </conditionalFormatting>
  <conditionalFormatting sqref="D14:D16">
    <cfRule type="cellIs" dxfId="7" priority="3" stopIfTrue="1" operator="equal">
      <formula>"Check"</formula>
    </cfRule>
  </conditionalFormatting>
  <conditionalFormatting sqref="D18:D27">
    <cfRule type="cellIs" dxfId="6" priority="6" stopIfTrue="1" operator="equal">
      <formula>"Check"</formula>
    </cfRule>
  </conditionalFormatting>
  <conditionalFormatting sqref="F14:F16">
    <cfRule type="cellIs" dxfId="5" priority="2" stopIfTrue="1" operator="equal">
      <formula>"Check"</formula>
    </cfRule>
  </conditionalFormatting>
  <conditionalFormatting sqref="F18:F27">
    <cfRule type="cellIs" dxfId="4" priority="5" stopIfTrue="1" operator="equal">
      <formula>"Check"</formula>
    </cfRule>
  </conditionalFormatting>
  <conditionalFormatting sqref="H14:H16">
    <cfRule type="cellIs" dxfId="3" priority="1" stopIfTrue="1" operator="equal">
      <formula>"Check"</formula>
    </cfRule>
  </conditionalFormatting>
  <conditionalFormatting sqref="H18:H27">
    <cfRule type="cellIs" dxfId="2" priority="4" stopIfTrue="1" operator="equal">
      <formula>"Check"</formula>
    </cfRule>
  </conditionalFormatting>
  <pageMargins left="0.15748031496062992" right="0.15748031496062992" top="0.39370078740157483" bottom="0.39370078740157483" header="0.51181102362204722" footer="0.51181102362204722"/>
  <pageSetup paperSize="9" scale="82" orientation="landscape" r:id="rId1"/>
  <headerFooter alignWithMargins="0"/>
  <cellWatches>
    <cellWatch r="D10"/>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C8EC-915C-4ECA-8ACF-9A0CD546F1D4}">
  <sheetPr codeName="Sheet11"/>
  <dimension ref="A4:A22"/>
  <sheetViews>
    <sheetView workbookViewId="0">
      <selection activeCell="A23" sqref="A23"/>
    </sheetView>
  </sheetViews>
  <sheetFormatPr defaultRowHeight="13.2"/>
  <sheetData>
    <row r="4" spans="1:1">
      <c r="A4" s="257" t="s">
        <v>532</v>
      </c>
    </row>
    <row r="5" spans="1:1">
      <c r="A5" s="257" t="s">
        <v>533</v>
      </c>
    </row>
    <row r="6" spans="1:1">
      <c r="A6" s="257" t="s">
        <v>534</v>
      </c>
    </row>
    <row r="7" spans="1:1">
      <c r="A7" s="257" t="s">
        <v>535</v>
      </c>
    </row>
    <row r="10" spans="1:1">
      <c r="A10" s="257" t="s">
        <v>536</v>
      </c>
    </row>
    <row r="11" spans="1:1">
      <c r="A11" s="257" t="s">
        <v>537</v>
      </c>
    </row>
    <row r="12" spans="1:1">
      <c r="A12" s="257" t="s">
        <v>538</v>
      </c>
    </row>
    <row r="14" spans="1:1">
      <c r="A14" s="257" t="s">
        <v>539</v>
      </c>
    </row>
    <row r="15" spans="1:1">
      <c r="A15" s="257" t="s">
        <v>540</v>
      </c>
    </row>
    <row r="17" spans="1:1">
      <c r="A17" s="257" t="s">
        <v>541</v>
      </c>
    </row>
    <row r="18" spans="1:1">
      <c r="A18" s="257" t="s">
        <v>542</v>
      </c>
    </row>
    <row r="19" spans="1:1">
      <c r="A19" s="257" t="s">
        <v>543</v>
      </c>
    </row>
    <row r="21" spans="1:1">
      <c r="A21" s="257" t="s">
        <v>544</v>
      </c>
    </row>
    <row r="22" spans="1:1">
      <c r="A22" s="257" t="s">
        <v>545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E312-BD1C-442B-B8D7-86EEA6A3B5FA}">
  <sheetPr codeName="Sheet14"/>
  <dimension ref="B3:D125"/>
  <sheetViews>
    <sheetView topLeftCell="A105" workbookViewId="0">
      <selection activeCell="D19" sqref="D19"/>
    </sheetView>
  </sheetViews>
  <sheetFormatPr defaultRowHeight="13.2"/>
  <cols>
    <col min="3" max="3" width="70" bestFit="1" customWidth="1"/>
  </cols>
  <sheetData>
    <row r="3" spans="2:4">
      <c r="B3" s="155" t="s">
        <v>546</v>
      </c>
      <c r="C3" s="300" t="s">
        <v>547</v>
      </c>
      <c r="D3" s="257" t="s">
        <v>24</v>
      </c>
    </row>
    <row r="4" spans="2:4" ht="13.8">
      <c r="B4" s="310">
        <v>3373</v>
      </c>
      <c r="C4" s="303" t="s">
        <v>263</v>
      </c>
      <c r="D4">
        <v>103</v>
      </c>
    </row>
    <row r="5" spans="2:4" ht="13.8">
      <c r="B5" s="310">
        <v>3061</v>
      </c>
      <c r="C5" s="303" t="s">
        <v>266</v>
      </c>
      <c r="D5">
        <v>209</v>
      </c>
    </row>
    <row r="6" spans="2:4" ht="13.8">
      <c r="B6" s="310">
        <v>2083</v>
      </c>
      <c r="C6" s="303" t="s">
        <v>268</v>
      </c>
      <c r="D6">
        <v>109</v>
      </c>
    </row>
    <row r="7" spans="2:4" ht="13.8">
      <c r="B7" s="310">
        <v>2118</v>
      </c>
      <c r="C7" s="303" t="s">
        <v>270</v>
      </c>
      <c r="D7">
        <v>375</v>
      </c>
    </row>
    <row r="8" spans="2:4" ht="13.8">
      <c r="B8" s="310">
        <v>2217</v>
      </c>
      <c r="C8" s="303" t="s">
        <v>272</v>
      </c>
      <c r="D8">
        <v>138</v>
      </c>
    </row>
    <row r="9" spans="2:4" ht="13.8">
      <c r="B9" s="310">
        <v>3067</v>
      </c>
      <c r="C9" s="303" t="s">
        <v>274</v>
      </c>
      <c r="D9">
        <v>145</v>
      </c>
    </row>
    <row r="10" spans="2:4" ht="13.8">
      <c r="B10" s="311">
        <v>3001</v>
      </c>
      <c r="C10" s="304" t="s">
        <v>276</v>
      </c>
      <c r="D10">
        <v>161</v>
      </c>
    </row>
    <row r="11" spans="2:4" ht="13.8">
      <c r="B11" s="310">
        <v>3301</v>
      </c>
      <c r="C11" s="303" t="s">
        <v>278</v>
      </c>
      <c r="D11">
        <v>121</v>
      </c>
    </row>
    <row r="12" spans="2:4" ht="13.8">
      <c r="B12" s="310">
        <v>2002</v>
      </c>
      <c r="C12" s="303" t="s">
        <v>280</v>
      </c>
      <c r="D12">
        <v>360</v>
      </c>
    </row>
    <row r="13" spans="2:4" ht="13.8">
      <c r="B13" s="310">
        <v>2082</v>
      </c>
      <c r="C13" s="303" t="s">
        <v>282</v>
      </c>
      <c r="D13">
        <v>155</v>
      </c>
    </row>
    <row r="14" spans="2:4" ht="13.8">
      <c r="B14" s="310">
        <v>3943</v>
      </c>
      <c r="C14" s="303" t="s">
        <v>284</v>
      </c>
      <c r="D14">
        <v>410</v>
      </c>
    </row>
    <row r="15" spans="2:4" ht="13.8">
      <c r="B15" s="310">
        <v>2060</v>
      </c>
      <c r="C15" s="303" t="s">
        <v>286</v>
      </c>
      <c r="D15">
        <v>101</v>
      </c>
    </row>
    <row r="16" spans="2:4" ht="13.8">
      <c r="B16" s="310">
        <v>2312</v>
      </c>
      <c r="C16" s="303" t="s">
        <v>288</v>
      </c>
      <c r="D16">
        <v>189</v>
      </c>
    </row>
    <row r="17" spans="2:4" ht="13.8">
      <c r="B17" s="310">
        <v>3942</v>
      </c>
      <c r="C17" s="303" t="s">
        <v>290</v>
      </c>
      <c r="D17">
        <v>613</v>
      </c>
    </row>
    <row r="18" spans="2:4" ht="13.8">
      <c r="B18" s="310">
        <v>3081</v>
      </c>
      <c r="C18" s="303" t="s">
        <v>292</v>
      </c>
      <c r="D18">
        <v>91</v>
      </c>
    </row>
    <row r="19" spans="2:4" ht="13.8">
      <c r="B19" s="310">
        <v>1005</v>
      </c>
      <c r="C19" s="303" t="s">
        <v>294</v>
      </c>
    </row>
    <row r="20" spans="2:4" ht="13.8">
      <c r="B20" s="310">
        <v>2327</v>
      </c>
      <c r="C20" s="303" t="s">
        <v>297</v>
      </c>
      <c r="D20">
        <v>381</v>
      </c>
    </row>
    <row r="21" spans="2:4" ht="13.8">
      <c r="B21" s="310">
        <v>2452</v>
      </c>
      <c r="C21" s="303" t="s">
        <v>299</v>
      </c>
      <c r="D21">
        <v>378</v>
      </c>
    </row>
    <row r="22" spans="2:4" ht="13.8">
      <c r="B22" s="310">
        <v>2004</v>
      </c>
      <c r="C22" s="303" t="s">
        <v>301</v>
      </c>
      <c r="D22">
        <v>196</v>
      </c>
    </row>
    <row r="23" spans="2:4" ht="13.8">
      <c r="B23" s="310">
        <v>3008</v>
      </c>
      <c r="C23" s="303" t="s">
        <v>303</v>
      </c>
      <c r="D23">
        <v>119</v>
      </c>
    </row>
    <row r="24" spans="2:4" ht="13.8">
      <c r="B24" s="310">
        <v>7026</v>
      </c>
      <c r="C24" s="303" t="s">
        <v>305</v>
      </c>
    </row>
    <row r="25" spans="2:4" ht="13.8">
      <c r="B25" s="310">
        <v>3050</v>
      </c>
      <c r="C25" s="303" t="s">
        <v>308</v>
      </c>
      <c r="D25">
        <v>152</v>
      </c>
    </row>
    <row r="26" spans="2:4" ht="13.8">
      <c r="B26" s="310">
        <v>3009</v>
      </c>
      <c r="C26" s="303" t="s">
        <v>310</v>
      </c>
      <c r="D26">
        <v>147</v>
      </c>
    </row>
    <row r="27" spans="2:4" ht="13.8">
      <c r="B27" s="310">
        <v>2091</v>
      </c>
      <c r="C27" s="303" t="s">
        <v>312</v>
      </c>
      <c r="D27">
        <v>167</v>
      </c>
    </row>
    <row r="28" spans="2:4" ht="13.8">
      <c r="B28" s="310">
        <v>2065</v>
      </c>
      <c r="C28" s="303" t="s">
        <v>314</v>
      </c>
      <c r="D28">
        <v>192</v>
      </c>
    </row>
    <row r="29" spans="2:4" ht="13.8">
      <c r="B29" s="310">
        <v>1006</v>
      </c>
      <c r="C29" s="303" t="s">
        <v>316</v>
      </c>
    </row>
    <row r="30" spans="2:4" ht="13.8">
      <c r="B30" s="310">
        <v>2119</v>
      </c>
      <c r="C30" s="303" t="s">
        <v>318</v>
      </c>
      <c r="D30">
        <v>208</v>
      </c>
    </row>
    <row r="31" spans="2:4" ht="13.8">
      <c r="B31" s="310">
        <v>3011</v>
      </c>
      <c r="C31" s="303" t="s">
        <v>320</v>
      </c>
      <c r="D31">
        <v>107</v>
      </c>
    </row>
    <row r="32" spans="2:4" ht="13.8">
      <c r="B32" s="310">
        <v>2006</v>
      </c>
      <c r="C32" s="303" t="s">
        <v>322</v>
      </c>
      <c r="D32">
        <v>479</v>
      </c>
    </row>
    <row r="33" spans="2:4" ht="13.8">
      <c r="B33" s="310">
        <v>3012</v>
      </c>
      <c r="C33" s="303" t="s">
        <v>324</v>
      </c>
      <c r="D33">
        <v>65</v>
      </c>
    </row>
    <row r="34" spans="2:4" ht="13.8">
      <c r="B34" s="310">
        <v>3041</v>
      </c>
      <c r="C34" s="303" t="s">
        <v>326</v>
      </c>
      <c r="D34">
        <v>154</v>
      </c>
    </row>
    <row r="35" spans="2:4" ht="13.8">
      <c r="B35" s="310">
        <v>2246</v>
      </c>
      <c r="C35" s="303" t="s">
        <v>328</v>
      </c>
      <c r="D35">
        <v>163</v>
      </c>
    </row>
    <row r="36" spans="2:4" ht="13.8">
      <c r="B36" s="310">
        <v>3308</v>
      </c>
      <c r="C36" s="303" t="s">
        <v>330</v>
      </c>
      <c r="D36">
        <v>130</v>
      </c>
    </row>
    <row r="37" spans="2:4" ht="13.8">
      <c r="B37" s="310">
        <v>3368</v>
      </c>
      <c r="C37" s="303" t="s">
        <v>332</v>
      </c>
      <c r="D37">
        <v>135</v>
      </c>
    </row>
    <row r="38" spans="2:4" ht="13.8">
      <c r="B38" s="310">
        <v>2444</v>
      </c>
      <c r="C38" s="303" t="s">
        <v>334</v>
      </c>
      <c r="D38">
        <v>366</v>
      </c>
    </row>
    <row r="39" spans="2:4" ht="13.8">
      <c r="B39" s="310">
        <v>3074</v>
      </c>
      <c r="C39" s="303" t="s">
        <v>336</v>
      </c>
      <c r="D39">
        <v>198</v>
      </c>
    </row>
    <row r="40" spans="2:4" ht="13.8">
      <c r="B40" s="310">
        <v>2336</v>
      </c>
      <c r="C40" s="303" t="s">
        <v>338</v>
      </c>
      <c r="D40">
        <v>366</v>
      </c>
    </row>
    <row r="41" spans="2:4" ht="13.8">
      <c r="B41" s="310">
        <v>2010</v>
      </c>
      <c r="C41" s="303" t="s">
        <v>340</v>
      </c>
      <c r="D41">
        <v>107</v>
      </c>
    </row>
    <row r="42" spans="2:4" ht="13.8">
      <c r="B42" s="310">
        <v>2208</v>
      </c>
      <c r="C42" s="303" t="s">
        <v>342</v>
      </c>
      <c r="D42">
        <v>188</v>
      </c>
    </row>
    <row r="43" spans="2:4" ht="13.8">
      <c r="B43" s="310">
        <v>3065</v>
      </c>
      <c r="C43" s="303" t="s">
        <v>344</v>
      </c>
      <c r="D43">
        <v>95</v>
      </c>
    </row>
    <row r="44" spans="2:4" ht="13.8">
      <c r="B44" s="310">
        <v>3014</v>
      </c>
      <c r="C44" s="303" t="s">
        <v>346</v>
      </c>
      <c r="D44">
        <v>417</v>
      </c>
    </row>
    <row r="45" spans="2:4" ht="13.8">
      <c r="B45" s="310">
        <v>2321</v>
      </c>
      <c r="C45" s="303" t="s">
        <v>348</v>
      </c>
      <c r="D45">
        <v>448</v>
      </c>
    </row>
    <row r="46" spans="2:4" ht="13.8">
      <c r="B46" s="310">
        <v>2011</v>
      </c>
      <c r="C46" s="303" t="s">
        <v>350</v>
      </c>
      <c r="D46">
        <v>75</v>
      </c>
    </row>
    <row r="47" spans="2:4" ht="13.8">
      <c r="B47" s="310">
        <v>2012</v>
      </c>
      <c r="C47" s="303" t="s">
        <v>352</v>
      </c>
      <c r="D47">
        <v>77</v>
      </c>
    </row>
    <row r="48" spans="2:4" ht="13.8">
      <c r="B48" s="310">
        <v>2068</v>
      </c>
      <c r="C48" s="303" t="s">
        <v>354</v>
      </c>
      <c r="D48">
        <v>89</v>
      </c>
    </row>
    <row r="49" spans="2:4" ht="13.8">
      <c r="B49" s="310">
        <v>2328</v>
      </c>
      <c r="C49" s="303" t="s">
        <v>356</v>
      </c>
      <c r="D49">
        <v>265</v>
      </c>
    </row>
    <row r="50" spans="2:4" ht="13.8">
      <c r="B50" s="310">
        <v>7025</v>
      </c>
      <c r="C50" s="303" t="s">
        <v>358</v>
      </c>
    </row>
    <row r="51" spans="2:4" ht="13.8">
      <c r="B51" s="310">
        <v>2016</v>
      </c>
      <c r="C51" s="303" t="s">
        <v>360</v>
      </c>
      <c r="D51">
        <v>135</v>
      </c>
    </row>
    <row r="52" spans="2:4" ht="13.8">
      <c r="B52" s="310">
        <v>3310</v>
      </c>
      <c r="C52" s="303" t="s">
        <v>362</v>
      </c>
      <c r="D52">
        <v>206</v>
      </c>
    </row>
    <row r="53" spans="2:4" ht="13.8">
      <c r="B53" s="310">
        <v>3068</v>
      </c>
      <c r="C53" s="303" t="s">
        <v>364</v>
      </c>
      <c r="D53">
        <v>87</v>
      </c>
    </row>
    <row r="54" spans="2:4" ht="13.8">
      <c r="B54" s="310">
        <v>2315</v>
      </c>
      <c r="C54" s="303" t="s">
        <v>366</v>
      </c>
      <c r="D54">
        <v>525</v>
      </c>
    </row>
    <row r="55" spans="2:4" ht="13.8">
      <c r="B55" s="310">
        <v>2018</v>
      </c>
      <c r="C55" s="303" t="s">
        <v>368</v>
      </c>
      <c r="D55">
        <v>118</v>
      </c>
    </row>
    <row r="56" spans="2:4" ht="13.8">
      <c r="B56" s="310">
        <v>3035</v>
      </c>
      <c r="C56" s="303" t="s">
        <v>370</v>
      </c>
      <c r="D56">
        <v>135</v>
      </c>
    </row>
    <row r="57" spans="2:4" ht="13.8">
      <c r="B57" s="310">
        <v>2205</v>
      </c>
      <c r="C57" s="303" t="s">
        <v>372</v>
      </c>
      <c r="D57">
        <v>75</v>
      </c>
    </row>
    <row r="58" spans="2:4" ht="13.8">
      <c r="B58" s="310">
        <v>2211</v>
      </c>
      <c r="C58" s="303" t="s">
        <v>374</v>
      </c>
      <c r="D58">
        <v>270</v>
      </c>
    </row>
    <row r="59" spans="2:4" ht="13.8">
      <c r="B59" s="310">
        <v>1003</v>
      </c>
      <c r="C59" s="303" t="s">
        <v>376</v>
      </c>
    </row>
    <row r="60" spans="2:4" ht="13.8">
      <c r="B60" s="310">
        <v>3071</v>
      </c>
      <c r="C60" s="303" t="s">
        <v>378</v>
      </c>
      <c r="D60">
        <v>199</v>
      </c>
    </row>
    <row r="61" spans="2:4" ht="13.8">
      <c r="B61" s="310">
        <v>1002</v>
      </c>
      <c r="C61" s="303" t="s">
        <v>380</v>
      </c>
    </row>
    <row r="62" spans="2:4" ht="13.8">
      <c r="B62" s="310">
        <v>2212</v>
      </c>
      <c r="C62" s="303" t="s">
        <v>382</v>
      </c>
      <c r="D62">
        <v>183</v>
      </c>
    </row>
    <row r="63" spans="2:4" ht="13.8">
      <c r="B63" s="310">
        <v>1007</v>
      </c>
      <c r="C63" s="303" t="s">
        <v>384</v>
      </c>
    </row>
    <row r="64" spans="2:4" ht="13.8">
      <c r="B64" s="310">
        <v>3945</v>
      </c>
      <c r="C64" s="303" t="s">
        <v>386</v>
      </c>
      <c r="D64">
        <v>446</v>
      </c>
    </row>
    <row r="65" spans="2:4" ht="13.8">
      <c r="B65" s="310">
        <v>3022</v>
      </c>
      <c r="C65" s="303" t="s">
        <v>388</v>
      </c>
      <c r="D65">
        <v>208</v>
      </c>
    </row>
    <row r="66" spans="2:4" ht="13.8">
      <c r="B66" s="310">
        <v>2442</v>
      </c>
      <c r="C66" s="303" t="s">
        <v>390</v>
      </c>
      <c r="D66">
        <v>129</v>
      </c>
    </row>
    <row r="67" spans="2:4" ht="13.8">
      <c r="B67" s="310">
        <v>2331</v>
      </c>
      <c r="C67" s="303" t="s">
        <v>392</v>
      </c>
      <c r="D67">
        <v>68</v>
      </c>
    </row>
    <row r="68" spans="2:4" ht="13.8">
      <c r="B68" s="310">
        <v>1000</v>
      </c>
      <c r="C68" s="303" t="s">
        <v>394</v>
      </c>
    </row>
    <row r="69" spans="2:4" ht="13.8">
      <c r="B69" s="310">
        <v>2446</v>
      </c>
      <c r="C69" s="303" t="s">
        <v>396</v>
      </c>
      <c r="D69">
        <v>398</v>
      </c>
    </row>
    <row r="70" spans="2:4" ht="13.8">
      <c r="B70" s="310">
        <v>3317</v>
      </c>
      <c r="C70" s="303" t="s">
        <v>398</v>
      </c>
      <c r="D70">
        <v>155</v>
      </c>
    </row>
    <row r="71" spans="2:4" ht="13.8">
      <c r="B71" s="312">
        <v>2066</v>
      </c>
      <c r="C71" s="305" t="s">
        <v>400</v>
      </c>
      <c r="D71">
        <v>207</v>
      </c>
    </row>
    <row r="72" spans="2:4" ht="13.8">
      <c r="B72" s="310">
        <v>2293</v>
      </c>
      <c r="C72" s="303" t="s">
        <v>402</v>
      </c>
      <c r="D72">
        <v>292</v>
      </c>
    </row>
    <row r="73" spans="2:4" ht="13.8">
      <c r="B73" s="310">
        <v>2074</v>
      </c>
      <c r="C73" s="303" t="s">
        <v>404</v>
      </c>
      <c r="D73">
        <v>392</v>
      </c>
    </row>
    <row r="74" spans="2:4" ht="13.8">
      <c r="B74" s="310">
        <v>2075</v>
      </c>
      <c r="C74" s="303" t="s">
        <v>406</v>
      </c>
      <c r="D74">
        <v>213</v>
      </c>
    </row>
    <row r="75" spans="2:4" ht="13.8">
      <c r="B75" s="310">
        <v>2121</v>
      </c>
      <c r="C75" s="303" t="s">
        <v>408</v>
      </c>
      <c r="D75">
        <v>392</v>
      </c>
    </row>
    <row r="76" spans="2:4" ht="13.8">
      <c r="B76" s="310">
        <v>2028</v>
      </c>
      <c r="C76" s="303" t="s">
        <v>410</v>
      </c>
      <c r="D76">
        <v>383</v>
      </c>
    </row>
    <row r="77" spans="2:4" ht="13.8">
      <c r="B77" s="310">
        <v>2029</v>
      </c>
      <c r="C77" s="303" t="s">
        <v>412</v>
      </c>
      <c r="D77">
        <v>192</v>
      </c>
    </row>
    <row r="78" spans="2:4" ht="13.8">
      <c r="B78" s="310">
        <v>2059</v>
      </c>
      <c r="C78" s="303" t="s">
        <v>414</v>
      </c>
      <c r="D78">
        <v>189</v>
      </c>
    </row>
    <row r="79" spans="2:4" ht="13.8">
      <c r="B79" s="310">
        <v>3386</v>
      </c>
      <c r="C79" s="303" t="s">
        <v>416</v>
      </c>
      <c r="D79">
        <v>409</v>
      </c>
    </row>
    <row r="80" spans="2:4" ht="13.8">
      <c r="B80" s="310">
        <v>2449</v>
      </c>
      <c r="C80" s="303" t="s">
        <v>418</v>
      </c>
      <c r="D80">
        <v>403</v>
      </c>
    </row>
    <row r="81" spans="2:4" ht="13.8">
      <c r="B81" s="310">
        <v>2107</v>
      </c>
      <c r="C81" s="303" t="s">
        <v>420</v>
      </c>
      <c r="D81">
        <v>388</v>
      </c>
    </row>
    <row r="82" spans="2:4" ht="13.8">
      <c r="B82" s="310">
        <v>2109</v>
      </c>
      <c r="C82" s="303" t="s">
        <v>422</v>
      </c>
      <c r="D82">
        <v>225</v>
      </c>
    </row>
    <row r="83" spans="2:4" ht="13.8">
      <c r="B83" s="310">
        <v>3390</v>
      </c>
      <c r="C83" s="303" t="s">
        <v>424</v>
      </c>
      <c r="D83">
        <v>175</v>
      </c>
    </row>
    <row r="84" spans="2:4" ht="13.8">
      <c r="B84" s="312">
        <v>2031</v>
      </c>
      <c r="C84" s="305" t="s">
        <v>426</v>
      </c>
      <c r="D84">
        <v>205</v>
      </c>
    </row>
    <row r="85" spans="2:4" ht="13.8">
      <c r="B85" s="310">
        <v>3350</v>
      </c>
      <c r="C85" s="303" t="s">
        <v>428</v>
      </c>
      <c r="D85">
        <v>119</v>
      </c>
    </row>
    <row r="86" spans="2:4" ht="13.8">
      <c r="B86" s="310">
        <v>2033</v>
      </c>
      <c r="C86" s="303" t="s">
        <v>430</v>
      </c>
      <c r="D86">
        <v>317</v>
      </c>
    </row>
    <row r="87" spans="2:4" ht="13.8">
      <c r="B87" s="310">
        <v>3331</v>
      </c>
      <c r="C87" s="303" t="s">
        <v>432</v>
      </c>
      <c r="D87">
        <v>129</v>
      </c>
    </row>
    <row r="88" spans="2:4" ht="13.8">
      <c r="B88" s="310">
        <v>2239</v>
      </c>
      <c r="C88" s="303" t="s">
        <v>434</v>
      </c>
      <c r="D88">
        <v>300</v>
      </c>
    </row>
    <row r="89" spans="2:4" ht="13.8">
      <c r="B89" s="310">
        <v>2219</v>
      </c>
      <c r="C89" s="303" t="s">
        <v>436</v>
      </c>
      <c r="D89">
        <v>188</v>
      </c>
    </row>
    <row r="90" spans="2:4" ht="13.8">
      <c r="B90" s="310">
        <v>2333</v>
      </c>
      <c r="C90" s="303" t="s">
        <v>438</v>
      </c>
      <c r="D90">
        <v>363</v>
      </c>
    </row>
    <row r="91" spans="2:4" ht="13.8">
      <c r="B91" s="310">
        <v>3946</v>
      </c>
      <c r="C91" s="303" t="s">
        <v>440</v>
      </c>
      <c r="D91">
        <v>351</v>
      </c>
    </row>
    <row r="92" spans="2:4" ht="13.8">
      <c r="B92" s="310">
        <v>2453</v>
      </c>
      <c r="C92" s="303" t="s">
        <v>442</v>
      </c>
      <c r="D92">
        <v>207</v>
      </c>
    </row>
    <row r="93" spans="2:4" ht="13.8">
      <c r="B93" s="310">
        <v>2070</v>
      </c>
      <c r="C93" s="303" t="s">
        <v>444</v>
      </c>
      <c r="D93">
        <v>288</v>
      </c>
    </row>
    <row r="94" spans="2:4" ht="13.8">
      <c r="B94" s="310">
        <v>7023</v>
      </c>
      <c r="C94" s="303" t="s">
        <v>446</v>
      </c>
    </row>
    <row r="95" spans="2:4" ht="13.8">
      <c r="B95" s="310">
        <v>2255</v>
      </c>
      <c r="C95" s="303" t="s">
        <v>448</v>
      </c>
      <c r="D95">
        <v>197</v>
      </c>
    </row>
    <row r="96" spans="2:4" ht="13.8">
      <c r="B96" s="310">
        <v>2115</v>
      </c>
      <c r="C96" s="303" t="s">
        <v>450</v>
      </c>
      <c r="D96">
        <v>355</v>
      </c>
    </row>
    <row r="97" spans="2:4" ht="13.8">
      <c r="B97" s="310">
        <v>2329</v>
      </c>
      <c r="C97" s="303" t="s">
        <v>452</v>
      </c>
      <c r="D97">
        <v>142</v>
      </c>
    </row>
    <row r="98" spans="2:4" ht="13.8">
      <c r="B98" s="310">
        <v>3384</v>
      </c>
      <c r="C98" s="303" t="s">
        <v>454</v>
      </c>
      <c r="D98">
        <v>202</v>
      </c>
    </row>
    <row r="99" spans="2:4" ht="13.8">
      <c r="B99" s="310">
        <v>5200</v>
      </c>
      <c r="C99" s="303" t="s">
        <v>548</v>
      </c>
      <c r="D99">
        <v>187</v>
      </c>
    </row>
    <row r="100" spans="2:4" ht="13.8">
      <c r="B100" s="310">
        <v>2317</v>
      </c>
      <c r="C100" s="303" t="s">
        <v>458</v>
      </c>
      <c r="D100">
        <v>627</v>
      </c>
    </row>
    <row r="101" spans="2:4" ht="13.8">
      <c r="B101" s="310">
        <v>3356</v>
      </c>
      <c r="C101" s="303" t="s">
        <v>460</v>
      </c>
      <c r="D101">
        <v>148</v>
      </c>
    </row>
    <row r="102" spans="2:4" ht="13.8">
      <c r="B102" s="310">
        <v>3358</v>
      </c>
      <c r="C102" s="303" t="s">
        <v>462</v>
      </c>
      <c r="D102">
        <v>234</v>
      </c>
    </row>
    <row r="103" spans="2:4" ht="13.8">
      <c r="B103" s="310">
        <v>3029</v>
      </c>
      <c r="C103" s="303" t="s">
        <v>464</v>
      </c>
      <c r="D103">
        <v>152</v>
      </c>
    </row>
    <row r="104" spans="2:4" ht="13.8">
      <c r="B104" s="310">
        <v>2084</v>
      </c>
      <c r="C104" s="303" t="s">
        <v>466</v>
      </c>
      <c r="D104">
        <v>177</v>
      </c>
    </row>
    <row r="105" spans="2:4" ht="13.8">
      <c r="B105" s="310">
        <v>2443</v>
      </c>
      <c r="C105" s="303" t="s">
        <v>468</v>
      </c>
      <c r="D105">
        <v>388</v>
      </c>
    </row>
    <row r="106" spans="2:4" ht="13.8">
      <c r="B106" s="310">
        <v>3052</v>
      </c>
      <c r="C106" s="303" t="s">
        <v>470</v>
      </c>
      <c r="D106">
        <v>265</v>
      </c>
    </row>
    <row r="107" spans="2:4" ht="13.8">
      <c r="B107" s="310">
        <v>2046</v>
      </c>
      <c r="C107" s="303" t="s">
        <v>472</v>
      </c>
      <c r="D107">
        <v>309</v>
      </c>
    </row>
    <row r="108" spans="2:4" ht="13.8">
      <c r="B108" s="310">
        <v>3325</v>
      </c>
      <c r="C108" s="303" t="s">
        <v>474</v>
      </c>
      <c r="D108">
        <v>169</v>
      </c>
    </row>
    <row r="109" spans="2:4" ht="13.8">
      <c r="B109" s="310">
        <v>1001</v>
      </c>
      <c r="C109" s="303" t="s">
        <v>476</v>
      </c>
    </row>
    <row r="110" spans="2:4" ht="13.8">
      <c r="B110" s="310">
        <v>2123</v>
      </c>
      <c r="C110" s="303" t="s">
        <v>478</v>
      </c>
      <c r="D110">
        <v>209</v>
      </c>
    </row>
    <row r="111" spans="2:4" ht="13.8">
      <c r="B111" s="310">
        <v>2260</v>
      </c>
      <c r="C111" s="303" t="s">
        <v>480</v>
      </c>
      <c r="D111">
        <v>55</v>
      </c>
    </row>
    <row r="112" spans="2:4" ht="13.8">
      <c r="B112" s="310">
        <v>3058</v>
      </c>
      <c r="C112" s="303" t="s">
        <v>482</v>
      </c>
      <c r="D112">
        <v>317</v>
      </c>
    </row>
    <row r="113" spans="2:4" ht="13.8">
      <c r="B113" s="310">
        <v>2335</v>
      </c>
      <c r="C113" s="303" t="s">
        <v>484</v>
      </c>
      <c r="D113">
        <v>184</v>
      </c>
    </row>
    <row r="114" spans="2:4" ht="13.8">
      <c r="B114" s="310">
        <v>3389</v>
      </c>
      <c r="C114" s="303" t="s">
        <v>486</v>
      </c>
      <c r="D114">
        <v>372</v>
      </c>
    </row>
    <row r="115" spans="2:4" ht="13.8">
      <c r="B115" s="312">
        <v>2001</v>
      </c>
      <c r="C115" s="305" t="s">
        <v>488</v>
      </c>
      <c r="D115">
        <v>490</v>
      </c>
    </row>
    <row r="116" spans="2:4" ht="13.8">
      <c r="B116" s="310">
        <v>2064</v>
      </c>
      <c r="C116" s="303" t="s">
        <v>490</v>
      </c>
      <c r="D116">
        <v>89</v>
      </c>
    </row>
    <row r="117" spans="2:4" ht="13.8">
      <c r="B117" s="312">
        <v>2000</v>
      </c>
      <c r="C117" s="305" t="s">
        <v>492</v>
      </c>
      <c r="D117">
        <v>236</v>
      </c>
    </row>
    <row r="118" spans="2:4" ht="13.8">
      <c r="B118" s="310">
        <v>2048</v>
      </c>
      <c r="C118" s="303" t="s">
        <v>494</v>
      </c>
      <c r="D118">
        <v>525</v>
      </c>
    </row>
    <row r="119" spans="2:4" ht="13.8">
      <c r="B119" s="310">
        <v>2232</v>
      </c>
      <c r="C119" s="303" t="s">
        <v>496</v>
      </c>
      <c r="D119">
        <v>231</v>
      </c>
    </row>
    <row r="120" spans="2:4" ht="13.8">
      <c r="B120" s="312">
        <v>3392</v>
      </c>
      <c r="C120" s="305" t="s">
        <v>498</v>
      </c>
      <c r="D120">
        <v>293</v>
      </c>
    </row>
    <row r="121" spans="2:4" ht="13.8">
      <c r="B121" s="310">
        <v>3054</v>
      </c>
      <c r="C121" s="303" t="s">
        <v>500</v>
      </c>
      <c r="D121">
        <v>103</v>
      </c>
    </row>
    <row r="122" spans="2:4" ht="13.8">
      <c r="B122" s="310">
        <v>3032</v>
      </c>
      <c r="C122" s="303" t="s">
        <v>502</v>
      </c>
      <c r="D122">
        <v>184</v>
      </c>
    </row>
    <row r="123" spans="2:4" ht="13.8">
      <c r="B123" s="310">
        <v>2054</v>
      </c>
      <c r="C123" s="303" t="s">
        <v>504</v>
      </c>
      <c r="D123">
        <v>341</v>
      </c>
    </row>
    <row r="124" spans="2:4" ht="13.8">
      <c r="B124" s="310">
        <v>2240</v>
      </c>
      <c r="C124" s="303" t="s">
        <v>506</v>
      </c>
      <c r="D124">
        <v>130</v>
      </c>
    </row>
    <row r="125" spans="2:4" ht="13.8">
      <c r="B125" s="310">
        <v>2254</v>
      </c>
      <c r="C125" s="303" t="s">
        <v>508</v>
      </c>
      <c r="D125">
        <v>155</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a13a6f9afe5269caee65f49aab39f5bf">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43b86e011cd8798e499b7cece70ff26c"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chool xmlns="09b21f7a-5c23-465e-9456-167c464d9d38" xsi:nil="true"/>
    <Period xmlns="09b21f7a-5c23-465e-9456-167c464d9d38" xsi:nil="true"/>
    <Document xmlns="09b21f7a-5c23-465e-9456-167c464d9d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897CE6-E95A-46B2-9B8F-780E8597B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A47CA-0291-4E60-8616-2FF042CE2BC9}">
  <ds:schemaRefs>
    <ds:schemaRef ds:uri="914b8805-347d-4649-b025-7bc68f6e747d"/>
    <ds:schemaRef ds:uri="http://purl.org/dc/dcmitype/"/>
    <ds:schemaRef ds:uri="http://schemas.microsoft.com/office/2006/documentManagement/types"/>
    <ds:schemaRef ds:uri="http://schemas.microsoft.com/office/2006/metadata/properties"/>
    <ds:schemaRef ds:uri="09b21f7a-5c23-465e-9456-167c464d9d38"/>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97EB792-F472-4577-BB78-1DEBFA3F6F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vt:lpstr>
      <vt:lpstr>Letter PLEASE READ</vt:lpstr>
      <vt:lpstr>a) Governor Authorisation</vt:lpstr>
      <vt:lpstr>b) Budget Template</vt:lpstr>
      <vt:lpstr>Budget Analysis Report (Table)</vt:lpstr>
      <vt:lpstr>Deficit Business Case</vt:lpstr>
      <vt:lpstr>"Alerts"</vt:lpstr>
      <vt:lpstr>Pupil Nos</vt:lpstr>
      <vt:lpstr>SSCT</vt:lpstr>
      <vt:lpstr>Sheet1</vt:lpstr>
      <vt:lpstr>Data - CFR2425</vt:lpstr>
      <vt:lpstr>'Letter PLEASE READ'!OLE_LINK1</vt:lpstr>
      <vt:lpstr>'"Alerts"'!Print_Area</vt:lpstr>
      <vt:lpstr>'a) Governor Authorisation'!Print_Area</vt:lpstr>
      <vt:lpstr>'b) Budget Template'!Print_Area</vt:lpstr>
      <vt:lpstr>'Budget Analysis Report (Table)'!Print_Area</vt:lpstr>
      <vt:lpstr>'c) IUB reporting March 2024'!Print_Area</vt:lpstr>
      <vt:lpstr>'d) IUB reporting March 2025'!Print_Area</vt:lpstr>
    </vt:vector>
  </TitlesOfParts>
  <Manager/>
  <Company>Education Bradford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Janet.taylor</dc:creator>
  <cp:keywords/>
  <dc:description/>
  <cp:lastModifiedBy>Jonty Holden</cp:lastModifiedBy>
  <cp:revision/>
  <dcterms:created xsi:type="dcterms:W3CDTF">2005-02-15T13:39:22Z</dcterms:created>
  <dcterms:modified xsi:type="dcterms:W3CDTF">2025-11-19T15:53:12Z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-207755002</vt:i4>
  </property>
  <property fmtid="{D5CDD505-2E9C-101B-9397-08002B2CF9AE}" pid="3" name="_EmailSubject">
    <vt:lpwstr>budget template</vt:lpwstr>
  </property>
  <property fmtid="{D5CDD505-2E9C-101B-9397-08002B2CF9AE}" pid="4" name="_AuthorEmail">
    <vt:lpwstr>Andrew.Redding@bradford.gov.uk</vt:lpwstr>
  </property>
  <property fmtid="{D5CDD505-2E9C-101B-9397-08002B2CF9AE}" pid="5" name="_AuthorEmailDisplayName">
    <vt:lpwstr>Andrew Redding</vt:lpwstr>
  </property>
  <property fmtid="{D5CDD505-2E9C-101B-9397-08002B2CF9AE}" pid="6" name="_ReviewingToolsShownOnce">
    <vt:lpwstr/>
  </property>
  <property fmtid="{D5CDD505-2E9C-101B-9397-08002B2CF9AE}" pid="7" name="ContentTypeId">
    <vt:lpwstr>0x010100F17F14F15A7C6E4E94B433EBEA75847E</vt:lpwstr>
  </property>
  <property fmtid="{D5CDD505-2E9C-101B-9397-08002B2CF9AE}" pid="8" name="MediaServiceImageTags">
    <vt:lpwstr/>
  </property>
  <property fmtid="{D5CDD505-2E9C-101B-9397-08002B2CF9AE}" pid="9" name="Posted0">
    <vt:bool>false</vt:bool>
  </property>
  <property fmtid="{D5CDD505-2E9C-101B-9397-08002B2CF9AE}" pid="10" name="Posted">
    <vt:bool>true</vt:bool>
  </property>
</Properties>
</file>